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omments3.xml" ContentType="application/vnd.openxmlformats-officedocument.spreadsheetml.comments+xml"/>
  <Override PartName="/xl/comments4.xml" ContentType="application/vnd.openxmlformats-officedocument.spreadsheetml.comments+xml"/>
  <Override PartName="/xl/threadedComments/threadedComment2.xml" ContentType="application/vnd.ms-excel.threadedcomments+xml"/>
  <Override PartName="/xl/comments5.xml" ContentType="application/vnd.openxmlformats-officedocument.spreadsheetml.comments+xml"/>
  <Override PartName="/xl/threadedComments/threadedComment3.xml" ContentType="application/vnd.ms-excel.threadedcomments+xml"/>
  <Override PartName="/xl/drawings/drawing6.xml" ContentType="application/vnd.openxmlformats-officedocument.drawing+xml"/>
  <Override PartName="/xl/charts/chartEx2.xml" ContentType="application/vnd.ms-office.chartex+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phdisegutl.sharepoint.com/sites/LIS-GENERAL-SecuritiesResearch/Shared Documents/Research/Equity Research/24-25/5th cycle/Team 03 (Daniel Cruz)/"/>
    </mc:Choice>
  </mc:AlternateContent>
  <xr:revisionPtr revIDLastSave="7640" documentId="13_ncr:1_{C6292076-FC91-4C0E-9AAD-55780923BB3B}" xr6:coauthVersionLast="47" xr6:coauthVersionMax="47" xr10:uidLastSave="{70EF07B5-B12C-4F00-89E8-476F983F0502}"/>
  <bookViews>
    <workbookView xWindow="-110" yWindow="-110" windowWidth="19420" windowHeight="10300" tabRatio="777" firstSheet="1" activeTab="4" xr2:uid="{00000000-000D-0000-FFFF-FFFF00000000}"/>
  </bookViews>
  <sheets>
    <sheet name="Summary" sheetId="19" r:id="rId1"/>
    <sheet name="Segments" sheetId="4" r:id="rId2"/>
    <sheet name="Industry" sheetId="3" r:id="rId3"/>
    <sheet name="Peers" sheetId="17" r:id="rId4"/>
    <sheet name="ESG" sheetId="2" r:id="rId5"/>
    <sheet name="ESG Inputs" sheetId="28" r:id="rId6"/>
    <sheet name="DCF" sheetId="8" r:id="rId7"/>
    <sheet name="Inputs" sheetId="9" r:id="rId8"/>
    <sheet name="WACC" sheetId="6" r:id="rId9"/>
    <sheet name="Multiples" sheetId="11" r:id="rId10"/>
    <sheet name="Sensitivity" sheetId="27" r:id="rId11"/>
  </sheets>
  <definedNames>
    <definedName name="_xlchart.v1.3" hidden="1">Sensitivity!$B$56:$B$10055</definedName>
    <definedName name="_xlchart.v5.0" hidden="1">Segments!$B$5</definedName>
    <definedName name="_xlchart.v5.1" hidden="1">Segments!$B$6:$B$10</definedName>
    <definedName name="_xlchart.v5.2" hidden="1">Segments!$D$6:$D$10</definedName>
    <definedName name="COOLFUCNTION" comment="No description available" localSheetId="6">_xlfn.LAMBDA(_xldudf_BOARDFLARE_EXEC("workbook-settings:coolfucntion"))</definedName>
    <definedName name="COOLFUCNTION" comment="No description available" localSheetId="4">_xlfn.LAMBDA(_xldudf_BOARDFLARE_EXEC("workbook-settings:coolfucntion"))</definedName>
    <definedName name="COOLFUCNTION" comment="No description available" localSheetId="2">_xlfn.LAMBDA(_xldudf_BOARDFLARE_EXEC("workbook-settings:coolfucntion"))</definedName>
    <definedName name="COOLFUCNTION" comment="No description available" localSheetId="7">_xlfn.LAMBDA(_xldudf_BOARDFLARE_EXEC("workbook-settings:coolfucntion"))</definedName>
    <definedName name="COOLFUCNTION" comment="No description available" localSheetId="9">_xlfn.LAMBDA(_xldudf_BOARDFLARE_EXEC("workbook-settings:coolfucntion"))</definedName>
    <definedName name="COOLFUCNTION" comment="No description available" localSheetId="3">_xlfn.LAMBDA(_xldudf_BOARDFLARE_EXEC("workbook-settings:coolfucntion"))</definedName>
    <definedName name="COOLFUCNTION" comment="No description available" localSheetId="1">_xlfn.LAMBDA(_xldudf_BOARDFLARE_EXEC("workbook-settings:coolfucntion"))</definedName>
    <definedName name="COOLFUCNTION" comment="No description available" localSheetId="0">_xlfn.LAMBDA(_xldudf_BOARDFLARE_EXEC("workbook-settings:coolfucntion"))</definedName>
    <definedName name="COOLFUCNTION" comment="No description available" localSheetId="8">_xlfn.LAMBDA(_xldudf_BOARDFLARE_EXEC("workbook-settings:coolfucntion"))</definedName>
    <definedName name="COOLFUCNTION" comment="No description available">_xlfn.LAMBDA(_xldudf_BOARDFLARE_EXEC("workbook-settings:coolfucntion"))</definedName>
    <definedName name="HTML_CodePage" hidden="1">1252</definedName>
    <definedName name="HTML_Control" localSheetId="6" hidden="1">{"'Sheet1'!$A$1:$H$145"}</definedName>
    <definedName name="HTML_Control" localSheetId="4" hidden="1">{"'Sheet1'!$A$1:$H$145"}</definedName>
    <definedName name="HTML_Control" localSheetId="2" hidden="1">{"'Sheet1'!$A$1:$H$145"}</definedName>
    <definedName name="HTML_Control" localSheetId="7" hidden="1">{"'Sheet1'!$A$1:$H$145"}</definedName>
    <definedName name="HTML_Control" localSheetId="9" hidden="1">{"'Sheet1'!$A$1:$H$145"}</definedName>
    <definedName name="HTML_Control" localSheetId="3" hidden="1">{"'Sheet1'!$A$1:$H$145"}</definedName>
    <definedName name="HTML_Control" localSheetId="1" hidden="1">{"'Sheet1'!$A$1:$H$145"}</definedName>
    <definedName name="HTML_Control" localSheetId="8" hidden="1">{"'Sheet1'!$A$1:$H$145"}</definedName>
    <definedName name="HTML_Control"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Mac" hidden="1">"Macintosh HD:HomePageStuff:New_Home_Page:datafile:ctryprem.html"</definedName>
    <definedName name="HTML_Title" hidden="1">"Country Risk Premiums"</definedName>
    <definedName name="Sectors" localSheetId="4">#REF!</definedName>
    <definedName name="Sectors" localSheetId="3">#REF!</definedName>
    <definedName name="Sector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1" i="8" l="1"/>
  <c r="E52" i="8" s="1"/>
  <c r="H172" i="8"/>
  <c r="H171" i="8" s="1"/>
  <c r="H173" i="8" l="1"/>
  <c r="H257" i="8" l="1"/>
  <c r="I257" i="8"/>
  <c r="J257" i="8"/>
  <c r="K257" i="8"/>
  <c r="L257" i="8"/>
  <c r="M257" i="8"/>
  <c r="N257" i="8"/>
  <c r="O257" i="8"/>
  <c r="P257" i="8"/>
  <c r="Q257" i="8"/>
  <c r="R257" i="8"/>
  <c r="S257" i="8"/>
  <c r="T257" i="8"/>
  <c r="U257" i="8"/>
  <c r="V257" i="8"/>
  <c r="W257" i="8"/>
  <c r="X257" i="8"/>
  <c r="Y257" i="8"/>
  <c r="Z257" i="8"/>
  <c r="AA257" i="8"/>
  <c r="AB257" i="8"/>
  <c r="AB206" i="8" a="1"/>
  <c r="AB206" i="8" s="1"/>
  <c r="D132" i="17"/>
  <c r="D131" i="17"/>
  <c r="D130" i="17"/>
  <c r="D129" i="17"/>
  <c r="D128" i="17"/>
  <c r="D127" i="17"/>
  <c r="D126" i="17"/>
  <c r="D122" i="17"/>
  <c r="D120" i="17"/>
  <c r="D119" i="17"/>
  <c r="D118" i="17"/>
  <c r="D117" i="17"/>
  <c r="D116" i="17"/>
  <c r="D115" i="17"/>
  <c r="D114" i="17"/>
  <c r="D113" i="17"/>
  <c r="D112" i="17"/>
  <c r="D111" i="17"/>
  <c r="D107" i="17"/>
  <c r="D106" i="17"/>
  <c r="D105" i="17"/>
  <c r="D104" i="17"/>
  <c r="D103" i="17"/>
  <c r="D102" i="17"/>
  <c r="D101" i="17"/>
  <c r="D100" i="17"/>
  <c r="D99" i="17"/>
  <c r="D98" i="17"/>
  <c r="D97" i="17"/>
  <c r="D96" i="17"/>
  <c r="D95" i="17"/>
  <c r="D94" i="17"/>
  <c r="D93" i="17"/>
  <c r="E74" i="17" a="1"/>
  <c r="E74" i="17" s="1"/>
  <c r="E75" i="17" s="1"/>
  <c r="G15" i="6"/>
  <c r="E101" i="8" l="1"/>
  <c r="D6" i="27"/>
  <c r="E48" i="8"/>
  <c r="H23" i="8" l="1"/>
  <c r="I23" i="8"/>
  <c r="J23" i="8"/>
  <c r="K23" i="8"/>
  <c r="L23" i="8"/>
  <c r="M23" i="8"/>
  <c r="N23" i="8"/>
  <c r="O23" i="8"/>
  <c r="P23" i="8"/>
  <c r="Q23" i="8"/>
  <c r="R23" i="8"/>
  <c r="S23" i="8"/>
  <c r="T23" i="8"/>
  <c r="U23" i="8"/>
  <c r="V23" i="8"/>
  <c r="W23" i="8"/>
  <c r="X23" i="8"/>
  <c r="Y23" i="8"/>
  <c r="Z23" i="8"/>
  <c r="AA23" i="8"/>
  <c r="AB23" i="8"/>
  <c r="F22" i="8"/>
  <c r="G22" i="8"/>
  <c r="E22" i="8"/>
  <c r="H20" i="8"/>
  <c r="G21" i="8"/>
  <c r="F21" i="8"/>
  <c r="G19" i="8"/>
  <c r="G23" i="8" s="1"/>
  <c r="F19" i="8"/>
  <c r="F23" i="8" s="1"/>
  <c r="F26" i="8"/>
  <c r="G26" i="8" s="1"/>
  <c r="H26" i="8" s="1"/>
  <c r="I26" i="8" s="1"/>
  <c r="J26" i="8" s="1"/>
  <c r="K26" i="8" s="1"/>
  <c r="L26" i="8" s="1"/>
  <c r="M26" i="8" s="1"/>
  <c r="N26" i="8" s="1"/>
  <c r="O26" i="8" s="1"/>
  <c r="P26" i="8" s="1"/>
  <c r="Q26" i="8" s="1"/>
  <c r="E28" i="8"/>
  <c r="F28" i="8"/>
  <c r="G28" i="8"/>
  <c r="H28" i="8" s="1"/>
  <c r="E31" i="8"/>
  <c r="F31" i="8"/>
  <c r="G31" i="8"/>
  <c r="E34" i="8"/>
  <c r="F34" i="8"/>
  <c r="G34" i="8"/>
  <c r="Q7" i="11" l="1"/>
  <c r="I28" i="8"/>
  <c r="H135" i="8"/>
  <c r="I20" i="8"/>
  <c r="J20" i="8" s="1"/>
  <c r="K20" i="8" s="1"/>
  <c r="L20" i="8" s="1"/>
  <c r="M20" i="8" s="1"/>
  <c r="N20" i="8" s="1"/>
  <c r="O20" i="8" s="1"/>
  <c r="P20" i="8" s="1"/>
  <c r="Q20" i="8" s="1"/>
  <c r="R20" i="8" s="1"/>
  <c r="S20" i="8" s="1"/>
  <c r="T20" i="8" s="1"/>
  <c r="U20" i="8" s="1"/>
  <c r="V20" i="8" s="1"/>
  <c r="W20" i="8" s="1"/>
  <c r="X20" i="8" s="1"/>
  <c r="Y20" i="8" s="1"/>
  <c r="Z20" i="8" s="1"/>
  <c r="AA20" i="8" s="1"/>
  <c r="AB20" i="8" s="1"/>
  <c r="F35" i="8"/>
  <c r="E32" i="8"/>
  <c r="G35" i="8"/>
  <c r="E35" i="8"/>
  <c r="F32" i="8"/>
  <c r="E24" i="8"/>
  <c r="G32" i="8"/>
  <c r="G24" i="8"/>
  <c r="F24" i="8"/>
  <c r="F29" i="8"/>
  <c r="H31" i="8"/>
  <c r="H34" i="8" s="1"/>
  <c r="H35" i="8" s="1"/>
  <c r="Q21" i="11" s="1"/>
  <c r="G29" i="8"/>
  <c r="R7" i="11" l="1"/>
  <c r="J28" i="8"/>
  <c r="I135" i="8"/>
  <c r="I31" i="8"/>
  <c r="I34" i="8" s="1"/>
  <c r="I35" i="8" s="1"/>
  <c r="R21" i="11" s="1"/>
  <c r="K28" i="8" l="1"/>
  <c r="J135" i="8"/>
  <c r="J31" i="8"/>
  <c r="J34" i="8" s="1"/>
  <c r="J35" i="8" s="1"/>
  <c r="L28" i="8" l="1"/>
  <c r="K135" i="8"/>
  <c r="K31" i="8"/>
  <c r="K34" i="8" s="1"/>
  <c r="K35" i="8" s="1"/>
  <c r="M28" i="8" l="1"/>
  <c r="L135" i="8"/>
  <c r="L31" i="8"/>
  <c r="L34" i="8" s="1"/>
  <c r="L35" i="8" s="1"/>
  <c r="N28" i="8" l="1"/>
  <c r="M135" i="8"/>
  <c r="M31" i="8"/>
  <c r="M34" i="8" s="1"/>
  <c r="M35" i="8" s="1"/>
  <c r="O28" i="8" l="1"/>
  <c r="N135" i="8"/>
  <c r="N31" i="8"/>
  <c r="N34" i="8" s="1"/>
  <c r="N35" i="8" s="1"/>
  <c r="P28" i="8" l="1"/>
  <c r="O135" i="8"/>
  <c r="O31" i="8"/>
  <c r="O34" i="8" s="1"/>
  <c r="O35" i="8" s="1"/>
  <c r="Q28" i="8" l="1"/>
  <c r="P135" i="8"/>
  <c r="P31" i="8"/>
  <c r="P34" i="8" s="1"/>
  <c r="P35" i="8" s="1"/>
  <c r="R28" i="8" l="1"/>
  <c r="Q135" i="8"/>
  <c r="Q31" i="8"/>
  <c r="Q34" i="8" s="1"/>
  <c r="Q35" i="8" s="1"/>
  <c r="S28" i="8" l="1"/>
  <c r="R135" i="8"/>
  <c r="R31" i="8"/>
  <c r="R34" i="8" s="1"/>
  <c r="R35" i="8" s="1"/>
  <c r="T28" i="8" l="1"/>
  <c r="S135" i="8"/>
  <c r="S31" i="8"/>
  <c r="S34" i="8" s="1"/>
  <c r="S35" i="8" s="1"/>
  <c r="U28" i="8" l="1"/>
  <c r="T135" i="8"/>
  <c r="T31" i="8"/>
  <c r="T34" i="8" s="1"/>
  <c r="T35" i="8" s="1"/>
  <c r="V28" i="8" l="1"/>
  <c r="U135" i="8"/>
  <c r="U31" i="8"/>
  <c r="U34" i="8" s="1"/>
  <c r="U35" i="8" s="1"/>
  <c r="W28" i="8" l="1"/>
  <c r="V135" i="8"/>
  <c r="V31" i="8"/>
  <c r="V34" i="8" s="1"/>
  <c r="V35" i="8" s="1"/>
  <c r="X28" i="8" l="1"/>
  <c r="W135" i="8"/>
  <c r="W31" i="8"/>
  <c r="W34" i="8" s="1"/>
  <c r="W35" i="8" s="1"/>
  <c r="Y28" i="8" l="1"/>
  <c r="X135" i="8"/>
  <c r="X31" i="8"/>
  <c r="X34" i="8" s="1"/>
  <c r="X35" i="8" s="1"/>
  <c r="R258" i="8"/>
  <c r="S258" i="8"/>
  <c r="T258" i="8"/>
  <c r="U258" i="8"/>
  <c r="V258" i="8"/>
  <c r="W258" i="8"/>
  <c r="X258" i="8"/>
  <c r="Y258" i="8"/>
  <c r="Z258" i="8"/>
  <c r="AA258" i="8"/>
  <c r="AB258" i="8"/>
  <c r="R225" i="8"/>
  <c r="Q223" i="8"/>
  <c r="S223" i="8"/>
  <c r="S225" i="8" s="1"/>
  <c r="T223" i="8"/>
  <c r="T225" i="8" s="1"/>
  <c r="U223" i="8"/>
  <c r="U225" i="8" s="1"/>
  <c r="V223" i="8"/>
  <c r="V225" i="8" s="1"/>
  <c r="W223" i="8"/>
  <c r="W225" i="8" s="1"/>
  <c r="X223" i="8"/>
  <c r="X225" i="8" s="1"/>
  <c r="Y223" i="8"/>
  <c r="Y225" i="8" s="1"/>
  <c r="Z223" i="8"/>
  <c r="Z225" i="8" s="1"/>
  <c r="AA223" i="8"/>
  <c r="AA225" i="8" s="1"/>
  <c r="AB209" i="8" a="1"/>
  <c r="AB209" i="8" s="1"/>
  <c r="AB200" i="8"/>
  <c r="O14" i="9"/>
  <c r="P14" i="9"/>
  <c r="Q14" i="9"/>
  <c r="N14" i="9"/>
  <c r="G16" i="6"/>
  <c r="F45" i="4"/>
  <c r="E45" i="4"/>
  <c r="G14" i="6"/>
  <c r="E85" i="17" a="1"/>
  <c r="E85" i="17" s="1"/>
  <c r="F85" i="17" a="1"/>
  <c r="F85" i="17" s="1"/>
  <c r="A11" i="17"/>
  <c r="B11" i="17" s="1" a="1"/>
  <c r="B11" i="17" s="1"/>
  <c r="D11" i="17"/>
  <c r="E11" i="17"/>
  <c r="F11" i="17"/>
  <c r="G11" i="17"/>
  <c r="H11" i="17"/>
  <c r="I11" i="17"/>
  <c r="K11" i="17" a="1"/>
  <c r="K11" i="17" s="1"/>
  <c r="L11" i="17" a="1"/>
  <c r="L11" i="17" s="1"/>
  <c r="M11" i="17" a="1"/>
  <c r="M11" i="17" s="1"/>
  <c r="N11" i="17" a="1"/>
  <c r="N11" i="17" s="1"/>
  <c r="O11" i="17" a="1"/>
  <c r="O11" i="17" s="1"/>
  <c r="A12" i="17"/>
  <c r="B12" i="17" s="1" a="1"/>
  <c r="B12" i="17" s="1"/>
  <c r="D12" i="17"/>
  <c r="E12" i="17"/>
  <c r="F12" i="17"/>
  <c r="G12" i="17"/>
  <c r="H12" i="17"/>
  <c r="I12" i="17"/>
  <c r="L12" i="17" a="1"/>
  <c r="L12" i="17" s="1"/>
  <c r="A13" i="17"/>
  <c r="B13" i="17" s="1" a="1"/>
  <c r="B13" i="17" s="1"/>
  <c r="D13" i="17"/>
  <c r="E13" i="17"/>
  <c r="G13" i="17"/>
  <c r="H13" i="17"/>
  <c r="I13" i="17"/>
  <c r="K13" i="17" a="1"/>
  <c r="K13" i="17" s="1"/>
  <c r="O13" i="17" a="1"/>
  <c r="O13" i="17" s="1"/>
  <c r="A14" i="17"/>
  <c r="C14" i="17" s="1" a="1"/>
  <c r="C14" i="17" s="1"/>
  <c r="D14" i="17"/>
  <c r="E14" i="17"/>
  <c r="F14" i="17"/>
  <c r="G14" i="17"/>
  <c r="H14" i="17"/>
  <c r="I14" i="17"/>
  <c r="A15" i="17"/>
  <c r="K15" i="17" s="1" a="1"/>
  <c r="K15" i="17" s="1"/>
  <c r="D15" i="17"/>
  <c r="E15" i="17"/>
  <c r="F15" i="17"/>
  <c r="G15" i="17"/>
  <c r="H15" i="17"/>
  <c r="I15" i="17"/>
  <c r="L15" i="17" a="1"/>
  <c r="L15" i="17" s="1"/>
  <c r="A16" i="17"/>
  <c r="K16" i="17" s="1" a="1"/>
  <c r="K16" i="17" s="1"/>
  <c r="D16" i="17"/>
  <c r="E16" i="17"/>
  <c r="F16" i="17"/>
  <c r="G16" i="17"/>
  <c r="H16" i="17"/>
  <c r="I16" i="17"/>
  <c r="J16" i="17" a="1"/>
  <c r="J16" i="17" s="1"/>
  <c r="A17" i="17"/>
  <c r="B17" i="17" a="1"/>
  <c r="B17" i="17" s="1"/>
  <c r="C17" i="17" a="1"/>
  <c r="C17" i="17" s="1"/>
  <c r="D17" i="17"/>
  <c r="E17" i="17"/>
  <c r="F17" i="17"/>
  <c r="G17" i="17"/>
  <c r="H17" i="17"/>
  <c r="I17" i="17"/>
  <c r="J17" i="17" a="1"/>
  <c r="J17" i="17" s="1"/>
  <c r="K17" i="17" a="1"/>
  <c r="K17" i="17" s="1"/>
  <c r="L17" i="17" a="1"/>
  <c r="L17" i="17" s="1"/>
  <c r="M17" i="17" a="1"/>
  <c r="M17" i="17" s="1"/>
  <c r="N17" i="17" a="1"/>
  <c r="N17" i="17" s="1"/>
  <c r="O17" i="17" a="1"/>
  <c r="O17" i="17" s="1"/>
  <c r="Z28" i="8" l="1"/>
  <c r="Y135" i="8"/>
  <c r="Y31" i="8"/>
  <c r="Y34" i="8"/>
  <c r="Y35" i="8" s="1"/>
  <c r="Q118" i="9"/>
  <c r="R118" i="9" s="1"/>
  <c r="R117" i="9"/>
  <c r="N118" i="9"/>
  <c r="K12" i="17" a="1"/>
  <c r="K12" i="17" s="1"/>
  <c r="N16" i="17" a="1"/>
  <c r="N16" i="17" s="1"/>
  <c r="C16" i="17" a="1"/>
  <c r="C16" i="17" s="1"/>
  <c r="J11" i="17" a="1"/>
  <c r="J11" i="17" s="1"/>
  <c r="C11" i="17" a="1"/>
  <c r="C11" i="17" s="1"/>
  <c r="C15" i="17" a="1"/>
  <c r="C15" i="17" s="1"/>
  <c r="O12" i="17" a="1"/>
  <c r="O12" i="17" s="1"/>
  <c r="M12" i="17" a="1"/>
  <c r="M12" i="17" s="1"/>
  <c r="M15" i="17" a="1"/>
  <c r="M15" i="17" s="1"/>
  <c r="L13" i="17" a="1"/>
  <c r="L13" i="17" s="1"/>
  <c r="J15" i="17" a="1"/>
  <c r="J15" i="17" s="1"/>
  <c r="B15" i="17" a="1"/>
  <c r="B15" i="17" s="1"/>
  <c r="B14" i="17" a="1"/>
  <c r="B14" i="17" s="1"/>
  <c r="N12" i="17" a="1"/>
  <c r="N12" i="17" s="1"/>
  <c r="J12" i="17" a="1"/>
  <c r="J12" i="17" s="1"/>
  <c r="C12" i="17" a="1"/>
  <c r="C12" i="17" s="1"/>
  <c r="N15" i="17" a="1"/>
  <c r="N15" i="17" s="1"/>
  <c r="M13" i="17" a="1"/>
  <c r="M13" i="17" s="1"/>
  <c r="M16" i="17" a="1"/>
  <c r="M16" i="17" s="1"/>
  <c r="B16" i="17" a="1"/>
  <c r="B16" i="17" s="1"/>
  <c r="L16" i="17" a="1"/>
  <c r="L16" i="17" s="1"/>
  <c r="O14" i="17" a="1"/>
  <c r="O14" i="17" s="1"/>
  <c r="C13" i="17" a="1"/>
  <c r="C13" i="17" s="1"/>
  <c r="O15" i="17" a="1"/>
  <c r="O15" i="17" s="1"/>
  <c r="N13" i="17" a="1"/>
  <c r="N13" i="17" s="1"/>
  <c r="J13" i="17" a="1"/>
  <c r="J13" i="17" s="1"/>
  <c r="O16" i="17" a="1"/>
  <c r="O16" i="17" s="1"/>
  <c r="N14" i="17" a="1"/>
  <c r="N14" i="17" s="1"/>
  <c r="AA28" i="8" l="1"/>
  <c r="Z135" i="8"/>
  <c r="Z31" i="8"/>
  <c r="Z34" i="8" s="1"/>
  <c r="Z35" i="8" s="1"/>
  <c r="Q100" i="9"/>
  <c r="AB203" i="8" s="1"/>
  <c r="P100" i="9"/>
  <c r="O100" i="9"/>
  <c r="Q102" i="9"/>
  <c r="P102" i="9"/>
  <c r="O102" i="9"/>
  <c r="N102" i="9"/>
  <c r="N100" i="9"/>
  <c r="E66" i="17"/>
  <c r="J10" i="6"/>
  <c r="J11" i="6"/>
  <c r="J12" i="6"/>
  <c r="J9" i="6"/>
  <c r="I10" i="6"/>
  <c r="I11" i="6"/>
  <c r="I12" i="6"/>
  <c r="I9" i="6"/>
  <c r="G9" i="6" a="1"/>
  <c r="G9" i="6" s="1"/>
  <c r="G61" i="17"/>
  <c r="G34" i="17"/>
  <c r="F34" i="17"/>
  <c r="E34" i="17"/>
  <c r="F52" i="17"/>
  <c r="R61" i="9"/>
  <c r="R60" i="9"/>
  <c r="R59" i="9"/>
  <c r="R58" i="9"/>
  <c r="R57" i="9"/>
  <c r="R56" i="9"/>
  <c r="R55" i="9"/>
  <c r="R54" i="9"/>
  <c r="R53" i="9"/>
  <c r="R52" i="9"/>
  <c r="R51" i="9"/>
  <c r="R50" i="9"/>
  <c r="R49" i="9"/>
  <c r="R48" i="9"/>
  <c r="R47" i="9"/>
  <c r="R46" i="9"/>
  <c r="R44" i="9"/>
  <c r="R43" i="9"/>
  <c r="R42" i="9"/>
  <c r="R41" i="9"/>
  <c r="R40" i="9"/>
  <c r="R39" i="9"/>
  <c r="R38" i="9"/>
  <c r="R37" i="9"/>
  <c r="R36" i="9"/>
  <c r="R35" i="9"/>
  <c r="R34" i="9"/>
  <c r="R33" i="9"/>
  <c r="R29" i="9"/>
  <c r="R28" i="9"/>
  <c r="R27" i="9"/>
  <c r="R26" i="9"/>
  <c r="R25" i="9"/>
  <c r="R24" i="9"/>
  <c r="R23" i="9"/>
  <c r="R22" i="9"/>
  <c r="R21" i="9"/>
  <c r="R20" i="9"/>
  <c r="R19" i="9"/>
  <c r="R18" i="9"/>
  <c r="R17" i="9"/>
  <c r="R16" i="9"/>
  <c r="R15" i="9"/>
  <c r="R14" i="9"/>
  <c r="R13" i="9"/>
  <c r="R12" i="9"/>
  <c r="R11" i="9"/>
  <c r="R10" i="9"/>
  <c r="R9" i="9"/>
  <c r="R8" i="9"/>
  <c r="R7" i="9"/>
  <c r="R6" i="9"/>
  <c r="Q121" i="9"/>
  <c r="R121" i="9" s="1"/>
  <c r="P121" i="9"/>
  <c r="O121" i="9"/>
  <c r="N121" i="9"/>
  <c r="Q120" i="9"/>
  <c r="P120" i="9"/>
  <c r="O120" i="9"/>
  <c r="N120" i="9"/>
  <c r="R120" i="9" s="1"/>
  <c r="Q119" i="9"/>
  <c r="R119" i="9" s="1"/>
  <c r="P119" i="9"/>
  <c r="O119" i="9"/>
  <c r="N119" i="9"/>
  <c r="Q117" i="9"/>
  <c r="P117" i="9"/>
  <c r="P118" i="9" s="1"/>
  <c r="O117" i="9"/>
  <c r="O118" i="9" s="1"/>
  <c r="N117" i="9"/>
  <c r="Q115" i="9"/>
  <c r="R115" i="9" s="1"/>
  <c r="P115" i="9"/>
  <c r="O115" i="9"/>
  <c r="N115" i="9"/>
  <c r="Q114" i="9"/>
  <c r="R114" i="9" s="1"/>
  <c r="P114" i="9"/>
  <c r="O114" i="9"/>
  <c r="N114" i="9"/>
  <c r="Q113" i="9"/>
  <c r="P113" i="9"/>
  <c r="O113" i="9"/>
  <c r="N113" i="9"/>
  <c r="R94" i="9"/>
  <c r="R93" i="9"/>
  <c r="R92" i="9"/>
  <c r="R90" i="9"/>
  <c r="R89" i="9"/>
  <c r="R88" i="9"/>
  <c r="R87" i="9"/>
  <c r="R86" i="9"/>
  <c r="R85" i="9"/>
  <c r="R83" i="9"/>
  <c r="R82" i="9"/>
  <c r="R81" i="9"/>
  <c r="R80" i="9"/>
  <c r="R78" i="9"/>
  <c r="R77" i="9"/>
  <c r="R75" i="9"/>
  <c r="R68" i="9"/>
  <c r="F44" i="4"/>
  <c r="G44" i="4"/>
  <c r="H44" i="4"/>
  <c r="I44" i="4"/>
  <c r="E44" i="4"/>
  <c r="M10" i="4"/>
  <c r="L10" i="4"/>
  <c r="K10" i="4"/>
  <c r="M8" i="4"/>
  <c r="L8" i="4"/>
  <c r="K8" i="4"/>
  <c r="L7" i="4"/>
  <c r="K7" i="4"/>
  <c r="L6" i="4"/>
  <c r="K6" i="4"/>
  <c r="M9" i="4"/>
  <c r="I36" i="4"/>
  <c r="H36" i="4"/>
  <c r="G36" i="4"/>
  <c r="F36" i="4"/>
  <c r="E36" i="4"/>
  <c r="I34" i="4"/>
  <c r="H34" i="4"/>
  <c r="G34" i="4"/>
  <c r="F34" i="4"/>
  <c r="E34" i="4"/>
  <c r="R111" i="9"/>
  <c r="D10" i="17"/>
  <c r="D8" i="17"/>
  <c r="E10" i="17"/>
  <c r="R64" i="9"/>
  <c r="R30" i="9"/>
  <c r="R4" i="9"/>
  <c r="I8" i="17"/>
  <c r="I9" i="17"/>
  <c r="I10" i="17"/>
  <c r="G67" i="9"/>
  <c r="G79" i="9"/>
  <c r="O79" i="9"/>
  <c r="H67" i="9"/>
  <c r="I67" i="9"/>
  <c r="J67" i="9"/>
  <c r="K67" i="9"/>
  <c r="L67" i="9"/>
  <c r="M67" i="9"/>
  <c r="H79" i="9"/>
  <c r="I79" i="9"/>
  <c r="J79" i="9"/>
  <c r="K79" i="9"/>
  <c r="L79" i="9"/>
  <c r="M79" i="9"/>
  <c r="H66" i="9"/>
  <c r="I66" i="9"/>
  <c r="J66" i="9"/>
  <c r="K66" i="9"/>
  <c r="L66" i="9"/>
  <c r="M66" i="9"/>
  <c r="E9" i="17"/>
  <c r="E8" i="17"/>
  <c r="D9" i="17"/>
  <c r="P32" i="9"/>
  <c r="P99" i="9" s="1"/>
  <c r="U15" i="19"/>
  <c r="U14" i="19"/>
  <c r="L9" i="27"/>
  <c r="K9" i="27"/>
  <c r="L8" i="27"/>
  <c r="K8" i="27"/>
  <c r="V35" i="19"/>
  <c r="V34" i="19"/>
  <c r="V32" i="19"/>
  <c r="V33" i="19"/>
  <c r="P64" i="11"/>
  <c r="P43" i="19" s="1"/>
  <c r="O64" i="11"/>
  <c r="O43" i="19" s="1"/>
  <c r="N64" i="11"/>
  <c r="N43" i="19" s="1"/>
  <c r="M64" i="11"/>
  <c r="L64" i="11"/>
  <c r="K64" i="11"/>
  <c r="J64" i="11"/>
  <c r="I64" i="11"/>
  <c r="H64" i="11"/>
  <c r="G64" i="11"/>
  <c r="F64" i="11"/>
  <c r="P62" i="11"/>
  <c r="O62" i="11"/>
  <c r="N62" i="11"/>
  <c r="M62" i="11"/>
  <c r="L62" i="11"/>
  <c r="K62" i="11"/>
  <c r="J62" i="11"/>
  <c r="I62" i="11"/>
  <c r="H62" i="11"/>
  <c r="G62" i="11"/>
  <c r="F62" i="11"/>
  <c r="P60" i="11"/>
  <c r="O60" i="11"/>
  <c r="N60" i="11"/>
  <c r="M60" i="11"/>
  <c r="L60" i="11"/>
  <c r="K60" i="11"/>
  <c r="J60" i="11"/>
  <c r="I60" i="11"/>
  <c r="H60" i="11"/>
  <c r="G60" i="11"/>
  <c r="F60" i="11"/>
  <c r="P59" i="11"/>
  <c r="O59" i="11"/>
  <c r="N59" i="11"/>
  <c r="M59" i="11"/>
  <c r="L59" i="11"/>
  <c r="K59" i="11"/>
  <c r="J59" i="11"/>
  <c r="I59" i="11"/>
  <c r="H59" i="11"/>
  <c r="G59" i="11"/>
  <c r="F59" i="11"/>
  <c r="L58" i="11"/>
  <c r="K58" i="11"/>
  <c r="J58" i="11"/>
  <c r="I58" i="11"/>
  <c r="H58" i="11"/>
  <c r="G58" i="11"/>
  <c r="F58" i="11"/>
  <c r="O53" i="11"/>
  <c r="P53" i="11" s="1"/>
  <c r="H53" i="11"/>
  <c r="I53" i="11" s="1"/>
  <c r="J53" i="11" s="1"/>
  <c r="K53" i="11" s="1"/>
  <c r="L53" i="11" s="1"/>
  <c r="M53" i="11" s="1"/>
  <c r="G53" i="11"/>
  <c r="P55" i="11"/>
  <c r="O55" i="11"/>
  <c r="N55" i="11"/>
  <c r="M55" i="11"/>
  <c r="L55" i="11"/>
  <c r="K55" i="11"/>
  <c r="J55" i="11"/>
  <c r="I55" i="11"/>
  <c r="H55" i="11"/>
  <c r="G55" i="11"/>
  <c r="F55" i="11"/>
  <c r="L42" i="11"/>
  <c r="K42" i="11"/>
  <c r="J42" i="11"/>
  <c r="I42" i="11"/>
  <c r="H42" i="11"/>
  <c r="G42" i="11"/>
  <c r="F42" i="11"/>
  <c r="P29" i="11"/>
  <c r="P38" i="19" s="1"/>
  <c r="O29" i="11"/>
  <c r="O38" i="19" s="1"/>
  <c r="N29" i="11"/>
  <c r="N38" i="19" s="1"/>
  <c r="M29" i="11"/>
  <c r="L29" i="11"/>
  <c r="K29" i="11"/>
  <c r="J29" i="11"/>
  <c r="I29" i="11"/>
  <c r="H29" i="11"/>
  <c r="G29" i="11"/>
  <c r="F29" i="11"/>
  <c r="L28" i="11"/>
  <c r="K28" i="11"/>
  <c r="J28" i="11"/>
  <c r="I28" i="11"/>
  <c r="H28" i="11"/>
  <c r="G28" i="11"/>
  <c r="F28" i="11"/>
  <c r="P27" i="11"/>
  <c r="P36" i="19" s="1"/>
  <c r="O27" i="11"/>
  <c r="O36" i="19" s="1"/>
  <c r="N27" i="11"/>
  <c r="N36" i="19" s="1"/>
  <c r="M27" i="11"/>
  <c r="L27" i="11"/>
  <c r="K27" i="11"/>
  <c r="J27" i="11"/>
  <c r="I27" i="11"/>
  <c r="H27" i="11"/>
  <c r="G27" i="11"/>
  <c r="F27" i="11"/>
  <c r="P22" i="11"/>
  <c r="P32" i="19" s="1"/>
  <c r="O22" i="11"/>
  <c r="O32" i="19" s="1"/>
  <c r="N22" i="11"/>
  <c r="N32" i="19" s="1"/>
  <c r="M22" i="11"/>
  <c r="L22" i="11"/>
  <c r="K22" i="11"/>
  <c r="J22" i="11"/>
  <c r="I22" i="11"/>
  <c r="H22" i="11"/>
  <c r="G22" i="11"/>
  <c r="F22" i="11"/>
  <c r="H10" i="17"/>
  <c r="H9" i="17"/>
  <c r="H8" i="17"/>
  <c r="G10" i="17"/>
  <c r="G9" i="17"/>
  <c r="G8" i="17"/>
  <c r="F10" i="17"/>
  <c r="F9" i="17"/>
  <c r="F8" i="17"/>
  <c r="N85" i="17" a="1"/>
  <c r="N85" i="17" s="1"/>
  <c r="M85" i="17" a="1"/>
  <c r="M85" i="17" s="1"/>
  <c r="L85" i="17" a="1"/>
  <c r="L85" i="17" s="1"/>
  <c r="K85" i="17" a="1"/>
  <c r="K85" i="17" s="1"/>
  <c r="J85" i="17" a="1"/>
  <c r="J85" i="17" s="1"/>
  <c r="I85" i="17" a="1"/>
  <c r="I85" i="17" s="1"/>
  <c r="H85" i="17" a="1"/>
  <c r="H85" i="17" s="1"/>
  <c r="G85" i="17" a="1"/>
  <c r="G85" i="17" s="1"/>
  <c r="N74" i="17" a="1"/>
  <c r="N74" i="17" s="1"/>
  <c r="N75" i="17" s="1"/>
  <c r="M74" i="17" a="1"/>
  <c r="M74" i="17" s="1"/>
  <c r="M75" i="17" s="1"/>
  <c r="L74" i="17" a="1"/>
  <c r="L74" i="17" s="1"/>
  <c r="L75" i="17" s="1"/>
  <c r="K74" i="17" a="1"/>
  <c r="K74" i="17" s="1"/>
  <c r="K75" i="17" s="1"/>
  <c r="J74" i="17" a="1"/>
  <c r="J74" i="17" s="1"/>
  <c r="J75" i="17" s="1"/>
  <c r="I74" i="17" a="1"/>
  <c r="I74" i="17" s="1"/>
  <c r="I75" i="17" s="1"/>
  <c r="H74" i="17" a="1"/>
  <c r="H74" i="17" s="1"/>
  <c r="H75" i="17" s="1"/>
  <c r="G74" i="17" a="1"/>
  <c r="G74" i="17" s="1"/>
  <c r="G75" i="17" s="1"/>
  <c r="F74" i="17" a="1"/>
  <c r="F74" i="17" s="1"/>
  <c r="F75" i="17" s="1"/>
  <c r="D12" i="4"/>
  <c r="D11" i="4"/>
  <c r="D10" i="4"/>
  <c r="D9" i="4"/>
  <c r="D8" i="4"/>
  <c r="D7" i="4"/>
  <c r="Q258" i="8"/>
  <c r="P258" i="8"/>
  <c r="O258" i="8"/>
  <c r="N258" i="8"/>
  <c r="M258" i="8"/>
  <c r="L258" i="8"/>
  <c r="K258" i="8"/>
  <c r="J258" i="8"/>
  <c r="I258" i="8"/>
  <c r="H258" i="8"/>
  <c r="V73" i="19"/>
  <c r="V72" i="19"/>
  <c r="V71" i="19"/>
  <c r="V70" i="19"/>
  <c r="V69" i="19"/>
  <c r="V68" i="19"/>
  <c r="V67" i="19"/>
  <c r="V66" i="19"/>
  <c r="V65" i="19"/>
  <c r="V64" i="19"/>
  <c r="V63" i="19"/>
  <c r="V62" i="19"/>
  <c r="V61" i="19"/>
  <c r="P61" i="11"/>
  <c r="O61" i="11"/>
  <c r="N61" i="11"/>
  <c r="M61" i="11"/>
  <c r="L61" i="11"/>
  <c r="K61" i="11"/>
  <c r="J61" i="11"/>
  <c r="I61" i="11"/>
  <c r="H61" i="11"/>
  <c r="G61" i="11"/>
  <c r="F61" i="11"/>
  <c r="N67" i="17"/>
  <c r="M67" i="17"/>
  <c r="L67" i="17"/>
  <c r="K67" i="17"/>
  <c r="J67" i="17"/>
  <c r="I67" i="17"/>
  <c r="H67" i="17"/>
  <c r="G67" i="17"/>
  <c r="F67" i="17"/>
  <c r="E67" i="17"/>
  <c r="K16" i="27"/>
  <c r="K15" i="27"/>
  <c r="K14" i="27"/>
  <c r="K13" i="27"/>
  <c r="K12" i="27"/>
  <c r="N66" i="17"/>
  <c r="M66" i="17"/>
  <c r="L66" i="17"/>
  <c r="K66" i="17"/>
  <c r="J66" i="17"/>
  <c r="I66" i="17"/>
  <c r="H66" i="17"/>
  <c r="G66" i="17"/>
  <c r="F66" i="17"/>
  <c r="N98" i="9" a="1"/>
  <c r="Q98" i="9" a="1"/>
  <c r="O98" i="9" a="1"/>
  <c r="P98" i="9" a="1"/>
  <c r="R113" i="9" l="1"/>
  <c r="G18" i="6"/>
  <c r="D121" i="17"/>
  <c r="AB28" i="8"/>
  <c r="AA135" i="8"/>
  <c r="O98" i="9"/>
  <c r="P98" i="9"/>
  <c r="Q98" i="9"/>
  <c r="N98" i="9"/>
  <c r="F19" i="27"/>
  <c r="D17" i="27"/>
  <c r="F10" i="27"/>
  <c r="H8" i="27"/>
  <c r="E7" i="27"/>
  <c r="H11" i="27"/>
  <c r="G8" i="27"/>
  <c r="F8" i="27"/>
  <c r="H9" i="27"/>
  <c r="F9" i="27"/>
  <c r="H7" i="27"/>
  <c r="H10" i="27"/>
  <c r="G7" i="27"/>
  <c r="G10" i="27"/>
  <c r="F7" i="27"/>
  <c r="E19" i="27"/>
  <c r="E10" i="27"/>
  <c r="D7" i="27"/>
  <c r="F18" i="27"/>
  <c r="E8" i="27"/>
  <c r="E18" i="27"/>
  <c r="G9" i="27"/>
  <c r="L14" i="27"/>
  <c r="L13" i="27"/>
  <c r="D19" i="27"/>
  <c r="G11" i="27"/>
  <c r="D10" i="27"/>
  <c r="F11" i="27"/>
  <c r="E11" i="27"/>
  <c r="D8" i="27"/>
  <c r="D18" i="27"/>
  <c r="F17" i="27"/>
  <c r="E9" i="27"/>
  <c r="L12" i="27"/>
  <c r="D11" i="27"/>
  <c r="E17" i="27"/>
  <c r="D9" i="27"/>
  <c r="L15" i="27"/>
  <c r="N63" i="17"/>
  <c r="M63" i="17"/>
  <c r="L63" i="17"/>
  <c r="K63" i="17"/>
  <c r="J63" i="17"/>
  <c r="I63" i="17"/>
  <c r="H63" i="17"/>
  <c r="G63" i="17"/>
  <c r="F63" i="17"/>
  <c r="E63" i="17"/>
  <c r="I105" i="9"/>
  <c r="J105" i="9"/>
  <c r="K105" i="9"/>
  <c r="L105" i="9" s="1"/>
  <c r="M105" i="9" s="1"/>
  <c r="N105" i="9" s="1"/>
  <c r="O105" i="9" s="1"/>
  <c r="P105" i="9" s="1"/>
  <c r="Q105" i="9" s="1"/>
  <c r="N65" i="17"/>
  <c r="M65" i="17"/>
  <c r="L65" i="17"/>
  <c r="K65" i="17"/>
  <c r="J65" i="17"/>
  <c r="I65" i="17"/>
  <c r="H65" i="17"/>
  <c r="G65" i="17"/>
  <c r="F65" i="17"/>
  <c r="E65" i="17"/>
  <c r="AB135" i="8" l="1"/>
  <c r="AN291" i="8"/>
  <c r="AN281" i="8"/>
  <c r="F64" i="17"/>
  <c r="G64" i="17"/>
  <c r="H64" i="17"/>
  <c r="I64" i="17"/>
  <c r="J64" i="17"/>
  <c r="K64" i="17"/>
  <c r="L64" i="17"/>
  <c r="M64" i="17"/>
  <c r="N64" i="17"/>
  <c r="E68" i="17"/>
  <c r="F68" i="17"/>
  <c r="G68" i="17"/>
  <c r="H68" i="17"/>
  <c r="I68" i="17"/>
  <c r="J68" i="17"/>
  <c r="K68" i="17"/>
  <c r="L68" i="17"/>
  <c r="M68" i="17"/>
  <c r="N68" i="17"/>
  <c r="E64" i="17"/>
  <c r="Q86" i="28" l="1"/>
  <c r="P86" i="28"/>
  <c r="O86" i="28"/>
  <c r="N86" i="28"/>
  <c r="M86" i="28"/>
  <c r="L86" i="28"/>
  <c r="K86" i="28"/>
  <c r="J86" i="28"/>
  <c r="I86" i="28"/>
  <c r="H86" i="28"/>
  <c r="G86" i="28"/>
  <c r="Q85" i="28"/>
  <c r="P85" i="28"/>
  <c r="O85" i="28"/>
  <c r="N85" i="28"/>
  <c r="M85" i="28"/>
  <c r="L85" i="28"/>
  <c r="K85" i="28"/>
  <c r="J85" i="28"/>
  <c r="I85" i="28"/>
  <c r="H85" i="28"/>
  <c r="G85" i="28"/>
  <c r="Q84" i="28"/>
  <c r="P84" i="28"/>
  <c r="O84" i="28"/>
  <c r="N84" i="28"/>
  <c r="M84" i="28"/>
  <c r="L84" i="28"/>
  <c r="K84" i="28"/>
  <c r="J84" i="28"/>
  <c r="I84" i="28"/>
  <c r="H84" i="28"/>
  <c r="G84" i="28"/>
  <c r="Q83" i="28"/>
  <c r="P83" i="28"/>
  <c r="O83" i="28"/>
  <c r="N83" i="28"/>
  <c r="M83" i="28"/>
  <c r="L83" i="28"/>
  <c r="K83" i="28"/>
  <c r="J83" i="28"/>
  <c r="I83" i="28"/>
  <c r="H83" i="28"/>
  <c r="G83" i="28"/>
  <c r="Q82" i="28"/>
  <c r="P82" i="28"/>
  <c r="O82" i="28"/>
  <c r="N82" i="28"/>
  <c r="M82" i="28"/>
  <c r="L82" i="28"/>
  <c r="K82" i="28"/>
  <c r="J82" i="28"/>
  <c r="I82" i="28"/>
  <c r="H82" i="28"/>
  <c r="G82" i="28"/>
  <c r="Q81" i="28"/>
  <c r="P81" i="28"/>
  <c r="O81" i="28"/>
  <c r="N81" i="28"/>
  <c r="M81" i="28"/>
  <c r="L81" i="28"/>
  <c r="K81" i="28"/>
  <c r="J81" i="28"/>
  <c r="I81" i="28"/>
  <c r="H81" i="28"/>
  <c r="G81" i="28"/>
  <c r="Q80" i="28"/>
  <c r="P80" i="28"/>
  <c r="O80" i="28"/>
  <c r="N80" i="28"/>
  <c r="M80" i="28"/>
  <c r="L80" i="28"/>
  <c r="K80" i="28"/>
  <c r="J80" i="28"/>
  <c r="I80" i="28"/>
  <c r="H80" i="28"/>
  <c r="G80" i="28"/>
  <c r="Q79" i="28"/>
  <c r="P79" i="28"/>
  <c r="O79" i="28"/>
  <c r="N79" i="28"/>
  <c r="M79" i="28"/>
  <c r="L79" i="28"/>
  <c r="K79" i="28"/>
  <c r="J79" i="28"/>
  <c r="I79" i="28"/>
  <c r="H79" i="28"/>
  <c r="G79" i="28"/>
  <c r="Q78" i="28"/>
  <c r="P78" i="28"/>
  <c r="O78" i="28"/>
  <c r="N78" i="28"/>
  <c r="M78" i="28"/>
  <c r="L78" i="28"/>
  <c r="K78" i="28"/>
  <c r="J78" i="28"/>
  <c r="I78" i="28"/>
  <c r="H78" i="28"/>
  <c r="G78" i="28"/>
  <c r="Q77" i="28"/>
  <c r="P77" i="28"/>
  <c r="O77" i="28"/>
  <c r="N77" i="28"/>
  <c r="M77" i="28"/>
  <c r="L77" i="28"/>
  <c r="K77" i="28"/>
  <c r="J77" i="28"/>
  <c r="I77" i="28"/>
  <c r="H77" i="28"/>
  <c r="G77" i="28"/>
  <c r="Q76" i="28"/>
  <c r="P76" i="28"/>
  <c r="O76" i="28"/>
  <c r="N76" i="28"/>
  <c r="M76" i="28"/>
  <c r="L76" i="28"/>
  <c r="K76" i="28"/>
  <c r="J76" i="28"/>
  <c r="I76" i="28"/>
  <c r="H76" i="28"/>
  <c r="G76" i="28"/>
  <c r="H74" i="28"/>
  <c r="I74" i="28" s="1"/>
  <c r="J74" i="28" s="1"/>
  <c r="K74" i="28" s="1"/>
  <c r="L74" i="28" s="1"/>
  <c r="M74" i="28" s="1"/>
  <c r="N74" i="28" s="1"/>
  <c r="O74" i="28" s="1"/>
  <c r="P74" i="28" s="1"/>
  <c r="Q74" i="28" s="1"/>
  <c r="H25" i="17"/>
  <c r="N36" i="17"/>
  <c r="M36" i="17"/>
  <c r="L36" i="17"/>
  <c r="K36" i="17"/>
  <c r="J36" i="17"/>
  <c r="I36" i="17"/>
  <c r="H36" i="17"/>
  <c r="G36" i="17"/>
  <c r="F36" i="17"/>
  <c r="E36" i="17"/>
  <c r="N35" i="17"/>
  <c r="M35" i="17"/>
  <c r="L35" i="17"/>
  <c r="K35" i="17"/>
  <c r="J35" i="17"/>
  <c r="I35" i="17"/>
  <c r="H35" i="17"/>
  <c r="G35" i="17"/>
  <c r="F35" i="17"/>
  <c r="E35" i="17"/>
  <c r="N34" i="17"/>
  <c r="M34" i="17"/>
  <c r="L34" i="17"/>
  <c r="K34" i="17"/>
  <c r="J34" i="17"/>
  <c r="I34" i="17"/>
  <c r="H34" i="17"/>
  <c r="N33" i="17"/>
  <c r="M33" i="17"/>
  <c r="L33" i="17"/>
  <c r="K33" i="17"/>
  <c r="J33" i="17"/>
  <c r="I33" i="17"/>
  <c r="H33" i="17"/>
  <c r="G33" i="17"/>
  <c r="F33" i="17"/>
  <c r="E33" i="17"/>
  <c r="N32" i="17"/>
  <c r="M32" i="17"/>
  <c r="L32" i="17"/>
  <c r="K32" i="17"/>
  <c r="J32" i="17"/>
  <c r="I32" i="17"/>
  <c r="H32" i="17"/>
  <c r="G32" i="17"/>
  <c r="F32" i="17"/>
  <c r="E32" i="17"/>
  <c r="N31" i="17"/>
  <c r="M31" i="17"/>
  <c r="L31" i="17"/>
  <c r="K31" i="17"/>
  <c r="J31" i="17"/>
  <c r="I31" i="17"/>
  <c r="H31" i="17"/>
  <c r="G31" i="17"/>
  <c r="F31" i="17"/>
  <c r="E31" i="17"/>
  <c r="N41" i="17"/>
  <c r="M41" i="17"/>
  <c r="L41" i="17"/>
  <c r="K41" i="17"/>
  <c r="J41" i="17"/>
  <c r="I41" i="17"/>
  <c r="H41" i="17"/>
  <c r="G41" i="17"/>
  <c r="F41" i="17"/>
  <c r="E41" i="17"/>
  <c r="N40" i="17"/>
  <c r="M40" i="17"/>
  <c r="L40" i="17"/>
  <c r="K40" i="17"/>
  <c r="J40" i="17"/>
  <c r="I40" i="17"/>
  <c r="H40" i="17"/>
  <c r="G40" i="17"/>
  <c r="F40" i="17"/>
  <c r="E40" i="17"/>
  <c r="N48" i="17"/>
  <c r="M48" i="17"/>
  <c r="L48" i="17"/>
  <c r="K48" i="17"/>
  <c r="J48" i="17"/>
  <c r="I48" i="17"/>
  <c r="H48" i="17"/>
  <c r="G48" i="17"/>
  <c r="F48" i="17"/>
  <c r="E48" i="17"/>
  <c r="N47" i="17"/>
  <c r="M47" i="17"/>
  <c r="L47" i="17"/>
  <c r="K47" i="17"/>
  <c r="J47" i="17"/>
  <c r="I47" i="17"/>
  <c r="H47" i="17"/>
  <c r="G47" i="17"/>
  <c r="F47" i="17"/>
  <c r="E47" i="17"/>
  <c r="N46" i="17"/>
  <c r="M46" i="17"/>
  <c r="L46" i="17"/>
  <c r="K46" i="17"/>
  <c r="J46" i="17"/>
  <c r="I46" i="17"/>
  <c r="H46" i="17"/>
  <c r="G46" i="17"/>
  <c r="F46" i="17"/>
  <c r="E46" i="17"/>
  <c r="O78" i="17"/>
  <c r="O77" i="17"/>
  <c r="O76" i="17"/>
  <c r="O69" i="17"/>
  <c r="N62" i="17"/>
  <c r="M62" i="17"/>
  <c r="L62" i="17"/>
  <c r="K62" i="17"/>
  <c r="J62" i="17"/>
  <c r="I62" i="17"/>
  <c r="H62" i="17"/>
  <c r="G62" i="17"/>
  <c r="F62" i="17"/>
  <c r="E62" i="17"/>
  <c r="N61" i="17"/>
  <c r="M61" i="17"/>
  <c r="L61" i="17"/>
  <c r="K61" i="17"/>
  <c r="J61" i="17"/>
  <c r="I61" i="17"/>
  <c r="H61" i="17"/>
  <c r="F61" i="17"/>
  <c r="E61" i="17"/>
  <c r="D6" i="4"/>
  <c r="H60" i="28"/>
  <c r="I60" i="28" s="1"/>
  <c r="J60" i="28" s="1"/>
  <c r="K60" i="28" s="1"/>
  <c r="L60" i="28" s="1"/>
  <c r="M60" i="28" s="1"/>
  <c r="N60" i="28" s="1"/>
  <c r="O60" i="28" s="1"/>
  <c r="P60" i="28" s="1"/>
  <c r="Q60" i="28" s="1"/>
  <c r="H46" i="28"/>
  <c r="I46" i="28" s="1"/>
  <c r="J46" i="28" s="1"/>
  <c r="K46" i="28" s="1"/>
  <c r="L46" i="28" s="1"/>
  <c r="M46" i="28" s="1"/>
  <c r="N46" i="28" s="1"/>
  <c r="O46" i="28" s="1"/>
  <c r="P46" i="28" s="1"/>
  <c r="Q46" i="28" s="1"/>
  <c r="H18" i="28"/>
  <c r="I18" i="28" s="1"/>
  <c r="J18" i="28" s="1"/>
  <c r="K18" i="28" s="1"/>
  <c r="L18" i="28" s="1"/>
  <c r="M18" i="28" s="1"/>
  <c r="N18" i="28" s="1"/>
  <c r="O18" i="28" s="1"/>
  <c r="P18" i="28" s="1"/>
  <c r="Q18" i="28" s="1"/>
  <c r="H32" i="28"/>
  <c r="I32" i="28" s="1"/>
  <c r="J32" i="28" s="1"/>
  <c r="K32" i="28" s="1"/>
  <c r="L32" i="28" s="1"/>
  <c r="M32" i="28" s="1"/>
  <c r="N32" i="28" s="1"/>
  <c r="O32" i="28" s="1"/>
  <c r="P32" i="28" s="1"/>
  <c r="Q32" i="28" s="1"/>
  <c r="H4" i="28"/>
  <c r="D13" i="4" l="1"/>
  <c r="I4" i="28"/>
  <c r="J14" i="6"/>
  <c r="K14" i="6"/>
  <c r="O25" i="19"/>
  <c r="P25" i="19" s="1"/>
  <c r="Q25" i="19" s="1"/>
  <c r="R25" i="19" s="1"/>
  <c r="O53" i="19"/>
  <c r="P53" i="19" s="1"/>
  <c r="Q53" i="19" s="1"/>
  <c r="R53" i="19" s="1"/>
  <c r="O45" i="19"/>
  <c r="P45" i="19" s="1"/>
  <c r="Q45" i="19" s="1"/>
  <c r="R45" i="19" s="1"/>
  <c r="O40" i="19"/>
  <c r="P40" i="19" s="1"/>
  <c r="Q40" i="19" s="1"/>
  <c r="R40" i="19" s="1"/>
  <c r="O35" i="19"/>
  <c r="P35" i="19" s="1"/>
  <c r="Q35" i="19" s="1"/>
  <c r="R35" i="19" s="1"/>
  <c r="O17" i="19"/>
  <c r="P17" i="19" s="1"/>
  <c r="Q17" i="19" s="1"/>
  <c r="R17" i="19" s="1"/>
  <c r="G17" i="19"/>
  <c r="H17" i="19" s="1"/>
  <c r="I17" i="19" s="1"/>
  <c r="H25" i="19"/>
  <c r="D27" i="19"/>
  <c r="D28" i="19" s="1"/>
  <c r="D29" i="19" s="1"/>
  <c r="D30" i="19" s="1"/>
  <c r="D31" i="19" s="1"/>
  <c r="D32" i="19" s="1"/>
  <c r="D33" i="19" s="1"/>
  <c r="O80" i="17"/>
  <c r="O71" i="17"/>
  <c r="O50" i="17"/>
  <c r="O44" i="17"/>
  <c r="O38" i="17"/>
  <c r="O59" i="17" s="1"/>
  <c r="H27" i="17"/>
  <c r="H26" i="17"/>
  <c r="H24" i="17"/>
  <c r="U9" i="19" a="1"/>
  <c r="D6" i="19" a="1"/>
  <c r="J4" i="28" l="1"/>
  <c r="D6" i="19"/>
  <c r="U9" i="19"/>
  <c r="O47" i="11"/>
  <c r="P47" i="11" s="1"/>
  <c r="Q47" i="11" s="1"/>
  <c r="R47" i="11" s="1"/>
  <c r="G47" i="11"/>
  <c r="H47" i="11" s="1"/>
  <c r="I47" i="11" s="1"/>
  <c r="J47" i="11" s="1"/>
  <c r="K47" i="11" s="1"/>
  <c r="L47" i="11" s="1"/>
  <c r="M47" i="11" s="1"/>
  <c r="O38" i="11"/>
  <c r="P38" i="11" s="1"/>
  <c r="Q38" i="11" s="1"/>
  <c r="R38" i="11" s="1"/>
  <c r="G38" i="11"/>
  <c r="H38" i="11" s="1"/>
  <c r="I38" i="11" s="1"/>
  <c r="J38" i="11" s="1"/>
  <c r="K38" i="11" s="1"/>
  <c r="L38" i="11" s="1"/>
  <c r="M38" i="11" s="1"/>
  <c r="O31" i="11"/>
  <c r="P31" i="11" s="1"/>
  <c r="Q31" i="11" s="1"/>
  <c r="R31" i="11" s="1"/>
  <c r="G31" i="11"/>
  <c r="H31" i="11" s="1"/>
  <c r="I31" i="11" s="1"/>
  <c r="J31" i="11" s="1"/>
  <c r="K31" i="11" s="1"/>
  <c r="L31" i="11" s="1"/>
  <c r="M31" i="11" s="1"/>
  <c r="O25" i="11"/>
  <c r="P25" i="11" s="1"/>
  <c r="Q25" i="11" s="1"/>
  <c r="R25" i="11" s="1"/>
  <c r="G25" i="11"/>
  <c r="H25" i="11" s="1"/>
  <c r="I25" i="11" s="1"/>
  <c r="J25" i="11" s="1"/>
  <c r="K25" i="11" s="1"/>
  <c r="L25" i="11" s="1"/>
  <c r="M25" i="11" s="1"/>
  <c r="O13" i="11"/>
  <c r="P13" i="11" s="1"/>
  <c r="Q13" i="11" s="1"/>
  <c r="R13" i="11" s="1"/>
  <c r="G13" i="11"/>
  <c r="H13" i="11" s="1"/>
  <c r="I13" i="11" s="1"/>
  <c r="J13" i="11" s="1"/>
  <c r="K13" i="11" s="1"/>
  <c r="L13" i="11" s="1"/>
  <c r="M13" i="11" s="1"/>
  <c r="G4" i="11"/>
  <c r="H4" i="11" s="1"/>
  <c r="I4" i="11" s="1"/>
  <c r="J4" i="11" s="1"/>
  <c r="K4" i="11" s="1"/>
  <c r="L4" i="11" s="1"/>
  <c r="M4" i="11" s="1"/>
  <c r="F11" i="3"/>
  <c r="O73" i="17"/>
  <c r="N56" i="17"/>
  <c r="M56" i="17"/>
  <c r="L56" i="17"/>
  <c r="K56" i="17"/>
  <c r="J56" i="17"/>
  <c r="I56" i="17"/>
  <c r="H56" i="17"/>
  <c r="G56" i="17"/>
  <c r="F56" i="17"/>
  <c r="E56" i="17"/>
  <c r="N55" i="17"/>
  <c r="M55" i="17"/>
  <c r="L55" i="17"/>
  <c r="K55" i="17"/>
  <c r="J55" i="17"/>
  <c r="I55" i="17"/>
  <c r="H55" i="17"/>
  <c r="G55" i="17"/>
  <c r="F55" i="17"/>
  <c r="E55" i="17"/>
  <c r="N54" i="17"/>
  <c r="M54" i="17"/>
  <c r="L54" i="17"/>
  <c r="K54" i="17"/>
  <c r="J54" i="17"/>
  <c r="I54" i="17"/>
  <c r="H54" i="17"/>
  <c r="G54" i="17"/>
  <c r="F54" i="17"/>
  <c r="E54" i="17"/>
  <c r="N53" i="17"/>
  <c r="M53" i="17"/>
  <c r="L53" i="17"/>
  <c r="K53" i="17"/>
  <c r="J53" i="17"/>
  <c r="I53" i="17"/>
  <c r="H53" i="17"/>
  <c r="G53" i="17"/>
  <c r="F53" i="17"/>
  <c r="E53" i="17"/>
  <c r="N52" i="17"/>
  <c r="M52" i="17"/>
  <c r="L52" i="17"/>
  <c r="K52" i="17"/>
  <c r="J52" i="17"/>
  <c r="I52" i="17"/>
  <c r="H52" i="17"/>
  <c r="G52" i="17"/>
  <c r="E52" i="17"/>
  <c r="N42" i="17"/>
  <c r="M42" i="17"/>
  <c r="L42" i="17"/>
  <c r="K42" i="17"/>
  <c r="J42" i="17"/>
  <c r="I42" i="17"/>
  <c r="H42" i="17"/>
  <c r="G42" i="17"/>
  <c r="F42" i="17"/>
  <c r="E42" i="17"/>
  <c r="G99" i="17"/>
  <c r="F99" i="17"/>
  <c r="E99" i="17"/>
  <c r="A10" i="17"/>
  <c r="A9" i="17"/>
  <c r="A8" i="17"/>
  <c r="D91" i="17"/>
  <c r="Q53" i="11"/>
  <c r="R53" i="11" s="1"/>
  <c r="W8" i="8"/>
  <c r="W9" i="8" s="1"/>
  <c r="W10" i="8" s="1"/>
  <c r="W11" i="8" s="1"/>
  <c r="W12" i="8" s="1"/>
  <c r="W14" i="8" s="1"/>
  <c r="W15" i="8" s="1"/>
  <c r="H111" i="9"/>
  <c r="I111" i="9" s="1"/>
  <c r="J111" i="9" s="1"/>
  <c r="K111" i="9" s="1"/>
  <c r="L111" i="9" s="1"/>
  <c r="M111" i="9" s="1"/>
  <c r="N111" i="9" s="1"/>
  <c r="O111" i="9" s="1"/>
  <c r="P111" i="9" s="1"/>
  <c r="Q111" i="9" s="1"/>
  <c r="N67" i="9"/>
  <c r="F48" i="8"/>
  <c r="N76" i="9"/>
  <c r="M58" i="11" s="1"/>
  <c r="Q76" i="9"/>
  <c r="F21" i="11"/>
  <c r="G54" i="8"/>
  <c r="G144" i="8"/>
  <c r="E54" i="8"/>
  <c r="E40" i="8"/>
  <c r="E152" i="8"/>
  <c r="F144" i="8"/>
  <c r="F152" i="8"/>
  <c r="E99" i="8"/>
  <c r="G162" i="8"/>
  <c r="G40" i="8"/>
  <c r="H40" i="8" s="1"/>
  <c r="I40" i="8" s="1"/>
  <c r="J40" i="8" s="1"/>
  <c r="K40" i="8" s="1"/>
  <c r="L40" i="8" s="1"/>
  <c r="M40" i="8" s="1"/>
  <c r="N40" i="8" s="1"/>
  <c r="O40" i="8" s="1"/>
  <c r="P40" i="8" s="1"/>
  <c r="Q40" i="8" s="1"/>
  <c r="R40" i="8" s="1"/>
  <c r="S40" i="8" s="1"/>
  <c r="T40" i="8" s="1"/>
  <c r="U40" i="8" s="1"/>
  <c r="V40" i="8" s="1"/>
  <c r="W40" i="8" s="1"/>
  <c r="X40" i="8" s="1"/>
  <c r="Y40" i="8" s="1"/>
  <c r="Z40" i="8" s="1"/>
  <c r="AA40" i="8" s="1"/>
  <c r="AB40" i="8" s="1"/>
  <c r="F91" i="8"/>
  <c r="E69" i="8"/>
  <c r="E164" i="8"/>
  <c r="F40" i="8"/>
  <c r="G152" i="8"/>
  <c r="G43" i="8"/>
  <c r="E130" i="8"/>
  <c r="F99" i="8"/>
  <c r="G99" i="8"/>
  <c r="F54" i="8"/>
  <c r="B28" i="3" a="1"/>
  <c r="J8" i="17" l="1" a="1"/>
  <c r="J8" i="17" s="1"/>
  <c r="K8" i="17" a="1"/>
  <c r="K8" i="17" s="1"/>
  <c r="N8" i="17" a="1"/>
  <c r="N8" i="17" s="1"/>
  <c r="M8" i="17" a="1"/>
  <c r="M8" i="17" s="1"/>
  <c r="O8" i="17" a="1"/>
  <c r="O8" i="17" s="1"/>
  <c r="L8" i="17" a="1"/>
  <c r="L8" i="17" s="1"/>
  <c r="L9" i="17" a="1"/>
  <c r="L9" i="17" s="1"/>
  <c r="O9" i="17" a="1"/>
  <c r="O9" i="17" s="1"/>
  <c r="J9" i="17" a="1"/>
  <c r="J9" i="17" s="1"/>
  <c r="N9" i="17" a="1"/>
  <c r="N9" i="17" s="1"/>
  <c r="K9" i="17" a="1"/>
  <c r="K9" i="17" s="1"/>
  <c r="M9" i="17" a="1"/>
  <c r="M9" i="17" s="1"/>
  <c r="M10" i="17" a="1"/>
  <c r="M10" i="17" s="1"/>
  <c r="L10" i="17" a="1"/>
  <c r="L10" i="17" s="1"/>
  <c r="N10" i="17" a="1"/>
  <c r="N10" i="17" s="1"/>
  <c r="K10" i="17" a="1"/>
  <c r="K10" i="17" s="1"/>
  <c r="O10" i="17" a="1"/>
  <c r="O10" i="17" s="1"/>
  <c r="J10" i="17" a="1"/>
  <c r="J10" i="17" s="1"/>
  <c r="J29" i="17"/>
  <c r="P58" i="11"/>
  <c r="R76" i="9"/>
  <c r="F153" i="8"/>
  <c r="G153" i="8"/>
  <c r="E153" i="8"/>
  <c r="G23" i="6"/>
  <c r="G19" i="6" s="1"/>
  <c r="D85" i="17" a="1"/>
  <c r="D85" i="17" s="1"/>
  <c r="O85" i="17" s="1"/>
  <c r="D74" i="17" a="1"/>
  <c r="D74" i="17" s="1"/>
  <c r="D75" i="17" s="1"/>
  <c r="F18" i="11"/>
  <c r="K4" i="28"/>
  <c r="O28" i="11"/>
  <c r="O37" i="19" s="1"/>
  <c r="O32" i="9"/>
  <c r="O99" i="9" s="1"/>
  <c r="O33" i="11"/>
  <c r="F35" i="11"/>
  <c r="AH9" i="8"/>
  <c r="P67" i="9"/>
  <c r="N32" i="9"/>
  <c r="N99" i="9" s="1"/>
  <c r="Q32" i="9"/>
  <c r="Q99" i="9" s="1"/>
  <c r="F33" i="11"/>
  <c r="AI9" i="8"/>
  <c r="P76" i="9"/>
  <c r="O58" i="11" s="1"/>
  <c r="G35" i="11"/>
  <c r="O76" i="9"/>
  <c r="N58" i="11" s="1"/>
  <c r="M33" i="11"/>
  <c r="L35" i="11"/>
  <c r="H35" i="11"/>
  <c r="F34" i="11"/>
  <c r="G57" i="17"/>
  <c r="I27" i="17"/>
  <c r="I26" i="17"/>
  <c r="I25" i="17"/>
  <c r="I24" i="17"/>
  <c r="B28" i="3"/>
  <c r="L57" i="17"/>
  <c r="I57" i="17"/>
  <c r="E57" i="17"/>
  <c r="M57" i="17"/>
  <c r="F57" i="17"/>
  <c r="N57" i="17"/>
  <c r="H57" i="17"/>
  <c r="J57" i="17"/>
  <c r="K57" i="17"/>
  <c r="A6" i="17"/>
  <c r="F121" i="8"/>
  <c r="N91" i="9"/>
  <c r="O91" i="9"/>
  <c r="P91" i="9"/>
  <c r="Q91" i="9"/>
  <c r="O4" i="11"/>
  <c r="P4" i="11" s="1"/>
  <c r="Q4" i="11" s="1"/>
  <c r="H64" i="9"/>
  <c r="I64" i="9" s="1"/>
  <c r="J64" i="9" s="1"/>
  <c r="K64" i="9" s="1"/>
  <c r="L64" i="9" s="1"/>
  <c r="M64" i="9" s="1"/>
  <c r="N64" i="9" s="1"/>
  <c r="O64" i="9" s="1"/>
  <c r="P64" i="9" s="1"/>
  <c r="Q64" i="9" s="1"/>
  <c r="H30" i="9"/>
  <c r="I30" i="9" s="1"/>
  <c r="J30" i="9" s="1"/>
  <c r="K30" i="9" s="1"/>
  <c r="L30" i="9" s="1"/>
  <c r="M30" i="9" s="1"/>
  <c r="N30" i="9" s="1"/>
  <c r="O30" i="9" s="1"/>
  <c r="P30" i="9" s="1"/>
  <c r="Q30" i="9" s="1"/>
  <c r="H4" i="9"/>
  <c r="E227" i="8"/>
  <c r="E254" i="8" s="1"/>
  <c r="P195" i="8"/>
  <c r="E167" i="8"/>
  <c r="E212" i="8" s="1"/>
  <c r="E119" i="8"/>
  <c r="E82" i="8"/>
  <c r="F16" i="8"/>
  <c r="G16" i="8" s="1"/>
  <c r="H16" i="8" s="1"/>
  <c r="I16" i="8" s="1"/>
  <c r="J16" i="8" s="1"/>
  <c r="K16" i="8" s="1"/>
  <c r="L16" i="8" s="1"/>
  <c r="M16" i="8" s="1"/>
  <c r="N16" i="8" s="1"/>
  <c r="O16" i="8" s="1"/>
  <c r="P16" i="8" s="1"/>
  <c r="Q16" i="8" s="1"/>
  <c r="L10" i="8"/>
  <c r="C14" i="8" s="1"/>
  <c r="F10" i="8"/>
  <c r="I43" i="4"/>
  <c r="D43" i="4" s="1"/>
  <c r="H43" i="4"/>
  <c r="G43" i="4"/>
  <c r="F43" i="4"/>
  <c r="J42" i="4"/>
  <c r="K42" i="4" s="1"/>
  <c r="L42" i="4" s="1"/>
  <c r="M42" i="4" s="1"/>
  <c r="N42" i="4" s="1"/>
  <c r="O42" i="4" s="1"/>
  <c r="P42" i="4" s="1"/>
  <c r="Q42" i="4" s="1"/>
  <c r="R42" i="4" s="1"/>
  <c r="S42" i="4" s="1"/>
  <c r="T42" i="4" s="1"/>
  <c r="I41" i="4"/>
  <c r="D41" i="4" s="1"/>
  <c r="H41" i="4"/>
  <c r="G41" i="4"/>
  <c r="F41" i="4"/>
  <c r="J40" i="4"/>
  <c r="K40" i="4" s="1"/>
  <c r="L40" i="4" s="1"/>
  <c r="M40" i="4" s="1"/>
  <c r="N40" i="4" s="1"/>
  <c r="O40" i="4" s="1"/>
  <c r="P40" i="4" s="1"/>
  <c r="Q40" i="4" s="1"/>
  <c r="R40" i="4" s="1"/>
  <c r="S40" i="4" s="1"/>
  <c r="T40" i="4" s="1"/>
  <c r="I39" i="4"/>
  <c r="H39" i="4"/>
  <c r="G39" i="4"/>
  <c r="F39" i="4"/>
  <c r="J38" i="4"/>
  <c r="K38" i="4" s="1"/>
  <c r="F32" i="4"/>
  <c r="G32" i="4" s="1"/>
  <c r="H32" i="4" s="1"/>
  <c r="I32" i="4" s="1"/>
  <c r="J32" i="4" s="1"/>
  <c r="K32" i="4" s="1"/>
  <c r="L32" i="4" s="1"/>
  <c r="M32" i="4" s="1"/>
  <c r="N32" i="4" s="1"/>
  <c r="O32" i="4" s="1"/>
  <c r="P32" i="4" s="1"/>
  <c r="Q32" i="4" s="1"/>
  <c r="R32" i="4" s="1"/>
  <c r="S32" i="4" s="1"/>
  <c r="T32" i="4" s="1"/>
  <c r="B30" i="4"/>
  <c r="B29" i="4"/>
  <c r="I22" i="4"/>
  <c r="H22" i="4"/>
  <c r="G22" i="4"/>
  <c r="F22" i="4"/>
  <c r="E22" i="4"/>
  <c r="N21" i="4"/>
  <c r="M21" i="4"/>
  <c r="L21" i="4"/>
  <c r="K21" i="4"/>
  <c r="D21" i="4"/>
  <c r="N20" i="4"/>
  <c r="M20" i="4"/>
  <c r="L20" i="4"/>
  <c r="K20" i="4"/>
  <c r="D20" i="4"/>
  <c r="N19" i="4"/>
  <c r="M19" i="4"/>
  <c r="L19" i="4"/>
  <c r="K19" i="4"/>
  <c r="D19" i="4"/>
  <c r="N18" i="4"/>
  <c r="M18" i="4"/>
  <c r="L18" i="4"/>
  <c r="K18" i="4"/>
  <c r="D18" i="4"/>
  <c r="N17" i="4"/>
  <c r="M17" i="4"/>
  <c r="L17" i="4"/>
  <c r="K17" i="4"/>
  <c r="D17" i="4"/>
  <c r="L15" i="4"/>
  <c r="M15" i="4" s="1"/>
  <c r="N15" i="4" s="1"/>
  <c r="F15" i="4"/>
  <c r="G15" i="4" s="1"/>
  <c r="H15" i="4" s="1"/>
  <c r="I15" i="4" s="1"/>
  <c r="I13" i="4"/>
  <c r="H13" i="4"/>
  <c r="G13" i="4"/>
  <c r="F13" i="4"/>
  <c r="E13" i="4"/>
  <c r="N10" i="4"/>
  <c r="N9" i="4"/>
  <c r="L9" i="4"/>
  <c r="K9" i="4"/>
  <c r="N8" i="4"/>
  <c r="N7" i="4"/>
  <c r="M7" i="4"/>
  <c r="N6" i="4"/>
  <c r="M6" i="4"/>
  <c r="L4" i="4"/>
  <c r="M4" i="4" s="1"/>
  <c r="N4" i="4" s="1"/>
  <c r="F4" i="4"/>
  <c r="G11" i="3"/>
  <c r="G4" i="3"/>
  <c r="F66" i="8"/>
  <c r="F67" i="8" s="1"/>
  <c r="G101" i="8"/>
  <c r="G37" i="8"/>
  <c r="K33" i="11"/>
  <c r="G164" i="8"/>
  <c r="G72" i="8"/>
  <c r="F130" i="8"/>
  <c r="E98" i="8"/>
  <c r="G123" i="8"/>
  <c r="F88" i="8"/>
  <c r="L33" i="11"/>
  <c r="G76" i="8"/>
  <c r="N35" i="11"/>
  <c r="H33" i="11"/>
  <c r="G98" i="8"/>
  <c r="E91" i="8"/>
  <c r="F43" i="8"/>
  <c r="F137" i="8"/>
  <c r="F157" i="8"/>
  <c r="G130" i="8"/>
  <c r="G132" i="8"/>
  <c r="L34" i="11"/>
  <c r="M34" i="11"/>
  <c r="E63" i="8"/>
  <c r="E64" i="8" s="1"/>
  <c r="J34" i="11"/>
  <c r="G51" i="8"/>
  <c r="G52" i="8" s="1"/>
  <c r="G63" i="8"/>
  <c r="G149" i="8"/>
  <c r="G157" i="8"/>
  <c r="E135" i="8"/>
  <c r="E136" i="8" s="1"/>
  <c r="G135" i="8"/>
  <c r="G136" i="8" s="1"/>
  <c r="F164" i="8"/>
  <c r="G69" i="8"/>
  <c r="F37" i="8"/>
  <c r="F38" i="8" s="1"/>
  <c r="F155" i="8"/>
  <c r="F98" i="8"/>
  <c r="E144" i="8"/>
  <c r="D28" i="8"/>
  <c r="E29" i="8" s="1"/>
  <c r="F51" i="8"/>
  <c r="F52" i="8" s="1"/>
  <c r="E108" i="8"/>
  <c r="G88" i="8"/>
  <c r="E72" i="8"/>
  <c r="F135" i="8"/>
  <c r="F136" i="8" s="1"/>
  <c r="E66" i="8"/>
  <c r="E67" i="8" s="1"/>
  <c r="E88" i="8"/>
  <c r="N33" i="11"/>
  <c r="O34" i="11"/>
  <c r="E43" i="8"/>
  <c r="E37" i="8"/>
  <c r="E38" i="8" s="1"/>
  <c r="K34" i="11"/>
  <c r="J33" i="11"/>
  <c r="E137" i="8"/>
  <c r="G108" i="8"/>
  <c r="E76" i="8"/>
  <c r="E162" i="8"/>
  <c r="J35" i="11"/>
  <c r="E149" i="8"/>
  <c r="F72" i="8"/>
  <c r="G137" i="8"/>
  <c r="F69" i="8"/>
  <c r="O35" i="11"/>
  <c r="E123" i="8"/>
  <c r="F108" i="8"/>
  <c r="I35" i="11"/>
  <c r="F146" i="8"/>
  <c r="E155" i="8"/>
  <c r="M35" i="11"/>
  <c r="N34" i="11"/>
  <c r="F162" i="8"/>
  <c r="G33" i="11"/>
  <c r="I34" i="11"/>
  <c r="E146" i="8"/>
  <c r="F116" i="8"/>
  <c r="F101" i="8"/>
  <c r="I33" i="11"/>
  <c r="G34" i="11"/>
  <c r="G66" i="8"/>
  <c r="G67" i="8" s="1"/>
  <c r="F63" i="8"/>
  <c r="F64" i="8" s="1"/>
  <c r="G91" i="8"/>
  <c r="G146" i="8"/>
  <c r="K35" i="11"/>
  <c r="H34" i="11"/>
  <c r="F76" i="8"/>
  <c r="F149" i="8"/>
  <c r="G48" i="8"/>
  <c r="G49" i="8" s="1"/>
  <c r="E116" i="8"/>
  <c r="F123" i="8"/>
  <c r="E157" i="8"/>
  <c r="G155" i="8"/>
  <c r="G239" i="8" l="1"/>
  <c r="G64" i="8"/>
  <c r="H63" i="8"/>
  <c r="J80" i="17"/>
  <c r="J50" i="17"/>
  <c r="J44" i="17"/>
  <c r="J38" i="17"/>
  <c r="J59" i="17" s="1"/>
  <c r="J71" i="17"/>
  <c r="F124" i="8"/>
  <c r="P28" i="11"/>
  <c r="P37" i="19" s="1"/>
  <c r="R32" i="9"/>
  <c r="R91" i="9"/>
  <c r="D34" i="4"/>
  <c r="D38" i="4"/>
  <c r="D40" i="4"/>
  <c r="D42" i="4"/>
  <c r="D44" i="4"/>
  <c r="D39" i="4"/>
  <c r="K41" i="11"/>
  <c r="K40" i="11"/>
  <c r="L41" i="11"/>
  <c r="L40" i="11"/>
  <c r="H41" i="11"/>
  <c r="H40" i="11"/>
  <c r="F43" i="11"/>
  <c r="E138" i="8"/>
  <c r="M28" i="11"/>
  <c r="N28" i="11"/>
  <c r="N37" i="19" s="1"/>
  <c r="M36" i="11"/>
  <c r="G138" i="8"/>
  <c r="E124" i="8"/>
  <c r="G124" i="8"/>
  <c r="J36" i="11"/>
  <c r="F36" i="11"/>
  <c r="L36" i="11"/>
  <c r="O36" i="11"/>
  <c r="O41" i="19" s="1"/>
  <c r="E6" i="17"/>
  <c r="E18" i="17" s="1"/>
  <c r="E19" i="17" s="1"/>
  <c r="D6" i="17"/>
  <c r="D18" i="17" s="1"/>
  <c r="D19" i="17" s="1"/>
  <c r="G36" i="11"/>
  <c r="F138" i="8"/>
  <c r="H36" i="11"/>
  <c r="K36" i="11"/>
  <c r="N36" i="11"/>
  <c r="N41" i="19" s="1"/>
  <c r="I36" i="11"/>
  <c r="N7" i="11"/>
  <c r="N19" i="19" s="1"/>
  <c r="V31" i="19"/>
  <c r="G10" i="6"/>
  <c r="B6" i="17" a="1"/>
  <c r="B6" i="17" s="1"/>
  <c r="C6" i="17" a="1"/>
  <c r="C6" i="17" s="1"/>
  <c r="H4" i="3"/>
  <c r="I4" i="3" s="1"/>
  <c r="F45" i="11"/>
  <c r="D67" i="17"/>
  <c r="O67" i="17" s="1"/>
  <c r="F94" i="8"/>
  <c r="D64" i="17"/>
  <c r="O64" i="17" s="1"/>
  <c r="D68" i="17"/>
  <c r="O68" i="17" s="1"/>
  <c r="D66" i="17"/>
  <c r="O66" i="17" s="1"/>
  <c r="D65" i="17"/>
  <c r="O65" i="17" s="1"/>
  <c r="G25" i="17"/>
  <c r="L4" i="28"/>
  <c r="D61" i="17"/>
  <c r="O61" i="17" s="1"/>
  <c r="C9" i="27"/>
  <c r="D48" i="17"/>
  <c r="O48" i="17" s="1"/>
  <c r="N18" i="6"/>
  <c r="N17" i="6"/>
  <c r="N12" i="6"/>
  <c r="N16" i="6"/>
  <c r="N15" i="6"/>
  <c r="N9" i="6"/>
  <c r="N14" i="6"/>
  <c r="N13" i="6"/>
  <c r="N11" i="6"/>
  <c r="N10" i="6"/>
  <c r="D46" i="17"/>
  <c r="O46" i="17" s="1"/>
  <c r="D47" i="17"/>
  <c r="O47" i="17" s="1"/>
  <c r="H195" i="8"/>
  <c r="E97" i="8"/>
  <c r="D55" i="17"/>
  <c r="O55" i="17" s="1"/>
  <c r="G235" i="8"/>
  <c r="G185" i="8"/>
  <c r="E27" i="19"/>
  <c r="E185" i="8"/>
  <c r="E235" i="8"/>
  <c r="G97" i="8"/>
  <c r="G121" i="8"/>
  <c r="G183" i="8" s="1"/>
  <c r="E26" i="19"/>
  <c r="E100" i="8"/>
  <c r="I28" i="19"/>
  <c r="F235" i="8"/>
  <c r="F185" i="8"/>
  <c r="F241" i="8"/>
  <c r="AC8" i="8" s="1"/>
  <c r="F256" i="8"/>
  <c r="AA8" i="8" s="1"/>
  <c r="D54" i="17"/>
  <c r="O54" i="17" s="1"/>
  <c r="E117" i="8"/>
  <c r="E241" i="8"/>
  <c r="AC7" i="8" s="1"/>
  <c r="E28" i="19"/>
  <c r="D53" i="17"/>
  <c r="O53" i="17" s="1"/>
  <c r="G241" i="8"/>
  <c r="AC9" i="8" s="1"/>
  <c r="G256" i="8"/>
  <c r="AA9" i="8" s="1"/>
  <c r="F97" i="8"/>
  <c r="E256" i="8"/>
  <c r="AA7" i="8" s="1"/>
  <c r="F117" i="8"/>
  <c r="F100" i="8"/>
  <c r="D36" i="4"/>
  <c r="N116" i="9"/>
  <c r="Q116" i="9"/>
  <c r="D52" i="17"/>
  <c r="O52" i="17" s="1"/>
  <c r="O67" i="9"/>
  <c r="D22" i="4"/>
  <c r="N22" i="4"/>
  <c r="H37" i="4"/>
  <c r="G100" i="8"/>
  <c r="Q67" i="9"/>
  <c r="R67" i="9" s="1"/>
  <c r="M17" i="6"/>
  <c r="M10" i="6"/>
  <c r="M18" i="6"/>
  <c r="M15" i="6"/>
  <c r="M9" i="6"/>
  <c r="O74" i="17"/>
  <c r="M16" i="6"/>
  <c r="N11" i="3"/>
  <c r="G4" i="4"/>
  <c r="K13" i="4"/>
  <c r="L13" i="4"/>
  <c r="M13" i="4"/>
  <c r="N13" i="4"/>
  <c r="K22" i="4"/>
  <c r="L22" i="4"/>
  <c r="F37" i="4"/>
  <c r="I37" i="4"/>
  <c r="D37" i="4" s="1"/>
  <c r="F167" i="8"/>
  <c r="F212" i="8" s="1"/>
  <c r="F119" i="8"/>
  <c r="F82" i="8"/>
  <c r="M42" i="11"/>
  <c r="N42" i="11"/>
  <c r="N48" i="19" s="1"/>
  <c r="R4" i="11"/>
  <c r="G21" i="11"/>
  <c r="I21" i="11"/>
  <c r="K21" i="11"/>
  <c r="L21" i="11"/>
  <c r="M21" i="11"/>
  <c r="J21" i="11"/>
  <c r="H21" i="11"/>
  <c r="N21" i="11"/>
  <c r="N31" i="19" s="1"/>
  <c r="O21" i="11"/>
  <c r="O31" i="19" s="1"/>
  <c r="P21" i="11"/>
  <c r="P31" i="19" s="1"/>
  <c r="O42" i="11"/>
  <c r="O48" i="19" s="1"/>
  <c r="P42" i="11"/>
  <c r="P48" i="19" s="1"/>
  <c r="I4" i="9"/>
  <c r="E92" i="8"/>
  <c r="G92" i="8"/>
  <c r="F92" i="8"/>
  <c r="G189" i="8"/>
  <c r="G41" i="8"/>
  <c r="F233" i="8"/>
  <c r="F183" i="8"/>
  <c r="G169" i="8"/>
  <c r="G38" i="8"/>
  <c r="G89" i="8"/>
  <c r="E109" i="8"/>
  <c r="F109" i="8"/>
  <c r="G109" i="8"/>
  <c r="F227" i="8"/>
  <c r="F254" i="8" s="1"/>
  <c r="L38" i="4"/>
  <c r="K45" i="4"/>
  <c r="J45" i="4"/>
  <c r="G37" i="4"/>
  <c r="M22" i="4"/>
  <c r="L11" i="3"/>
  <c r="P11" i="3"/>
  <c r="J11" i="3"/>
  <c r="O11" i="3"/>
  <c r="H11" i="3"/>
  <c r="I11" i="3"/>
  <c r="K11" i="3"/>
  <c r="E11" i="3"/>
  <c r="M11" i="3"/>
  <c r="G160" i="8"/>
  <c r="F160" i="8"/>
  <c r="E160" i="8"/>
  <c r="E126" i="8"/>
  <c r="G114" i="8"/>
  <c r="G86" i="8"/>
  <c r="F114" i="8"/>
  <c r="P34" i="11"/>
  <c r="F132" i="8"/>
  <c r="G60" i="8"/>
  <c r="G126" i="8"/>
  <c r="F111" i="8"/>
  <c r="G111" i="8"/>
  <c r="E111" i="8"/>
  <c r="P33" i="11"/>
  <c r="E114" i="8"/>
  <c r="F60" i="8"/>
  <c r="E94" i="8"/>
  <c r="G116" i="8"/>
  <c r="E132" i="8"/>
  <c r="P35" i="11"/>
  <c r="G103" i="8"/>
  <c r="F126" i="8"/>
  <c r="E86" i="8"/>
  <c r="F86" i="8"/>
  <c r="E60" i="8"/>
  <c r="P24" i="17" a="1"/>
  <c r="I84" i="17" a="1"/>
  <c r="H84" i="17" a="1"/>
  <c r="L84" i="17" a="1"/>
  <c r="I83" i="17" a="1"/>
  <c r="M83" i="17" a="1"/>
  <c r="G82" i="17" a="1"/>
  <c r="N82" i="17" a="1"/>
  <c r="E84" i="17" a="1"/>
  <c r="G83" i="17" a="1"/>
  <c r="K83" i="17" a="1"/>
  <c r="G84" i="17" a="1"/>
  <c r="F83" i="17" a="1"/>
  <c r="J82" i="17" a="1"/>
  <c r="E239" i="8" l="1"/>
  <c r="E49" i="8"/>
  <c r="F239" i="8"/>
  <c r="F133" i="8"/>
  <c r="F49" i="8"/>
  <c r="G133" i="8"/>
  <c r="Q49" i="11"/>
  <c r="Q54" i="19" s="1"/>
  <c r="H60" i="8"/>
  <c r="G25" i="6"/>
  <c r="I63" i="8"/>
  <c r="R49" i="11" s="1"/>
  <c r="H111" i="8"/>
  <c r="R116" i="9"/>
  <c r="N19" i="6"/>
  <c r="G13" i="6" s="1"/>
  <c r="D45" i="4"/>
  <c r="F44" i="11"/>
  <c r="J41" i="11"/>
  <c r="J40" i="11"/>
  <c r="G41" i="11"/>
  <c r="G40" i="11"/>
  <c r="I41" i="11"/>
  <c r="I40" i="11"/>
  <c r="F41" i="11"/>
  <c r="F40" i="11"/>
  <c r="H138" i="8"/>
  <c r="I138" i="8" s="1"/>
  <c r="J138" i="8" s="1"/>
  <c r="K138" i="8" s="1"/>
  <c r="H124" i="8"/>
  <c r="I124" i="8" s="1"/>
  <c r="J124" i="8" s="1"/>
  <c r="K124" i="8" s="1"/>
  <c r="H92" i="8"/>
  <c r="H100" i="8"/>
  <c r="I100" i="8" s="1"/>
  <c r="J100" i="8" s="1"/>
  <c r="P36" i="11"/>
  <c r="P41" i="19" s="1"/>
  <c r="G39" i="3"/>
  <c r="I34" i="3"/>
  <c r="I33" i="3"/>
  <c r="I32" i="3"/>
  <c r="I31" i="3"/>
  <c r="I38" i="3"/>
  <c r="I30" i="3"/>
  <c r="I37" i="3"/>
  <c r="I29" i="3"/>
  <c r="I36" i="3"/>
  <c r="I35" i="3"/>
  <c r="H109" i="8"/>
  <c r="I11" i="11"/>
  <c r="I7" i="11"/>
  <c r="O7" i="11"/>
  <c r="O19" i="19" s="1"/>
  <c r="J11" i="11"/>
  <c r="J7" i="11"/>
  <c r="H11" i="11"/>
  <c r="H7" i="11"/>
  <c r="G7" i="11"/>
  <c r="G11" i="11"/>
  <c r="K7" i="11"/>
  <c r="K11" i="11"/>
  <c r="N103" i="9"/>
  <c r="M7" i="11"/>
  <c r="P7" i="11"/>
  <c r="P19" i="19" s="1"/>
  <c r="J4" i="3"/>
  <c r="K4" i="3" s="1"/>
  <c r="L4" i="3" s="1"/>
  <c r="M4" i="3" s="1"/>
  <c r="N4" i="3" s="1"/>
  <c r="O4" i="3" s="1"/>
  <c r="P4" i="3" s="1"/>
  <c r="Q4" i="3" s="1"/>
  <c r="L7" i="11"/>
  <c r="L11" i="11"/>
  <c r="F7" i="11"/>
  <c r="F11" i="11"/>
  <c r="G24" i="17"/>
  <c r="G27" i="17"/>
  <c r="G26" i="17"/>
  <c r="O116" i="9"/>
  <c r="E61" i="8" s="1"/>
  <c r="AD8" i="8"/>
  <c r="G117" i="8"/>
  <c r="H117" i="8" s="1"/>
  <c r="H116" i="8" s="1"/>
  <c r="M4" i="28"/>
  <c r="P24" i="17"/>
  <c r="B12" i="28"/>
  <c r="B82" i="28" s="1"/>
  <c r="M14" i="6"/>
  <c r="B9" i="28"/>
  <c r="B79" i="28" s="1"/>
  <c r="M11" i="6"/>
  <c r="B10" i="28"/>
  <c r="B80" i="28" s="1"/>
  <c r="M12" i="6"/>
  <c r="B11" i="28"/>
  <c r="B81" i="28" s="1"/>
  <c r="M13" i="6"/>
  <c r="L29" i="17"/>
  <c r="B14" i="28"/>
  <c r="B84" i="28" s="1"/>
  <c r="K29" i="17"/>
  <c r="B13" i="28"/>
  <c r="B83" i="28" s="1"/>
  <c r="N29" i="17"/>
  <c r="B16" i="28"/>
  <c r="B86" i="28" s="1"/>
  <c r="E29" i="17"/>
  <c r="B7" i="28"/>
  <c r="B77" i="28" s="1"/>
  <c r="F29" i="17"/>
  <c r="B8" i="28"/>
  <c r="B78" i="28" s="1"/>
  <c r="M29" i="17"/>
  <c r="B15" i="28"/>
  <c r="B85" i="28" s="1"/>
  <c r="M83" i="17"/>
  <c r="J82" i="17"/>
  <c r="K83" i="17"/>
  <c r="I84" i="17"/>
  <c r="I83" i="17"/>
  <c r="L84" i="17"/>
  <c r="N82" i="17"/>
  <c r="G84" i="17"/>
  <c r="G83" i="17"/>
  <c r="G82" i="17"/>
  <c r="H84" i="17"/>
  <c r="F83" i="17"/>
  <c r="E84" i="17"/>
  <c r="H194" i="8"/>
  <c r="H45" i="4"/>
  <c r="D57" i="17"/>
  <c r="O57" i="17" s="1"/>
  <c r="AD9" i="8"/>
  <c r="AD7" i="8"/>
  <c r="G112" i="8"/>
  <c r="I26" i="19"/>
  <c r="I27" i="19"/>
  <c r="H54" i="8"/>
  <c r="E187" i="8"/>
  <c r="G233" i="8"/>
  <c r="H29" i="17"/>
  <c r="I45" i="4"/>
  <c r="F189" i="8"/>
  <c r="E189" i="8"/>
  <c r="G55" i="8"/>
  <c r="E55" i="8"/>
  <c r="F55" i="8"/>
  <c r="P116" i="9"/>
  <c r="G45" i="4"/>
  <c r="AE9" i="8"/>
  <c r="E121" i="8"/>
  <c r="I29" i="17"/>
  <c r="G29" i="17"/>
  <c r="O103" i="9"/>
  <c r="H4" i="4"/>
  <c r="J4" i="9"/>
  <c r="G82" i="8"/>
  <c r="G227" i="8"/>
  <c r="G119" i="8"/>
  <c r="G167" i="8"/>
  <c r="G212" i="8" s="1"/>
  <c r="G187" i="8"/>
  <c r="F187" i="8"/>
  <c r="M38" i="4"/>
  <c r="L45" i="4"/>
  <c r="G94" i="8"/>
  <c r="F103" i="8"/>
  <c r="E103" i="8"/>
  <c r="M84" i="17" a="1"/>
  <c r="N84" i="17" a="1"/>
  <c r="K84" i="17" a="1"/>
  <c r="J84" i="17" a="1"/>
  <c r="K82" i="17" a="1"/>
  <c r="F82" i="17" a="1"/>
  <c r="F84" i="17" a="1"/>
  <c r="N83" i="17" a="1"/>
  <c r="I82" i="17" a="1"/>
  <c r="L83" i="17" a="1"/>
  <c r="H82" i="17" a="1"/>
  <c r="E82" i="17" a="1"/>
  <c r="H83" i="17" a="1"/>
  <c r="M82" i="17" a="1"/>
  <c r="J83" i="17" a="1"/>
  <c r="E83" i="17" a="1"/>
  <c r="L82" i="17" a="1"/>
  <c r="I109" i="8" l="1"/>
  <c r="R34" i="11" s="1"/>
  <c r="Q34" i="11"/>
  <c r="I92" i="8"/>
  <c r="Q35" i="11"/>
  <c r="J63" i="8"/>
  <c r="I60" i="8"/>
  <c r="H160" i="8"/>
  <c r="H94" i="8"/>
  <c r="H43" i="8"/>
  <c r="H72" i="8"/>
  <c r="H137" i="8"/>
  <c r="H51" i="8" s="1"/>
  <c r="H101" i="8" s="1"/>
  <c r="H45" i="11"/>
  <c r="H44" i="11"/>
  <c r="H43" i="11"/>
  <c r="H18" i="11"/>
  <c r="G45" i="11"/>
  <c r="G44" i="11"/>
  <c r="G43" i="11"/>
  <c r="G18" i="11"/>
  <c r="K45" i="11"/>
  <c r="K44" i="11"/>
  <c r="K43" i="11"/>
  <c r="K18" i="11"/>
  <c r="L18" i="11"/>
  <c r="L45" i="11"/>
  <c r="L44" i="11"/>
  <c r="L43" i="11"/>
  <c r="I18" i="11"/>
  <c r="I45" i="11"/>
  <c r="I44" i="11"/>
  <c r="I43" i="11"/>
  <c r="J45" i="11"/>
  <c r="J44" i="11"/>
  <c r="J43" i="11"/>
  <c r="J18" i="11"/>
  <c r="H99" i="8"/>
  <c r="H152" i="8" s="1"/>
  <c r="L124" i="8"/>
  <c r="M124" i="8" s="1"/>
  <c r="N124" i="8" s="1"/>
  <c r="F61" i="8"/>
  <c r="G61" i="8"/>
  <c r="M45" i="11"/>
  <c r="M43" i="11"/>
  <c r="M18" i="11"/>
  <c r="M44" i="11"/>
  <c r="N43" i="11"/>
  <c r="N49" i="19" s="1"/>
  <c r="N18" i="11"/>
  <c r="N29" i="19" s="1"/>
  <c r="N44" i="11"/>
  <c r="N45" i="11"/>
  <c r="O44" i="11"/>
  <c r="O45" i="11"/>
  <c r="O43" i="11"/>
  <c r="O49" i="19" s="1"/>
  <c r="O18" i="11"/>
  <c r="O29" i="19" s="1"/>
  <c r="P45" i="11"/>
  <c r="P43" i="11"/>
  <c r="P49" i="19" s="1"/>
  <c r="P18" i="11"/>
  <c r="P29" i="19" s="1"/>
  <c r="P44" i="11"/>
  <c r="L138" i="8"/>
  <c r="M138" i="8" s="1"/>
  <c r="N138" i="8" s="1"/>
  <c r="I117" i="8"/>
  <c r="J117" i="8" s="1"/>
  <c r="K117" i="8" s="1"/>
  <c r="J109" i="8"/>
  <c r="K100" i="8"/>
  <c r="L100" i="8" s="1"/>
  <c r="N6" i="11"/>
  <c r="N18" i="19" s="1"/>
  <c r="N8" i="11"/>
  <c r="N20" i="19" s="1"/>
  <c r="H8" i="11"/>
  <c r="H6" i="11"/>
  <c r="H9" i="11"/>
  <c r="I6" i="11"/>
  <c r="I8" i="11"/>
  <c r="J8" i="11"/>
  <c r="J6" i="11"/>
  <c r="G8" i="11"/>
  <c r="G6" i="11"/>
  <c r="G9" i="11"/>
  <c r="M6" i="11"/>
  <c r="M8" i="11"/>
  <c r="K8" i="11"/>
  <c r="K6" i="11"/>
  <c r="Q11" i="3"/>
  <c r="J4" i="27"/>
  <c r="B13" i="27"/>
  <c r="B4" i="27"/>
  <c r="L6" i="11"/>
  <c r="L8" i="11"/>
  <c r="F6" i="11"/>
  <c r="F8" i="11"/>
  <c r="G95" i="8"/>
  <c r="N83" i="17"/>
  <c r="I82" i="17"/>
  <c r="N4" i="28"/>
  <c r="C11" i="27"/>
  <c r="C10" i="27"/>
  <c r="C7" i="27"/>
  <c r="C8" i="27"/>
  <c r="H83" i="17"/>
  <c r="J83" i="17"/>
  <c r="F84" i="17"/>
  <c r="B39" i="28"/>
  <c r="B51" i="28"/>
  <c r="B23" i="28"/>
  <c r="B37" i="28"/>
  <c r="B65" i="28"/>
  <c r="B26" i="28"/>
  <c r="B40" i="28"/>
  <c r="B54" i="28"/>
  <c r="B68" i="28"/>
  <c r="B53" i="28"/>
  <c r="B67" i="28"/>
  <c r="B25" i="28"/>
  <c r="J84" i="17"/>
  <c r="M84" i="17"/>
  <c r="B52" i="28"/>
  <c r="B66" i="28"/>
  <c r="B24" i="28"/>
  <c r="B38" i="28"/>
  <c r="H82" i="17"/>
  <c r="K82" i="17"/>
  <c r="K84" i="17"/>
  <c r="L38" i="17"/>
  <c r="L59" i="17" s="1"/>
  <c r="L44" i="17"/>
  <c r="L50" i="17"/>
  <c r="K80" i="17"/>
  <c r="L71" i="17"/>
  <c r="F80" i="17"/>
  <c r="L80" i="17"/>
  <c r="K50" i="17"/>
  <c r="K71" i="17"/>
  <c r="N80" i="17"/>
  <c r="E38" i="17"/>
  <c r="E59" i="17" s="1"/>
  <c r="M50" i="17"/>
  <c r="M80" i="17"/>
  <c r="K38" i="17"/>
  <c r="K59" i="17" s="1"/>
  <c r="K44" i="17"/>
  <c r="E50" i="17"/>
  <c r="E71" i="17"/>
  <c r="E80" i="17"/>
  <c r="M38" i="17"/>
  <c r="M59" i="17" s="1"/>
  <c r="L83" i="17"/>
  <c r="F82" i="17"/>
  <c r="N84" i="17"/>
  <c r="L82" i="17"/>
  <c r="F44" i="17"/>
  <c r="F50" i="17"/>
  <c r="F71" i="17"/>
  <c r="N44" i="17"/>
  <c r="M44" i="17"/>
  <c r="N38" i="17"/>
  <c r="N59" i="17" s="1"/>
  <c r="M71" i="17"/>
  <c r="N50" i="17"/>
  <c r="B70" i="28"/>
  <c r="B56" i="28"/>
  <c r="B42" i="28"/>
  <c r="B28" i="28"/>
  <c r="E83" i="17"/>
  <c r="M82" i="17"/>
  <c r="E82" i="17"/>
  <c r="F38" i="17"/>
  <c r="F59" i="17" s="1"/>
  <c r="N71" i="17"/>
  <c r="E44" i="17"/>
  <c r="B71" i="28"/>
  <c r="B57" i="28"/>
  <c r="B43" i="28"/>
  <c r="B29" i="28"/>
  <c r="B63" i="28"/>
  <c r="B49" i="28"/>
  <c r="B35" i="28"/>
  <c r="B21" i="28"/>
  <c r="D29" i="17"/>
  <c r="B6" i="28"/>
  <c r="B76" i="28" s="1"/>
  <c r="B22" i="28"/>
  <c r="B64" i="28"/>
  <c r="B50" i="28"/>
  <c r="B36" i="28"/>
  <c r="B30" i="28"/>
  <c r="B72" i="28"/>
  <c r="B58" i="28"/>
  <c r="B44" i="28"/>
  <c r="B55" i="28"/>
  <c r="B41" i="28"/>
  <c r="B27" i="28"/>
  <c r="B69" i="28"/>
  <c r="I194" i="8"/>
  <c r="G104" i="8"/>
  <c r="D56" i="17"/>
  <c r="O56" i="17" s="1"/>
  <c r="G80" i="17"/>
  <c r="G71" i="17"/>
  <c r="G50" i="17"/>
  <c r="G44" i="17"/>
  <c r="G38" i="17"/>
  <c r="G59" i="17" s="1"/>
  <c r="I80" i="17"/>
  <c r="I71" i="17"/>
  <c r="I50" i="17"/>
  <c r="I44" i="17"/>
  <c r="I38" i="17"/>
  <c r="I59" i="17" s="1"/>
  <c r="H80" i="17"/>
  <c r="H71" i="17"/>
  <c r="H50" i="17"/>
  <c r="H44" i="17"/>
  <c r="H38" i="17"/>
  <c r="H59" i="17" s="1"/>
  <c r="N9" i="11"/>
  <c r="N21" i="19" s="1"/>
  <c r="E233" i="8"/>
  <c r="E183" i="8"/>
  <c r="P103" i="9"/>
  <c r="Q103" i="9"/>
  <c r="E104" i="8"/>
  <c r="F104" i="8"/>
  <c r="F89" i="8"/>
  <c r="F95" i="8"/>
  <c r="F41" i="8"/>
  <c r="F169" i="8"/>
  <c r="F112" i="8"/>
  <c r="I4" i="4"/>
  <c r="K4" i="9"/>
  <c r="G237" i="8"/>
  <c r="E237" i="8"/>
  <c r="H82" i="8"/>
  <c r="H167" i="8"/>
  <c r="H212" i="8" s="1"/>
  <c r="H119" i="8"/>
  <c r="H227" i="8"/>
  <c r="I227" i="8" s="1"/>
  <c r="J227" i="8" s="1"/>
  <c r="K227" i="8" s="1"/>
  <c r="L227" i="8" s="1"/>
  <c r="M227" i="8" s="1"/>
  <c r="N227" i="8" s="1"/>
  <c r="O227" i="8" s="1"/>
  <c r="P227" i="8" s="1"/>
  <c r="Q227" i="8" s="1"/>
  <c r="G254" i="8"/>
  <c r="H254" i="8" s="1"/>
  <c r="I254" i="8" s="1"/>
  <c r="J254" i="8" s="1"/>
  <c r="K254" i="8" s="1"/>
  <c r="L254" i="8" s="1"/>
  <c r="M254" i="8" s="1"/>
  <c r="N254" i="8" s="1"/>
  <c r="O254" i="8" s="1"/>
  <c r="P254" i="8" s="1"/>
  <c r="Q254" i="8" s="1"/>
  <c r="F237" i="8"/>
  <c r="M45" i="4"/>
  <c r="N38" i="4"/>
  <c r="F51" i="11"/>
  <c r="F50" i="11"/>
  <c r="F45" i="8"/>
  <c r="K50" i="11"/>
  <c r="O51" i="11"/>
  <c r="O56" i="19" s="1"/>
  <c r="M51" i="11"/>
  <c r="I50" i="11"/>
  <c r="G6" i="17"/>
  <c r="G18" i="17" s="1"/>
  <c r="G19" i="17" s="1"/>
  <c r="M50" i="11"/>
  <c r="J50" i="11"/>
  <c r="L51" i="11"/>
  <c r="L50" i="11"/>
  <c r="P51" i="11"/>
  <c r="P56" i="19" s="1"/>
  <c r="N51" i="11"/>
  <c r="N56" i="19" s="1"/>
  <c r="F6" i="17"/>
  <c r="F18" i="17" s="1"/>
  <c r="F19" i="17" s="1"/>
  <c r="G45" i="8"/>
  <c r="K51" i="11"/>
  <c r="E45" i="8"/>
  <c r="O50" i="11"/>
  <c r="O55" i="19" s="1"/>
  <c r="I51" i="11"/>
  <c r="H50" i="11"/>
  <c r="H51" i="11"/>
  <c r="J51" i="11"/>
  <c r="N50" i="11"/>
  <c r="N55" i="19" s="1"/>
  <c r="G51" i="11"/>
  <c r="G50" i="11"/>
  <c r="P50" i="11"/>
  <c r="P55" i="19" s="1"/>
  <c r="D82" i="17" a="1"/>
  <c r="D83" i="17" a="1"/>
  <c r="D84" i="17" a="1"/>
  <c r="H48" i="8" l="1"/>
  <c r="J92" i="8"/>
  <c r="K92" i="8" s="1"/>
  <c r="L92" i="8" s="1"/>
  <c r="R35" i="11"/>
  <c r="K63" i="8"/>
  <c r="J60" i="8"/>
  <c r="J13" i="4"/>
  <c r="J4" i="4"/>
  <c r="J8" i="4"/>
  <c r="J7" i="4"/>
  <c r="J6" i="4"/>
  <c r="J9" i="4"/>
  <c r="L19" i="11"/>
  <c r="I19" i="11"/>
  <c r="J19" i="11"/>
  <c r="K19" i="11"/>
  <c r="G19" i="11"/>
  <c r="H19" i="11"/>
  <c r="L9" i="11"/>
  <c r="K9" i="11"/>
  <c r="J9" i="11"/>
  <c r="I9" i="11"/>
  <c r="F9" i="11"/>
  <c r="F19" i="11"/>
  <c r="N51" i="19"/>
  <c r="N50" i="19"/>
  <c r="P51" i="19"/>
  <c r="P50" i="19"/>
  <c r="P19" i="11"/>
  <c r="P30" i="19" s="1"/>
  <c r="M19" i="11"/>
  <c r="M9" i="11"/>
  <c r="O19" i="11"/>
  <c r="O30" i="19" s="1"/>
  <c r="N19" i="11"/>
  <c r="N30" i="19" s="1"/>
  <c r="O51" i="19"/>
  <c r="O50" i="19"/>
  <c r="I116" i="8"/>
  <c r="M100" i="8"/>
  <c r="O138" i="8"/>
  <c r="O124" i="8"/>
  <c r="L117" i="8"/>
  <c r="K109" i="8"/>
  <c r="L109" i="8" s="1"/>
  <c r="P9" i="11"/>
  <c r="P21" i="19" s="1"/>
  <c r="P6" i="11"/>
  <c r="P18" i="19" s="1"/>
  <c r="P8" i="11"/>
  <c r="P20" i="19" s="1"/>
  <c r="O8" i="11"/>
  <c r="O20" i="19" s="1"/>
  <c r="O6" i="11"/>
  <c r="O18" i="19" s="1"/>
  <c r="O9" i="11"/>
  <c r="O21" i="19" s="1"/>
  <c r="D83" i="17"/>
  <c r="O83" i="17" s="1"/>
  <c r="O4" i="28"/>
  <c r="D84" i="17"/>
  <c r="O84" i="17" s="1"/>
  <c r="D82" i="17"/>
  <c r="O82" i="17" s="1"/>
  <c r="J22" i="4"/>
  <c r="D71" i="17"/>
  <c r="B48" i="28"/>
  <c r="B34" i="28"/>
  <c r="B20" i="28"/>
  <c r="B62" i="28"/>
  <c r="D38" i="17"/>
  <c r="D59" i="17" s="1"/>
  <c r="D80" i="17"/>
  <c r="D44" i="17"/>
  <c r="D50" i="17"/>
  <c r="J194" i="8"/>
  <c r="E29" i="19"/>
  <c r="F46" i="8"/>
  <c r="E46" i="8"/>
  <c r="G46" i="8"/>
  <c r="J17" i="4"/>
  <c r="J21" i="4"/>
  <c r="J18" i="4"/>
  <c r="G74" i="8"/>
  <c r="G170" i="8"/>
  <c r="H103" i="8"/>
  <c r="J20" i="4"/>
  <c r="J15" i="4"/>
  <c r="J19" i="4"/>
  <c r="J10" i="4"/>
  <c r="L4" i="9"/>
  <c r="E170" i="8"/>
  <c r="I82" i="8"/>
  <c r="I119" i="8"/>
  <c r="I167" i="8"/>
  <c r="I212" i="8" s="1"/>
  <c r="N45" i="4"/>
  <c r="O38" i="4"/>
  <c r="P38" i="4" s="1"/>
  <c r="F49" i="11"/>
  <c r="M49" i="11"/>
  <c r="F57" i="8"/>
  <c r="G57" i="8"/>
  <c r="L49" i="11"/>
  <c r="H49" i="11"/>
  <c r="N49" i="11"/>
  <c r="N54" i="19" s="1"/>
  <c r="E57" i="8"/>
  <c r="J49" i="11"/>
  <c r="O49" i="11"/>
  <c r="O54" i="19" s="1"/>
  <c r="G49" i="11"/>
  <c r="K49" i="11"/>
  <c r="P49" i="11"/>
  <c r="P54" i="19" s="1"/>
  <c r="I49" i="11"/>
  <c r="H49" i="8" l="1"/>
  <c r="H121" i="8"/>
  <c r="H183" i="8" s="1"/>
  <c r="M92" i="8"/>
  <c r="N92" i="8" s="1"/>
  <c r="O92" i="8" s="1"/>
  <c r="L63" i="8"/>
  <c r="K60" i="8"/>
  <c r="P138" i="8"/>
  <c r="Q138" i="8" s="1"/>
  <c r="P124" i="8"/>
  <c r="Q124" i="8" s="1"/>
  <c r="I99" i="8"/>
  <c r="I152" i="8" s="1"/>
  <c r="M14" i="17" a="1"/>
  <c r="M14" i="17" s="1"/>
  <c r="L14" i="17" a="1"/>
  <c r="L14" i="17" s="1"/>
  <c r="J14" i="17" a="1"/>
  <c r="J14" i="17" s="1"/>
  <c r="K14" i="17" a="1"/>
  <c r="K14" i="17" s="1"/>
  <c r="H108" i="8"/>
  <c r="H91" i="8"/>
  <c r="J6" i="17" a="1"/>
  <c r="J6" i="17" s="1"/>
  <c r="G17" i="11"/>
  <c r="G20" i="11"/>
  <c r="L57" i="11"/>
  <c r="L56" i="11"/>
  <c r="L16" i="11"/>
  <c r="L15" i="11"/>
  <c r="L23" i="11"/>
  <c r="L10" i="11"/>
  <c r="J23" i="11"/>
  <c r="J57" i="11"/>
  <c r="J56" i="11"/>
  <c r="J16" i="11"/>
  <c r="J15" i="11"/>
  <c r="J10" i="11"/>
  <c r="H17" i="11"/>
  <c r="H20" i="11"/>
  <c r="K57" i="11"/>
  <c r="K56" i="11"/>
  <c r="K16" i="11"/>
  <c r="K15" i="11"/>
  <c r="K23" i="11"/>
  <c r="K10" i="11"/>
  <c r="I57" i="11"/>
  <c r="I56" i="11"/>
  <c r="I16" i="11"/>
  <c r="I15" i="11"/>
  <c r="I23" i="11"/>
  <c r="I10" i="11"/>
  <c r="K17" i="11"/>
  <c r="K20" i="11"/>
  <c r="J17" i="11"/>
  <c r="J20" i="11"/>
  <c r="I20" i="11"/>
  <c r="I17" i="11"/>
  <c r="L20" i="11"/>
  <c r="L17" i="11"/>
  <c r="F17" i="11"/>
  <c r="F20" i="11"/>
  <c r="M57" i="11"/>
  <c r="M23" i="11"/>
  <c r="M15" i="11"/>
  <c r="M56" i="11"/>
  <c r="M10" i="11"/>
  <c r="M20" i="11"/>
  <c r="N20" i="11"/>
  <c r="P20" i="11"/>
  <c r="O20" i="11"/>
  <c r="N100" i="8"/>
  <c r="K6" i="17" a="1"/>
  <c r="K6" i="17" s="1"/>
  <c r="M6" i="17" a="1"/>
  <c r="M6" i="17" s="1"/>
  <c r="L6" i="17" a="1"/>
  <c r="L6" i="17" s="1"/>
  <c r="M109" i="8"/>
  <c r="N109" i="8" s="1"/>
  <c r="M117" i="8"/>
  <c r="N117" i="8" s="1"/>
  <c r="F10" i="11"/>
  <c r="Q38" i="4"/>
  <c r="P45" i="4"/>
  <c r="P4" i="28"/>
  <c r="D31" i="17"/>
  <c r="O31" i="17" s="1"/>
  <c r="D41" i="17"/>
  <c r="O41" i="17" s="1"/>
  <c r="D40" i="17"/>
  <c r="O40" i="17" s="1"/>
  <c r="H112" i="8"/>
  <c r="K194" i="8"/>
  <c r="E30" i="19"/>
  <c r="G58" i="8"/>
  <c r="F58" i="8"/>
  <c r="E58" i="8"/>
  <c r="G229" i="8"/>
  <c r="G175" i="8"/>
  <c r="K63" i="11"/>
  <c r="N66" i="9"/>
  <c r="M63" i="11" s="1"/>
  <c r="D42" i="17"/>
  <c r="O42" i="17" s="1"/>
  <c r="L63" i="11"/>
  <c r="J63" i="11"/>
  <c r="I63" i="11"/>
  <c r="I54" i="8"/>
  <c r="E229" i="8"/>
  <c r="E175" i="8"/>
  <c r="F229" i="8"/>
  <c r="F175" i="8"/>
  <c r="M4" i="9"/>
  <c r="J82" i="8"/>
  <c r="J119" i="8"/>
  <c r="J167" i="8"/>
  <c r="J212" i="8" s="1"/>
  <c r="I103" i="8"/>
  <c r="O45" i="4"/>
  <c r="I39" i="3"/>
  <c r="I28" i="3"/>
  <c r="E74" i="8"/>
  <c r="F74" i="8"/>
  <c r="P92" i="8" l="1"/>
  <c r="Q92" i="8" s="1"/>
  <c r="H233" i="8"/>
  <c r="M63" i="8"/>
  <c r="L60" i="8"/>
  <c r="R138" i="8"/>
  <c r="S138" i="8" s="1"/>
  <c r="R124" i="8"/>
  <c r="S124" i="8" s="1"/>
  <c r="T124" i="8" s="1"/>
  <c r="U124" i="8" s="1"/>
  <c r="V124" i="8" s="1"/>
  <c r="J99" i="8"/>
  <c r="J152" i="8" s="1"/>
  <c r="J116" i="8"/>
  <c r="R31" i="19"/>
  <c r="I91" i="8"/>
  <c r="I108" i="8"/>
  <c r="I43" i="8"/>
  <c r="I72" i="8"/>
  <c r="I160" i="8"/>
  <c r="I111" i="8"/>
  <c r="I94" i="8"/>
  <c r="D34" i="17"/>
  <c r="O34" i="17" s="1"/>
  <c r="G23" i="11"/>
  <c r="G57" i="11"/>
  <c r="G56" i="11"/>
  <c r="G16" i="11"/>
  <c r="G15" i="11"/>
  <c r="G10" i="11"/>
  <c r="H57" i="11"/>
  <c r="H56" i="11"/>
  <c r="H16" i="11"/>
  <c r="H15" i="11"/>
  <c r="H23" i="11"/>
  <c r="H10" i="11"/>
  <c r="F23" i="11"/>
  <c r="F16" i="11"/>
  <c r="F15" i="11"/>
  <c r="G66" i="9"/>
  <c r="F63" i="11" s="1"/>
  <c r="F57" i="11"/>
  <c r="F56" i="11"/>
  <c r="O100" i="8"/>
  <c r="N15" i="11"/>
  <c r="N26" i="19" s="1"/>
  <c r="N56" i="11"/>
  <c r="N23" i="11"/>
  <c r="N33" i="19" s="1"/>
  <c r="N57" i="11"/>
  <c r="N10" i="11"/>
  <c r="N22" i="19" s="1"/>
  <c r="O56" i="11"/>
  <c r="O23" i="11"/>
  <c r="O33" i="19" s="1"/>
  <c r="O15" i="11"/>
  <c r="O26" i="19" s="1"/>
  <c r="O57" i="11"/>
  <c r="O10" i="11"/>
  <c r="O22" i="19" s="1"/>
  <c r="P57" i="11"/>
  <c r="P23" i="11"/>
  <c r="P33" i="19" s="1"/>
  <c r="P15" i="11"/>
  <c r="P26" i="19" s="1"/>
  <c r="P56" i="11"/>
  <c r="P10" i="11"/>
  <c r="P22" i="19" s="1"/>
  <c r="L18" i="17"/>
  <c r="L19" i="17" s="1"/>
  <c r="G181" i="8"/>
  <c r="AB9" i="8" s="1"/>
  <c r="M18" i="17"/>
  <c r="M19" i="17" s="1"/>
  <c r="E25" i="17"/>
  <c r="K25" i="17" s="1"/>
  <c r="N25" i="17" s="1" a="1"/>
  <c r="N25" i="17" s="1"/>
  <c r="E26" i="17"/>
  <c r="K26" i="17" s="1"/>
  <c r="N26" i="17" s="1" a="1"/>
  <c r="N26" i="17" s="1"/>
  <c r="E27" i="17"/>
  <c r="K27" i="17" s="1"/>
  <c r="N27" i="17" s="1" a="1"/>
  <c r="N27" i="17" s="1"/>
  <c r="E24" i="17"/>
  <c r="K24" i="17" s="1"/>
  <c r="N24" i="17" s="1" a="1"/>
  <c r="N24" i="17" s="1"/>
  <c r="K18" i="17"/>
  <c r="K19" i="17" s="1"/>
  <c r="D24" i="17"/>
  <c r="J24" i="17" s="1"/>
  <c r="M24" i="17" s="1" a="1"/>
  <c r="M24" i="17" s="1"/>
  <c r="D26" i="17"/>
  <c r="J26" i="17" s="1"/>
  <c r="M26" i="17" s="1" a="1"/>
  <c r="M26" i="17" s="1"/>
  <c r="D25" i="17"/>
  <c r="J25" i="17" s="1"/>
  <c r="M25" i="17" s="1" a="1"/>
  <c r="M25" i="17" s="1"/>
  <c r="D27" i="17"/>
  <c r="J27" i="17" s="1"/>
  <c r="M27" i="17" s="1" a="1"/>
  <c r="M27" i="17" s="1"/>
  <c r="J18" i="17"/>
  <c r="J19" i="17" s="1"/>
  <c r="O109" i="8"/>
  <c r="O117" i="8"/>
  <c r="P66" i="9"/>
  <c r="Q4" i="28"/>
  <c r="R81" i="28" s="1"/>
  <c r="R77" i="28"/>
  <c r="R76" i="28"/>
  <c r="R38" i="4"/>
  <c r="Q45" i="4"/>
  <c r="L194" i="8"/>
  <c r="F28" i="19"/>
  <c r="F26" i="19"/>
  <c r="F27" i="19"/>
  <c r="E31" i="19"/>
  <c r="G176" i="8"/>
  <c r="F176" i="8"/>
  <c r="H63" i="11"/>
  <c r="G63" i="11"/>
  <c r="N74" i="9"/>
  <c r="Q66" i="9"/>
  <c r="O66" i="9"/>
  <c r="AH10" i="8"/>
  <c r="H170" i="8"/>
  <c r="H169" i="8" s="1"/>
  <c r="F181" i="8"/>
  <c r="J54" i="8"/>
  <c r="I172" i="8"/>
  <c r="Q31" i="19"/>
  <c r="J103" i="8"/>
  <c r="N4" i="9"/>
  <c r="K82" i="8"/>
  <c r="K119" i="8"/>
  <c r="K167" i="8"/>
  <c r="K212" i="8" s="1"/>
  <c r="G79" i="8"/>
  <c r="F79" i="8"/>
  <c r="E79" i="8"/>
  <c r="I171" i="8" l="1"/>
  <c r="I173" i="8"/>
  <c r="N63" i="8"/>
  <c r="M60" i="8"/>
  <c r="T138" i="8"/>
  <c r="U138" i="8" s="1"/>
  <c r="P117" i="8"/>
  <c r="Q117" i="8" s="1"/>
  <c r="P100" i="8"/>
  <c r="Q100" i="8" s="1"/>
  <c r="R100" i="8" s="1"/>
  <c r="P109" i="8"/>
  <c r="Q109" i="8" s="1"/>
  <c r="W124" i="8"/>
  <c r="X124" i="8" s="1"/>
  <c r="R92" i="8"/>
  <c r="J94" i="8"/>
  <c r="J111" i="8"/>
  <c r="J72" i="8"/>
  <c r="J43" i="8"/>
  <c r="J108" i="8"/>
  <c r="J91" i="8"/>
  <c r="J160" i="8"/>
  <c r="K99" i="8"/>
  <c r="K152" i="8" s="1"/>
  <c r="K116" i="8"/>
  <c r="P63" i="11"/>
  <c r="P42" i="19" s="1"/>
  <c r="R66" i="9"/>
  <c r="O74" i="9"/>
  <c r="N63" i="11"/>
  <c r="N42" i="19" s="1"/>
  <c r="P74" i="9"/>
  <c r="O63" i="11"/>
  <c r="O42" i="19" s="1"/>
  <c r="H77" i="8"/>
  <c r="H6" i="17"/>
  <c r="N6" i="17" a="1"/>
  <c r="N6" i="17" s="1"/>
  <c r="N18" i="17" s="1"/>
  <c r="N19" i="17" s="1"/>
  <c r="F147" i="8"/>
  <c r="F150" i="8"/>
  <c r="G150" i="8"/>
  <c r="G147" i="8"/>
  <c r="I6" i="17"/>
  <c r="O6" i="17" a="1"/>
  <c r="O6" i="17" s="1"/>
  <c r="E147" i="8"/>
  <c r="E150" i="8"/>
  <c r="E257" i="8" s="1"/>
  <c r="E181" i="8"/>
  <c r="E191" i="8" s="1"/>
  <c r="X7" i="8" s="1"/>
  <c r="R85" i="28"/>
  <c r="R16" i="28"/>
  <c r="R13" i="28"/>
  <c r="R10" i="28"/>
  <c r="R7" i="28"/>
  <c r="R29" i="28"/>
  <c r="R26" i="28"/>
  <c r="R23" i="28"/>
  <c r="R20" i="28"/>
  <c r="R42" i="28"/>
  <c r="R39" i="28"/>
  <c r="R36" i="28"/>
  <c r="R58" i="28"/>
  <c r="R55" i="28"/>
  <c r="R52" i="28"/>
  <c r="R49" i="28"/>
  <c r="R71" i="28"/>
  <c r="R68" i="28"/>
  <c r="R65" i="28"/>
  <c r="R62" i="28"/>
  <c r="R83" i="28"/>
  <c r="R79" i="28"/>
  <c r="R15" i="28"/>
  <c r="R12" i="28"/>
  <c r="R9" i="28"/>
  <c r="R6" i="28"/>
  <c r="R28" i="28"/>
  <c r="R25" i="28"/>
  <c r="R22" i="28"/>
  <c r="R44" i="28"/>
  <c r="R41" i="28"/>
  <c r="R38" i="28"/>
  <c r="R35" i="28"/>
  <c r="R57" i="28"/>
  <c r="R54" i="28"/>
  <c r="R51" i="28"/>
  <c r="R48" i="28"/>
  <c r="R70" i="28"/>
  <c r="R67" i="28"/>
  <c r="R64" i="28"/>
  <c r="R86" i="28"/>
  <c r="R82" i="28"/>
  <c r="R78" i="28"/>
  <c r="R14" i="28"/>
  <c r="R11" i="28"/>
  <c r="R8" i="28"/>
  <c r="R30" i="28"/>
  <c r="R27" i="28"/>
  <c r="R24" i="28"/>
  <c r="R21" i="28"/>
  <c r="R43" i="28"/>
  <c r="R40" i="28"/>
  <c r="R37" i="28"/>
  <c r="R34" i="28"/>
  <c r="R56" i="28"/>
  <c r="R53" i="28"/>
  <c r="R50" i="28"/>
  <c r="R72" i="28"/>
  <c r="R69" i="28"/>
  <c r="R66" i="28"/>
  <c r="R63" i="28"/>
  <c r="R84" i="28"/>
  <c r="R80" i="28"/>
  <c r="S38" i="4"/>
  <c r="R45" i="4"/>
  <c r="R4" i="28"/>
  <c r="R18" i="28"/>
  <c r="R32" i="28"/>
  <c r="R46" i="28"/>
  <c r="R60" i="28"/>
  <c r="R74" i="28"/>
  <c r="D63" i="17"/>
  <c r="O63" i="17" s="1"/>
  <c r="D62" i="17"/>
  <c r="O62" i="17" s="1"/>
  <c r="D33" i="17"/>
  <c r="O33" i="17" s="1"/>
  <c r="D32" i="17"/>
  <c r="O32" i="17" s="1"/>
  <c r="M194" i="8"/>
  <c r="H28" i="19"/>
  <c r="E32" i="19"/>
  <c r="G191" i="8"/>
  <c r="X9" i="8" s="1"/>
  <c r="G80" i="8"/>
  <c r="G231" i="8"/>
  <c r="G243" i="8" s="1"/>
  <c r="E80" i="8"/>
  <c r="E231" i="8"/>
  <c r="E243" i="8" s="1"/>
  <c r="E158" i="8" s="1"/>
  <c r="AH11" i="8"/>
  <c r="F231" i="8"/>
  <c r="F243" i="8" s="1"/>
  <c r="F158" i="8" s="1"/>
  <c r="F80" i="8"/>
  <c r="Q74" i="9"/>
  <c r="R74" i="9" s="1"/>
  <c r="AB8" i="8"/>
  <c r="I170" i="8"/>
  <c r="I169" i="8" s="1"/>
  <c r="F191" i="8"/>
  <c r="X8" i="8" s="1"/>
  <c r="K54" i="8"/>
  <c r="J172" i="8"/>
  <c r="O4" i="9"/>
  <c r="K103" i="8"/>
  <c r="L82" i="8"/>
  <c r="L119" i="8"/>
  <c r="L167" i="8"/>
  <c r="L212" i="8" s="1"/>
  <c r="E128" i="8"/>
  <c r="F128" i="8"/>
  <c r="F257" i="8" l="1"/>
  <c r="F258" i="8" s="1"/>
  <c r="J173" i="8"/>
  <c r="J171" i="8"/>
  <c r="G257" i="8"/>
  <c r="G258" i="8" s="1"/>
  <c r="G21" i="6"/>
  <c r="O63" i="8"/>
  <c r="N60" i="8"/>
  <c r="V138" i="8"/>
  <c r="R109" i="8"/>
  <c r="R108" i="8" s="1"/>
  <c r="S100" i="8"/>
  <c r="T100" i="8" s="1"/>
  <c r="R99" i="8"/>
  <c r="R152" i="8" s="1"/>
  <c r="R117" i="8"/>
  <c r="S117" i="8" s="1"/>
  <c r="Y124" i="8"/>
  <c r="R91" i="8"/>
  <c r="S92" i="8"/>
  <c r="T92" i="8" s="1"/>
  <c r="K94" i="8"/>
  <c r="K72" i="8"/>
  <c r="K108" i="8"/>
  <c r="K91" i="8"/>
  <c r="K43" i="8"/>
  <c r="K160" i="8"/>
  <c r="L99" i="8"/>
  <c r="L152" i="8" s="1"/>
  <c r="L116" i="8"/>
  <c r="K111" i="8"/>
  <c r="AB7" i="8"/>
  <c r="H26" i="19" s="1"/>
  <c r="I77" i="8"/>
  <c r="I215" i="8" s="1"/>
  <c r="H215" i="8"/>
  <c r="Z7" i="8" s="1"/>
  <c r="E258" i="8"/>
  <c r="H18" i="17"/>
  <c r="H19" i="17" s="1"/>
  <c r="H157" i="8"/>
  <c r="H155" i="8"/>
  <c r="G158" i="8"/>
  <c r="I18" i="17"/>
  <c r="I19" i="17" s="1"/>
  <c r="F27" i="17"/>
  <c r="L27" i="17" s="1"/>
  <c r="O27" i="17" s="1" a="1"/>
  <c r="O27" i="17" s="1"/>
  <c r="F26" i="17"/>
  <c r="L26" i="17" s="1"/>
  <c r="O26" i="17" s="1" a="1"/>
  <c r="O26" i="17" s="1"/>
  <c r="F25" i="17"/>
  <c r="L25" i="17" s="1"/>
  <c r="O25" i="17" s="1" a="1"/>
  <c r="O25" i="17" s="1"/>
  <c r="F24" i="17"/>
  <c r="L24" i="17" s="1"/>
  <c r="O24" i="17" s="1" a="1"/>
  <c r="O24" i="17" s="1"/>
  <c r="O18" i="17"/>
  <c r="O19" i="17" s="1"/>
  <c r="T38" i="4"/>
  <c r="T45" i="4" s="1"/>
  <c r="S45" i="4"/>
  <c r="G11" i="6"/>
  <c r="N194" i="8"/>
  <c r="H27" i="19"/>
  <c r="E33" i="19"/>
  <c r="Y8" i="8"/>
  <c r="B93" i="17"/>
  <c r="Y7" i="8"/>
  <c r="G26" i="19" s="1"/>
  <c r="Y9" i="8"/>
  <c r="L103" i="8"/>
  <c r="L54" i="8"/>
  <c r="K172" i="8"/>
  <c r="J170" i="8"/>
  <c r="J169" i="8" s="1"/>
  <c r="P4" i="9"/>
  <c r="H4" i="17" s="1"/>
  <c r="M82" i="8"/>
  <c r="M119" i="8"/>
  <c r="M167" i="8"/>
  <c r="M212" i="8" s="1"/>
  <c r="G128" i="8"/>
  <c r="H128" i="8" s="1"/>
  <c r="Q61" i="11" l="1"/>
  <c r="G26" i="6"/>
  <c r="C13" i="8" s="1"/>
  <c r="K171" i="8"/>
  <c r="K173" i="8"/>
  <c r="P63" i="8"/>
  <c r="O60" i="8"/>
  <c r="S109" i="8"/>
  <c r="T109" i="8" s="1"/>
  <c r="W138" i="8"/>
  <c r="X138" i="8" s="1"/>
  <c r="T117" i="8"/>
  <c r="T116" i="8" s="1"/>
  <c r="T99" i="8"/>
  <c r="T152" i="8" s="1"/>
  <c r="R116" i="8"/>
  <c r="U100" i="8"/>
  <c r="V100" i="8" s="1"/>
  <c r="S116" i="8"/>
  <c r="S99" i="8"/>
  <c r="S152" i="8" s="1"/>
  <c r="Z124" i="8"/>
  <c r="T91" i="8"/>
  <c r="S91" i="8"/>
  <c r="U92" i="8"/>
  <c r="L94" i="8"/>
  <c r="L111" i="8"/>
  <c r="L72" i="8"/>
  <c r="L172" i="8"/>
  <c r="L160" i="8"/>
  <c r="L43" i="8"/>
  <c r="M99" i="8"/>
  <c r="M152" i="8" s="1"/>
  <c r="M116" i="8"/>
  <c r="L91" i="8"/>
  <c r="L108" i="8"/>
  <c r="J77" i="8"/>
  <c r="J215" i="8" s="1"/>
  <c r="H241" i="8"/>
  <c r="AC10" i="8" s="1"/>
  <c r="I128" i="8"/>
  <c r="H114" i="8"/>
  <c r="Z8" i="8"/>
  <c r="O194" i="8"/>
  <c r="G27" i="19"/>
  <c r="D4" i="17"/>
  <c r="B94" i="17"/>
  <c r="K170" i="8"/>
  <c r="K169" i="8" s="1"/>
  <c r="M54" i="8"/>
  <c r="Q4" i="9"/>
  <c r="N119" i="8"/>
  <c r="N82" i="8"/>
  <c r="N167" i="8"/>
  <c r="N212" i="8" s="1"/>
  <c r="M103" i="8"/>
  <c r="U117" i="8" l="1"/>
  <c r="V117" i="8" s="1"/>
  <c r="V116" i="8" s="1"/>
  <c r="L170" i="8"/>
  <c r="L169" i="8" s="1"/>
  <c r="L173" i="8"/>
  <c r="L171" i="8"/>
  <c r="S108" i="8"/>
  <c r="Q63" i="8"/>
  <c r="P60" i="8"/>
  <c r="Y138" i="8"/>
  <c r="Z138" i="8" s="1"/>
  <c r="T108" i="8"/>
  <c r="U109" i="8"/>
  <c r="V109" i="8" s="1"/>
  <c r="V99" i="8"/>
  <c r="V152" i="8" s="1"/>
  <c r="U99" i="8"/>
  <c r="U152" i="8" s="1"/>
  <c r="W100" i="8"/>
  <c r="AA124" i="8"/>
  <c r="U91" i="8"/>
  <c r="V92" i="8"/>
  <c r="M160" i="8"/>
  <c r="M72" i="8"/>
  <c r="M94" i="8"/>
  <c r="N99" i="8"/>
  <c r="N152" i="8" s="1"/>
  <c r="N116" i="8"/>
  <c r="M91" i="8"/>
  <c r="M108" i="8"/>
  <c r="M43" i="8"/>
  <c r="M111" i="8"/>
  <c r="K77" i="8"/>
  <c r="L77" i="8" s="1"/>
  <c r="M77" i="8" s="1"/>
  <c r="J128" i="8"/>
  <c r="H61" i="8"/>
  <c r="I9" i="8"/>
  <c r="L9" i="8" s="1"/>
  <c r="Z9" i="8"/>
  <c r="P194" i="8"/>
  <c r="G28" i="19"/>
  <c r="B97" i="17"/>
  <c r="I4" i="17"/>
  <c r="E4" i="17"/>
  <c r="N54" i="8"/>
  <c r="M172" i="8"/>
  <c r="N103" i="8"/>
  <c r="O119" i="8"/>
  <c r="O82" i="8"/>
  <c r="O167" i="8"/>
  <c r="O212" i="8" s="1"/>
  <c r="W117" i="8" l="1"/>
  <c r="X117" i="8" s="1"/>
  <c r="U116" i="8"/>
  <c r="M173" i="8"/>
  <c r="M171" i="8"/>
  <c r="R63" i="8"/>
  <c r="Q60" i="8"/>
  <c r="AA138" i="8"/>
  <c r="AB138" i="8" s="1"/>
  <c r="W99" i="8"/>
  <c r="W152" i="8" s="1"/>
  <c r="W109" i="8"/>
  <c r="X109" i="8" s="1"/>
  <c r="V108" i="8"/>
  <c r="X100" i="8"/>
  <c r="Y100" i="8" s="1"/>
  <c r="U108" i="8"/>
  <c r="AB124" i="8"/>
  <c r="V91" i="8"/>
  <c r="W92" i="8"/>
  <c r="X92" i="8" s="1"/>
  <c r="N72" i="8"/>
  <c r="N43" i="8"/>
  <c r="AA31" i="8"/>
  <c r="AA34" i="8" s="1"/>
  <c r="N160" i="8"/>
  <c r="O99" i="8"/>
  <c r="O152" i="8" s="1"/>
  <c r="O116" i="8"/>
  <c r="N94" i="8"/>
  <c r="N91" i="8"/>
  <c r="N108" i="8"/>
  <c r="N111" i="8"/>
  <c r="K215" i="8"/>
  <c r="Z10" i="8" s="1"/>
  <c r="K128" i="8"/>
  <c r="N77" i="8"/>
  <c r="N215" i="8" s="1"/>
  <c r="M215" i="8"/>
  <c r="L215" i="8"/>
  <c r="C12" i="8"/>
  <c r="F9" i="8"/>
  <c r="Q194" i="8"/>
  <c r="M170" i="8"/>
  <c r="M169" i="8" s="1"/>
  <c r="O54" i="8"/>
  <c r="N172" i="8"/>
  <c r="E95" i="8"/>
  <c r="H95" i="8" s="1"/>
  <c r="E41" i="8"/>
  <c r="E169" i="8"/>
  <c r="E176" i="8"/>
  <c r="E89" i="8"/>
  <c r="E112" i="8"/>
  <c r="F170" i="8"/>
  <c r="O103" i="8"/>
  <c r="P167" i="8"/>
  <c r="P212" i="8" s="1"/>
  <c r="P82" i="8"/>
  <c r="P119" i="8"/>
  <c r="W116" i="8" l="1"/>
  <c r="N173" i="8"/>
  <c r="N171" i="8"/>
  <c r="H89" i="8"/>
  <c r="I89" i="8" s="1"/>
  <c r="S63" i="8"/>
  <c r="R60" i="8"/>
  <c r="R194" i="8"/>
  <c r="Y99" i="8"/>
  <c r="Y152" i="8" s="1"/>
  <c r="X116" i="8"/>
  <c r="W108" i="8"/>
  <c r="X108" i="8"/>
  <c r="X99" i="8"/>
  <c r="X152" i="8" s="1"/>
  <c r="Y117" i="8"/>
  <c r="Z117" i="8" s="1"/>
  <c r="Y109" i="8"/>
  <c r="Z100" i="8"/>
  <c r="AA100" i="8" s="1"/>
  <c r="X91" i="8"/>
  <c r="W91" i="8"/>
  <c r="Y92" i="8"/>
  <c r="AA35" i="8"/>
  <c r="O160" i="8"/>
  <c r="O94" i="8"/>
  <c r="O111" i="8"/>
  <c r="AB31" i="8"/>
  <c r="AB34" i="8" s="1"/>
  <c r="P116" i="8"/>
  <c r="P99" i="8"/>
  <c r="P152" i="8" s="1"/>
  <c r="O43" i="8"/>
  <c r="O72" i="8"/>
  <c r="O91" i="8"/>
  <c r="O108" i="8"/>
  <c r="O77" i="8"/>
  <c r="L128" i="8"/>
  <c r="I95" i="8"/>
  <c r="J95" i="8" s="1"/>
  <c r="Z11" i="8"/>
  <c r="O172" i="8"/>
  <c r="P54" i="8"/>
  <c r="N170" i="8"/>
  <c r="N169" i="8" s="1"/>
  <c r="P103" i="8"/>
  <c r="Q167" i="8"/>
  <c r="Q212" i="8" s="1"/>
  <c r="Q82" i="8"/>
  <c r="Q119" i="8"/>
  <c r="O173" i="8" l="1"/>
  <c r="O171" i="8"/>
  <c r="H88" i="8"/>
  <c r="H126" i="8" s="1"/>
  <c r="Q33" i="11"/>
  <c r="Q36" i="11" s="1"/>
  <c r="J89" i="8"/>
  <c r="J88" i="8" s="1"/>
  <c r="R33" i="11"/>
  <c r="R36" i="11" s="1"/>
  <c r="R41" i="19" s="1"/>
  <c r="T63" i="8"/>
  <c r="S60" i="8"/>
  <c r="S194" i="8"/>
  <c r="AA117" i="8"/>
  <c r="AA116" i="8" s="1"/>
  <c r="AA99" i="8"/>
  <c r="AA152" i="8" s="1"/>
  <c r="O215" i="8"/>
  <c r="Z116" i="8"/>
  <c r="Y108" i="8"/>
  <c r="Z99" i="8"/>
  <c r="Z152" i="8" s="1"/>
  <c r="AB100" i="8"/>
  <c r="Y116" i="8"/>
  <c r="Z109" i="8"/>
  <c r="Z92" i="8"/>
  <c r="Y91" i="8"/>
  <c r="P160" i="8"/>
  <c r="AB35" i="8"/>
  <c r="P111" i="8"/>
  <c r="Q99" i="8"/>
  <c r="Q152" i="8" s="1"/>
  <c r="Q116" i="8"/>
  <c r="P72" i="8"/>
  <c r="P91" i="8"/>
  <c r="P108" i="8"/>
  <c r="P43" i="8"/>
  <c r="P172" i="8"/>
  <c r="P94" i="8"/>
  <c r="P77" i="8"/>
  <c r="Q77" i="8" s="1"/>
  <c r="M128" i="8"/>
  <c r="K95" i="8"/>
  <c r="L95" i="8" s="1"/>
  <c r="I88" i="8"/>
  <c r="I126" i="8" s="1"/>
  <c r="Z12" i="8"/>
  <c r="O170" i="8"/>
  <c r="O169" i="8" s="1"/>
  <c r="Q54" i="8"/>
  <c r="Q103" i="8"/>
  <c r="P170" i="8" l="1"/>
  <c r="P169" i="8" s="1"/>
  <c r="P171" i="8"/>
  <c r="P173" i="8"/>
  <c r="K89" i="8"/>
  <c r="K88" i="8" s="1"/>
  <c r="K126" i="8" s="1"/>
  <c r="AB117" i="8"/>
  <c r="AB116" i="8" s="1"/>
  <c r="U63" i="8"/>
  <c r="T60" i="8"/>
  <c r="T194" i="8"/>
  <c r="Z172" i="8"/>
  <c r="X172" i="8"/>
  <c r="AA172" i="8"/>
  <c r="R172" i="8"/>
  <c r="U172" i="8"/>
  <c r="W172" i="8"/>
  <c r="AB172" i="8"/>
  <c r="V172" i="8"/>
  <c r="Y172" i="8"/>
  <c r="S172" i="8"/>
  <c r="T172" i="8"/>
  <c r="R77" i="8"/>
  <c r="AB99" i="8"/>
  <c r="AB152" i="8" s="1"/>
  <c r="R54" i="8"/>
  <c r="R103" i="8"/>
  <c r="Z108" i="8"/>
  <c r="Q215" i="8"/>
  <c r="AA109" i="8"/>
  <c r="Z91" i="8"/>
  <c r="AA92" i="8"/>
  <c r="Q160" i="8"/>
  <c r="Q111" i="8"/>
  <c r="Q72" i="8"/>
  <c r="Q94" i="8"/>
  <c r="Q43" i="8"/>
  <c r="Q91" i="8"/>
  <c r="Q108" i="8"/>
  <c r="P215" i="8"/>
  <c r="N128" i="8"/>
  <c r="O128" i="8" s="1"/>
  <c r="M95" i="8"/>
  <c r="N95" i="8" s="1"/>
  <c r="J126" i="8"/>
  <c r="Q172" i="8"/>
  <c r="E16" i="27"/>
  <c r="Z14" i="8"/>
  <c r="Q41" i="19"/>
  <c r="W171" i="8" l="1"/>
  <c r="W173" i="8"/>
  <c r="V171" i="8"/>
  <c r="V173" i="8"/>
  <c r="AB173" i="8"/>
  <c r="AB171" i="8"/>
  <c r="U171" i="8"/>
  <c r="U173" i="8"/>
  <c r="R171" i="8"/>
  <c r="R173" i="8"/>
  <c r="Q173" i="8"/>
  <c r="Q171" i="8"/>
  <c r="T173" i="8"/>
  <c r="T171" i="8"/>
  <c r="AA171" i="8"/>
  <c r="AA173" i="8"/>
  <c r="S171" i="8"/>
  <c r="S173" i="8"/>
  <c r="X171" i="8"/>
  <c r="X173" i="8"/>
  <c r="Y173" i="8"/>
  <c r="Y171" i="8"/>
  <c r="Z173" i="8"/>
  <c r="Z171" i="8"/>
  <c r="L89" i="8"/>
  <c r="L88" i="8" s="1"/>
  <c r="L126" i="8" s="1"/>
  <c r="V63" i="8"/>
  <c r="U60" i="8"/>
  <c r="S77" i="8"/>
  <c r="S215" i="8" s="1"/>
  <c r="R215" i="8"/>
  <c r="U194" i="8"/>
  <c r="T170" i="8"/>
  <c r="AA170" i="8"/>
  <c r="U170" i="8"/>
  <c r="V170" i="8"/>
  <c r="S170" i="8"/>
  <c r="W170" i="8"/>
  <c r="R170" i="8"/>
  <c r="X170" i="8"/>
  <c r="AB170" i="8"/>
  <c r="Y170" i="8"/>
  <c r="Z170" i="8"/>
  <c r="R160" i="8"/>
  <c r="R72" i="8"/>
  <c r="S72" i="8" s="1"/>
  <c r="S103" i="8"/>
  <c r="S54" i="8"/>
  <c r="R111" i="8"/>
  <c r="S111" i="8" s="1"/>
  <c r="AA108" i="8"/>
  <c r="AB109" i="8"/>
  <c r="AA91" i="8"/>
  <c r="AB92" i="8"/>
  <c r="R94" i="8"/>
  <c r="R43" i="8"/>
  <c r="P128" i="8"/>
  <c r="Q128" i="8" s="1"/>
  <c r="O95" i="8"/>
  <c r="Q170" i="8"/>
  <c r="Q169" i="8" s="1"/>
  <c r="F16" i="27"/>
  <c r="D16" i="27"/>
  <c r="Z15" i="8"/>
  <c r="M89" i="8" l="1"/>
  <c r="M88" i="8" s="1"/>
  <c r="M126" i="8" s="1"/>
  <c r="T77" i="8"/>
  <c r="T215" i="8" s="1"/>
  <c r="W63" i="8"/>
  <c r="V60" i="8"/>
  <c r="V194" i="8"/>
  <c r="R169" i="8"/>
  <c r="S169" i="8" s="1"/>
  <c r="S160" i="8"/>
  <c r="T160" i="8" s="1"/>
  <c r="U160" i="8" s="1"/>
  <c r="T111" i="8"/>
  <c r="U111" i="8" s="1"/>
  <c r="R128" i="8"/>
  <c r="S112" i="8"/>
  <c r="R112" i="8"/>
  <c r="T54" i="8"/>
  <c r="T103" i="8"/>
  <c r="U77" i="8"/>
  <c r="U215" i="8" s="1"/>
  <c r="AB108" i="8"/>
  <c r="T72" i="8"/>
  <c r="S94" i="8"/>
  <c r="T94" i="8" s="1"/>
  <c r="P95" i="8"/>
  <c r="AB91" i="8"/>
  <c r="S43" i="8"/>
  <c r="T43" i="8" s="1"/>
  <c r="N89" i="8" l="1"/>
  <c r="N88" i="8" s="1"/>
  <c r="N126" i="8" s="1"/>
  <c r="X63" i="8"/>
  <c r="W60" i="8"/>
  <c r="V77" i="8"/>
  <c r="W77" i="8" s="1"/>
  <c r="T112" i="8"/>
  <c r="W194" i="8"/>
  <c r="V215" i="8"/>
  <c r="V160" i="8"/>
  <c r="W160" i="8" s="1"/>
  <c r="T169" i="8"/>
  <c r="S128" i="8"/>
  <c r="U103" i="8"/>
  <c r="U54" i="8"/>
  <c r="X77" i="8"/>
  <c r="U112" i="8"/>
  <c r="V111" i="8"/>
  <c r="W111" i="8" s="1"/>
  <c r="U72" i="8"/>
  <c r="V72" i="8" s="1"/>
  <c r="W72" i="8" s="1"/>
  <c r="U94" i="8"/>
  <c r="V94" i="8" s="1"/>
  <c r="Q95" i="8"/>
  <c r="U43" i="8"/>
  <c r="O89" i="8" l="1"/>
  <c r="P89" i="8" s="1"/>
  <c r="Q89" i="8" s="1"/>
  <c r="Y63" i="8"/>
  <c r="X60" i="8"/>
  <c r="X194" i="8"/>
  <c r="W215" i="8"/>
  <c r="X160" i="8"/>
  <c r="Y160" i="8" s="1"/>
  <c r="U169" i="8"/>
  <c r="T128" i="8"/>
  <c r="W112" i="8"/>
  <c r="X72" i="8"/>
  <c r="Y72" i="8" s="1"/>
  <c r="V112" i="8"/>
  <c r="X111" i="8"/>
  <c r="Y111" i="8" s="1"/>
  <c r="Y77" i="8"/>
  <c r="Z77" i="8" s="1"/>
  <c r="V103" i="8"/>
  <c r="V54" i="8"/>
  <c r="W94" i="8"/>
  <c r="X94" i="8" s="1"/>
  <c r="Y94" i="8" s="1"/>
  <c r="R95" i="8"/>
  <c r="V43" i="8"/>
  <c r="W43" i="8" s="1"/>
  <c r="O88" i="8" l="1"/>
  <c r="O126" i="8" s="1"/>
  <c r="Z63" i="8"/>
  <c r="Y60" i="8"/>
  <c r="Y194" i="8"/>
  <c r="X215" i="8"/>
  <c r="Z160" i="8"/>
  <c r="AA160" i="8" s="1"/>
  <c r="V169" i="8"/>
  <c r="AA77" i="8"/>
  <c r="AB77" i="8" s="1"/>
  <c r="U128" i="8"/>
  <c r="Y112" i="8"/>
  <c r="X112" i="8"/>
  <c r="Z111" i="8"/>
  <c r="AA111" i="8" s="1"/>
  <c r="W54" i="8"/>
  <c r="W103" i="8"/>
  <c r="R89" i="8"/>
  <c r="S89" i="8" s="1"/>
  <c r="Z72" i="8"/>
  <c r="S95" i="8"/>
  <c r="T95" i="8" s="1"/>
  <c r="Z94" i="8"/>
  <c r="Q88" i="8"/>
  <c r="X43" i="8"/>
  <c r="P88" i="8"/>
  <c r="P126" i="8" s="1"/>
  <c r="AA63" i="8" l="1"/>
  <c r="Z60" i="8"/>
  <c r="Z194" i="8"/>
  <c r="Y215" i="8"/>
  <c r="AB160" i="8"/>
  <c r="W169" i="8"/>
  <c r="V128" i="8"/>
  <c r="W128" i="8" s="1"/>
  <c r="T89" i="8"/>
  <c r="U89" i="8" s="1"/>
  <c r="U88" i="8" s="1"/>
  <c r="R88" i="8"/>
  <c r="R126" i="8" s="1"/>
  <c r="R187" i="8" s="1"/>
  <c r="R237" i="8" s="1"/>
  <c r="AA72" i="8"/>
  <c r="AB72" i="8" s="1"/>
  <c r="X54" i="8"/>
  <c r="X103" i="8"/>
  <c r="AA112" i="8"/>
  <c r="Z112" i="8"/>
  <c r="AB111" i="8"/>
  <c r="U95" i="8"/>
  <c r="V95" i="8" s="1"/>
  <c r="S88" i="8"/>
  <c r="AA94" i="8"/>
  <c r="AB94" i="8" s="1"/>
  <c r="Y43" i="8"/>
  <c r="Q126" i="8"/>
  <c r="AB63" i="8" l="1"/>
  <c r="AB60" i="8" s="1"/>
  <c r="AA60" i="8"/>
  <c r="S126" i="8"/>
  <c r="S187" i="8" s="1"/>
  <c r="S237" i="8" s="1"/>
  <c r="V89" i="8"/>
  <c r="V88" i="8" s="1"/>
  <c r="V126" i="8" s="1"/>
  <c r="V187" i="8" s="1"/>
  <c r="V237" i="8" s="1"/>
  <c r="T88" i="8"/>
  <c r="T126" i="8" s="1"/>
  <c r="T187" i="8" s="1"/>
  <c r="T237" i="8" s="1"/>
  <c r="AA194" i="8"/>
  <c r="Z215" i="8"/>
  <c r="X128" i="8"/>
  <c r="Y128" i="8" s="1"/>
  <c r="X169" i="8"/>
  <c r="AB112" i="8"/>
  <c r="Y103" i="8"/>
  <c r="Y54" i="8"/>
  <c r="W95" i="8"/>
  <c r="Z43" i="8"/>
  <c r="U126" i="8" l="1"/>
  <c r="U187" i="8" s="1"/>
  <c r="U237" i="8" s="1"/>
  <c r="W89" i="8"/>
  <c r="W88" i="8" s="1"/>
  <c r="W126" i="8" s="1"/>
  <c r="W187" i="8" s="1"/>
  <c r="W237" i="8" s="1"/>
  <c r="AB194" i="8"/>
  <c r="AA215" i="8"/>
  <c r="Y169" i="8"/>
  <c r="Z128" i="8"/>
  <c r="AA128" i="8" s="1"/>
  <c r="Z103" i="8"/>
  <c r="Z54" i="8"/>
  <c r="X95" i="8"/>
  <c r="AA43" i="8"/>
  <c r="AB43" i="8" s="1"/>
  <c r="X89" i="8" l="1"/>
  <c r="Y89" i="8" s="1"/>
  <c r="Y88" i="8" s="1"/>
  <c r="AB215" i="8"/>
  <c r="AB219" i="8" s="1"/>
  <c r="AB220" i="8" s="1"/>
  <c r="Z169" i="8"/>
  <c r="AB128" i="8"/>
  <c r="AA54" i="8"/>
  <c r="AA103" i="8"/>
  <c r="Y95" i="8"/>
  <c r="Z95" i="8" s="1"/>
  <c r="N79" i="9"/>
  <c r="P79" i="9"/>
  <c r="Q79" i="9"/>
  <c r="R79" i="9" s="1"/>
  <c r="Z89" i="8" l="1"/>
  <c r="AA89" i="8" s="1"/>
  <c r="AA88" i="8" s="1"/>
  <c r="X88" i="8"/>
  <c r="AA169" i="8"/>
  <c r="AB54" i="8"/>
  <c r="AB103" i="8"/>
  <c r="AA95" i="8"/>
  <c r="AB95" i="8" s="1"/>
  <c r="AF9" i="8"/>
  <c r="AG9" i="8" s="1"/>
  <c r="AF10" i="8"/>
  <c r="Q84" i="9"/>
  <c r="R84" i="9" s="1"/>
  <c r="P84" i="9"/>
  <c r="O84" i="9"/>
  <c r="N84" i="9"/>
  <c r="G140" i="8"/>
  <c r="E140" i="8"/>
  <c r="F140" i="8"/>
  <c r="Z88" i="8" l="1"/>
  <c r="Z126" i="8" s="1"/>
  <c r="Z187" i="8" s="1"/>
  <c r="Z237" i="8" s="1"/>
  <c r="AB89" i="8"/>
  <c r="AB88" i="8" s="1"/>
  <c r="AB126" i="8" s="1"/>
  <c r="AB187" i="8" s="1"/>
  <c r="AB237" i="8" s="1"/>
  <c r="X126" i="8"/>
  <c r="X187" i="8" s="1"/>
  <c r="X237" i="8" s="1"/>
  <c r="Y126" i="8"/>
  <c r="Y187" i="8" s="1"/>
  <c r="Y237" i="8" s="1"/>
  <c r="AB169" i="8"/>
  <c r="M41" i="11"/>
  <c r="M40" i="11"/>
  <c r="M11" i="11"/>
  <c r="M16" i="11"/>
  <c r="M17" i="11"/>
  <c r="N11" i="11"/>
  <c r="N23" i="19" s="1"/>
  <c r="N41" i="11"/>
  <c r="N47" i="19" s="1"/>
  <c r="N40" i="11"/>
  <c r="N46" i="19" s="1"/>
  <c r="N17" i="11"/>
  <c r="N28" i="19" s="1"/>
  <c r="N16" i="11"/>
  <c r="N27" i="19" s="1"/>
  <c r="O40" i="11"/>
  <c r="O46" i="19" s="1"/>
  <c r="O41" i="11"/>
  <c r="O47" i="19" s="1"/>
  <c r="O11" i="11"/>
  <c r="O23" i="19" s="1"/>
  <c r="O16" i="11"/>
  <c r="O27" i="19" s="1"/>
  <c r="O17" i="11"/>
  <c r="O28" i="19" s="1"/>
  <c r="P41" i="11"/>
  <c r="P47" i="19" s="1"/>
  <c r="P40" i="11"/>
  <c r="P46" i="19" s="1"/>
  <c r="P11" i="11"/>
  <c r="P23" i="19" s="1"/>
  <c r="P17" i="11"/>
  <c r="P28" i="19" s="1"/>
  <c r="P16" i="11"/>
  <c r="P27" i="19" s="1"/>
  <c r="F142" i="8"/>
  <c r="G142" i="8"/>
  <c r="E142" i="8"/>
  <c r="AA126" i="8" l="1"/>
  <c r="AA187" i="8" s="1"/>
  <c r="AA237" i="8" s="1"/>
  <c r="H142" i="8"/>
  <c r="I142" i="8" s="1"/>
  <c r="D36" i="17"/>
  <c r="O36" i="17" s="1"/>
  <c r="D35" i="17"/>
  <c r="O35" i="17" s="1"/>
  <c r="O75" i="17"/>
  <c r="J142" i="8" l="1"/>
  <c r="K142" i="8" s="1"/>
  <c r="L142" i="8" l="1"/>
  <c r="M142" i="8" l="1"/>
  <c r="N142" i="8" l="1"/>
  <c r="O142" i="8" s="1"/>
  <c r="P142" i="8" l="1"/>
  <c r="Q142" i="8" l="1"/>
  <c r="R142" i="8" s="1"/>
  <c r="L197" i="8"/>
  <c r="S142" i="8" l="1"/>
  <c r="F6" i="27"/>
  <c r="L198" i="8"/>
  <c r="T142" i="8" l="1"/>
  <c r="U142" i="8" s="1"/>
  <c r="H6" i="27"/>
  <c r="G6" i="27"/>
  <c r="E6" i="27"/>
  <c r="V142" i="8" l="1"/>
  <c r="W142" i="8" l="1"/>
  <c r="X142" i="8" l="1"/>
  <c r="Y142" i="8" s="1"/>
  <c r="Z142" i="8" l="1"/>
  <c r="AA142" i="8" s="1"/>
  <c r="AB142" i="8" s="1"/>
  <c r="C18" i="27" l="1"/>
  <c r="C19" i="27" l="1"/>
  <c r="C17" i="27"/>
  <c r="R54" i="19"/>
  <c r="H187" i="8" l="1"/>
  <c r="H237" i="8" s="1"/>
  <c r="J112" i="8"/>
  <c r="K112" i="8"/>
  <c r="L112" i="8"/>
  <c r="M112" i="8"/>
  <c r="N112" i="8"/>
  <c r="O112" i="8"/>
  <c r="P112" i="8"/>
  <c r="I112" i="8"/>
  <c r="Q112" i="8"/>
  <c r="Q187" i="8" l="1"/>
  <c r="L187" i="8"/>
  <c r="K187" i="8"/>
  <c r="J187" i="8"/>
  <c r="P187" i="8"/>
  <c r="O187" i="8"/>
  <c r="N187" i="8"/>
  <c r="I187" i="8"/>
  <c r="M187" i="8"/>
  <c r="Q237" i="8" l="1"/>
  <c r="J237" i="8"/>
  <c r="K237" i="8"/>
  <c r="P237" i="8"/>
  <c r="M237" i="8"/>
  <c r="L237" i="8"/>
  <c r="N237" i="8"/>
  <c r="O237" i="8"/>
  <c r="I237" i="8"/>
  <c r="AO284" i="8" l="1"/>
  <c r="R19" i="19" l="1"/>
  <c r="Q19" i="19"/>
  <c r="AO294" i="8"/>
  <c r="U11" i="19"/>
  <c r="U10" i="19" l="1"/>
  <c r="H18" i="8" l="1"/>
  <c r="H22" i="8" s="1"/>
  <c r="H24" i="8" s="1"/>
  <c r="H98" i="8" l="1"/>
  <c r="H189" i="8"/>
  <c r="I29" i="19"/>
  <c r="H69" i="8"/>
  <c r="H144" i="8"/>
  <c r="H239" i="8" l="1"/>
  <c r="I137" i="8"/>
  <c r="H97" i="8"/>
  <c r="I18" i="8" l="1"/>
  <c r="I22" i="8" s="1"/>
  <c r="I24" i="8" s="1"/>
  <c r="I51" i="8"/>
  <c r="I101" i="8" l="1"/>
  <c r="I48" i="8"/>
  <c r="I98" i="8"/>
  <c r="J137" i="8" s="1"/>
  <c r="I189" i="8"/>
  <c r="I30" i="19"/>
  <c r="I144" i="8"/>
  <c r="I69" i="8"/>
  <c r="J18" i="8"/>
  <c r="J22" i="8" s="1"/>
  <c r="J24" i="8" s="1"/>
  <c r="I31" i="19" l="1"/>
  <c r="J51" i="8"/>
  <c r="J101" i="8" s="1"/>
  <c r="I121" i="8"/>
  <c r="I49" i="8"/>
  <c r="I97" i="8"/>
  <c r="J98" i="8"/>
  <c r="J189" i="8"/>
  <c r="J239" i="8" s="1"/>
  <c r="J144" i="8"/>
  <c r="I239" i="8"/>
  <c r="J69" i="8"/>
  <c r="K18" i="8"/>
  <c r="K22" i="8" s="1"/>
  <c r="K24" i="8" s="1"/>
  <c r="I183" i="8" l="1"/>
  <c r="I233" i="8"/>
  <c r="J97" i="8"/>
  <c r="J48" i="8"/>
  <c r="J121" i="8" s="1"/>
  <c r="J183" i="8" s="1"/>
  <c r="K137" i="8"/>
  <c r="K69" i="8"/>
  <c r="L18" i="8"/>
  <c r="L22" i="8" s="1"/>
  <c r="L24" i="8" s="1"/>
  <c r="J49" i="8" l="1"/>
  <c r="J233" i="8"/>
  <c r="K98" i="8"/>
  <c r="K51" i="8"/>
  <c r="K48" i="8" s="1"/>
  <c r="K49" i="8" s="1"/>
  <c r="K189" i="8"/>
  <c r="K239" i="8" s="1"/>
  <c r="K144" i="8"/>
  <c r="I32" i="19"/>
  <c r="L69" i="8"/>
  <c r="M18" i="8"/>
  <c r="M22" i="8" s="1"/>
  <c r="M24" i="8" s="1"/>
  <c r="K101" i="8" l="1"/>
  <c r="K97" i="8" s="1"/>
  <c r="K121" i="8"/>
  <c r="L137" i="8"/>
  <c r="L189" i="8" s="1"/>
  <c r="L239" i="8" s="1"/>
  <c r="I33" i="19"/>
  <c r="M69" i="8"/>
  <c r="N18" i="8"/>
  <c r="N22" i="8" s="1"/>
  <c r="N24" i="8" s="1"/>
  <c r="L144" i="8" l="1"/>
  <c r="L98" i="8"/>
  <c r="L51" i="8"/>
  <c r="K233" i="8"/>
  <c r="K183" i="8"/>
  <c r="O18" i="8"/>
  <c r="O22" i="8" s="1"/>
  <c r="O24" i="8" s="1"/>
  <c r="N69" i="8"/>
  <c r="M137" i="8" l="1"/>
  <c r="L101" i="8"/>
  <c r="L97" i="8" s="1"/>
  <c r="L48" i="8"/>
  <c r="P18" i="8"/>
  <c r="P22" i="8" s="1"/>
  <c r="P24" i="8" s="1"/>
  <c r="O69" i="8"/>
  <c r="L121" i="8" l="1"/>
  <c r="L49" i="8"/>
  <c r="M51" i="8"/>
  <c r="M48" i="8" s="1"/>
  <c r="M189" i="8"/>
  <c r="M239" i="8" s="1"/>
  <c r="M98" i="8"/>
  <c r="M144" i="8"/>
  <c r="Q18" i="8"/>
  <c r="Q22" i="8" s="1"/>
  <c r="Q24" i="8" s="1"/>
  <c r="P69" i="8"/>
  <c r="N137" i="8" l="1"/>
  <c r="M121" i="8"/>
  <c r="M49" i="8"/>
  <c r="M101" i="8"/>
  <c r="L183" i="8"/>
  <c r="L233" i="8"/>
  <c r="Q69" i="8"/>
  <c r="R18" i="8"/>
  <c r="R22" i="8" s="1"/>
  <c r="R24" i="8" s="1"/>
  <c r="N98" i="8" l="1"/>
  <c r="N51" i="8"/>
  <c r="N48" i="8" s="1"/>
  <c r="N144" i="8"/>
  <c r="N189" i="8"/>
  <c r="N239" i="8" s="1"/>
  <c r="M183" i="8"/>
  <c r="M233" i="8"/>
  <c r="M97" i="8"/>
  <c r="S18" i="8"/>
  <c r="S22" i="8" s="1"/>
  <c r="S24" i="8" s="1"/>
  <c r="R69" i="8"/>
  <c r="N101" i="8" l="1"/>
  <c r="N49" i="8"/>
  <c r="N121" i="8"/>
  <c r="N97" i="8"/>
  <c r="O137" i="8"/>
  <c r="O98" i="8" s="1"/>
  <c r="T18" i="8"/>
  <c r="T22" i="8" s="1"/>
  <c r="T24" i="8" s="1"/>
  <c r="S69" i="8"/>
  <c r="P137" i="8" l="1"/>
  <c r="N183" i="8"/>
  <c r="N233" i="8"/>
  <c r="O51" i="8"/>
  <c r="O144" i="8"/>
  <c r="O189" i="8"/>
  <c r="O239" i="8" s="1"/>
  <c r="U18" i="8"/>
  <c r="U22" i="8" s="1"/>
  <c r="U24" i="8" s="1"/>
  <c r="T69" i="8"/>
  <c r="O48" i="8" l="1"/>
  <c r="O101" i="8"/>
  <c r="P51" i="8"/>
  <c r="P48" i="8" s="1"/>
  <c r="P144" i="8"/>
  <c r="P189" i="8"/>
  <c r="P239" i="8" s="1"/>
  <c r="P98" i="8"/>
  <c r="V18" i="8"/>
  <c r="V22" i="8" s="1"/>
  <c r="V24" i="8" s="1"/>
  <c r="U69" i="8"/>
  <c r="Q137" i="8" l="1"/>
  <c r="P121" i="8"/>
  <c r="P101" i="8"/>
  <c r="P97" i="8" s="1"/>
  <c r="O97" i="8"/>
  <c r="P49" i="8" s="1"/>
  <c r="O49" i="8"/>
  <c r="O121" i="8"/>
  <c r="W18" i="8"/>
  <c r="W22" i="8" s="1"/>
  <c r="W24" i="8" s="1"/>
  <c r="V69" i="8"/>
  <c r="P233" i="8" l="1"/>
  <c r="P183" i="8"/>
  <c r="O183" i="8"/>
  <c r="O233" i="8"/>
  <c r="Q98" i="8"/>
  <c r="R137" i="8" s="1"/>
  <c r="Q51" i="8"/>
  <c r="Q48" i="8" s="1"/>
  <c r="Q144" i="8"/>
  <c r="Q189" i="8"/>
  <c r="Q239" i="8" s="1"/>
  <c r="W69" i="8"/>
  <c r="X18" i="8"/>
  <c r="X22" i="8" s="1"/>
  <c r="X24" i="8" s="1"/>
  <c r="Q121" i="8" l="1"/>
  <c r="Q49" i="8"/>
  <c r="R98" i="8"/>
  <c r="R51" i="8"/>
  <c r="R48" i="8" s="1"/>
  <c r="R144" i="8"/>
  <c r="R189" i="8"/>
  <c r="R239" i="8" s="1"/>
  <c r="Q101" i="8"/>
  <c r="X69" i="8"/>
  <c r="Y18" i="8"/>
  <c r="Y22" i="8" s="1"/>
  <c r="Y24" i="8" s="1"/>
  <c r="Q97" i="8" l="1"/>
  <c r="R49" i="8" s="1"/>
  <c r="R101" i="8"/>
  <c r="R97" i="8" s="1"/>
  <c r="R121" i="8"/>
  <c r="S137" i="8"/>
  <c r="Q183" i="8"/>
  <c r="Q233" i="8"/>
  <c r="Z18" i="8"/>
  <c r="Y69" i="8"/>
  <c r="S98" i="8" l="1"/>
  <c r="S51" i="8"/>
  <c r="S48" i="8" s="1"/>
  <c r="S121" i="8" s="1"/>
  <c r="S144" i="8"/>
  <c r="S189" i="8"/>
  <c r="S239" i="8" s="1"/>
  <c r="R233" i="8"/>
  <c r="R183" i="8"/>
  <c r="Z69" i="8"/>
  <c r="AA18" i="8"/>
  <c r="Z22" i="8"/>
  <c r="Z24" i="8" s="1"/>
  <c r="S233" i="8" l="1"/>
  <c r="S183" i="8"/>
  <c r="T137" i="8"/>
  <c r="S101" i="8"/>
  <c r="S49" i="8"/>
  <c r="AB18" i="8"/>
  <c r="AA22" i="8"/>
  <c r="AA24" i="8" s="1"/>
  <c r="AA69" i="8"/>
  <c r="S97" i="8" l="1"/>
  <c r="T98" i="8"/>
  <c r="T51" i="8"/>
  <c r="T48" i="8" s="1"/>
  <c r="T189" i="8"/>
  <c r="T239" i="8" s="1"/>
  <c r="T144" i="8"/>
  <c r="AB22" i="8"/>
  <c r="AB24" i="8" s="1"/>
  <c r="AB69" i="8"/>
  <c r="T121" i="8" l="1"/>
  <c r="T49" i="8"/>
  <c r="U137" i="8"/>
  <c r="U98" i="8" s="1"/>
  <c r="T101" i="8"/>
  <c r="T97" i="8" l="1"/>
  <c r="V137" i="8"/>
  <c r="V98" i="8" s="1"/>
  <c r="U51" i="8"/>
  <c r="U48" i="8" s="1"/>
  <c r="U189" i="8"/>
  <c r="U239" i="8" s="1"/>
  <c r="U144" i="8"/>
  <c r="T233" i="8"/>
  <c r="T183" i="8"/>
  <c r="U49" i="8" l="1"/>
  <c r="U121" i="8"/>
  <c r="W137" i="8"/>
  <c r="W98" i="8" s="1"/>
  <c r="V51" i="8"/>
  <c r="V48" i="8" s="1"/>
  <c r="V144" i="8"/>
  <c r="V189" i="8"/>
  <c r="V239" i="8" s="1"/>
  <c r="U101" i="8"/>
  <c r="U233" i="8" l="1"/>
  <c r="U183" i="8"/>
  <c r="V121" i="8"/>
  <c r="X137" i="8"/>
  <c r="W51" i="8"/>
  <c r="W48" i="8" s="1"/>
  <c r="W144" i="8"/>
  <c r="W189" i="8"/>
  <c r="W239" i="8" s="1"/>
  <c r="V101" i="8"/>
  <c r="U97" i="8"/>
  <c r="V49" i="8" s="1"/>
  <c r="W121" i="8" l="1"/>
  <c r="X98" i="8"/>
  <c r="X51" i="8"/>
  <c r="X48" i="8" s="1"/>
  <c r="X144" i="8"/>
  <c r="X189" i="8"/>
  <c r="X239" i="8" s="1"/>
  <c r="V233" i="8"/>
  <c r="V183" i="8"/>
  <c r="W101" i="8"/>
  <c r="V97" i="8"/>
  <c r="W49" i="8" s="1"/>
  <c r="X121" i="8" l="1"/>
  <c r="Y137" i="8"/>
  <c r="X101" i="8"/>
  <c r="W97" i="8"/>
  <c r="X49" i="8" s="1"/>
  <c r="W233" i="8"/>
  <c r="W183" i="8"/>
  <c r="X97" i="8" l="1"/>
  <c r="Y98" i="8"/>
  <c r="Z137" i="8" s="1"/>
  <c r="Y51" i="8"/>
  <c r="Y48" i="8" s="1"/>
  <c r="Y121" i="8" s="1"/>
  <c r="Y189" i="8"/>
  <c r="Y239" i="8" s="1"/>
  <c r="Y144" i="8"/>
  <c r="X233" i="8"/>
  <c r="X183" i="8"/>
  <c r="Y233" i="8" l="1"/>
  <c r="Y183" i="8"/>
  <c r="Y49" i="8"/>
  <c r="Z98" i="8"/>
  <c r="Z51" i="8"/>
  <c r="Z48" i="8" s="1"/>
  <c r="Z144" i="8"/>
  <c r="Z189" i="8"/>
  <c r="Z239" i="8" s="1"/>
  <c r="Y101" i="8"/>
  <c r="Y97" i="8" l="1"/>
  <c r="Z49" i="8" s="1"/>
  <c r="Z101" i="8"/>
  <c r="Z97" i="8" s="1"/>
  <c r="Z121" i="8"/>
  <c r="AA137" i="8"/>
  <c r="AA98" i="8" s="1"/>
  <c r="AB137" i="8" l="1"/>
  <c r="AA51" i="8"/>
  <c r="AA48" i="8" s="1"/>
  <c r="AA121" i="8" s="1"/>
  <c r="AA144" i="8"/>
  <c r="AA189" i="8"/>
  <c r="AA239" i="8" s="1"/>
  <c r="Z183" i="8"/>
  <c r="Z233" i="8"/>
  <c r="AA183" i="8" l="1"/>
  <c r="AA233" i="8"/>
  <c r="AA49" i="8"/>
  <c r="AA101" i="8"/>
  <c r="AB98" i="8"/>
  <c r="AB51" i="8"/>
  <c r="AB48" i="8" s="1"/>
  <c r="AB189" i="8"/>
  <c r="AB239" i="8" s="1"/>
  <c r="AB144" i="8"/>
  <c r="Q22" i="11"/>
  <c r="Q32" i="19" s="1"/>
  <c r="H37" i="8"/>
  <c r="H45" i="8" s="1"/>
  <c r="AB121" i="8" l="1"/>
  <c r="AB101" i="8"/>
  <c r="AB97" i="8" s="1"/>
  <c r="AA97" i="8"/>
  <c r="AB49" i="8" s="1"/>
  <c r="Q44" i="11"/>
  <c r="Q43" i="11"/>
  <c r="Q49" i="19" s="1"/>
  <c r="H57" i="8"/>
  <c r="Q45" i="11"/>
  <c r="Q51" i="11"/>
  <c r="Q56" i="19" s="1"/>
  <c r="Q50" i="11"/>
  <c r="Q55" i="19" s="1"/>
  <c r="H46" i="8"/>
  <c r="Q18" i="11" s="1"/>
  <c r="Q29" i="19" s="1"/>
  <c r="H123" i="8"/>
  <c r="AB183" i="8" l="1"/>
  <c r="AB233" i="8"/>
  <c r="H58" i="8"/>
  <c r="H178" i="8" s="1"/>
  <c r="H229" i="8"/>
  <c r="H76" i="8"/>
  <c r="H74" i="8"/>
  <c r="H185" i="8"/>
  <c r="H235" i="8"/>
  <c r="Q50" i="19"/>
  <c r="Q51" i="19"/>
  <c r="H177" i="8" l="1"/>
  <c r="H179" i="8"/>
  <c r="Q20" i="11"/>
  <c r="H79" i="8"/>
  <c r="F29" i="19"/>
  <c r="Q19" i="11"/>
  <c r="Q30" i="19" s="1"/>
  <c r="H176" i="8" l="1"/>
  <c r="H175" i="8" s="1"/>
  <c r="H181" i="8" s="1"/>
  <c r="X146" i="8"/>
  <c r="V146" i="8"/>
  <c r="W146" i="8"/>
  <c r="S146" i="8"/>
  <c r="H80" i="8"/>
  <c r="Q23" i="11" s="1"/>
  <c r="Q33" i="19" s="1"/>
  <c r="AB146" i="8"/>
  <c r="H146" i="8"/>
  <c r="T146" i="8"/>
  <c r="J146" i="8"/>
  <c r="U146" i="8"/>
  <c r="R146" i="8"/>
  <c r="P146" i="8"/>
  <c r="L146" i="8"/>
  <c r="AA146" i="8"/>
  <c r="Q146" i="8"/>
  <c r="O146" i="8"/>
  <c r="H130" i="8"/>
  <c r="Q10" i="11"/>
  <c r="Q22" i="19" s="1"/>
  <c r="Y146" i="8"/>
  <c r="M146" i="8"/>
  <c r="K146" i="8"/>
  <c r="I146" i="8"/>
  <c r="H149" i="8"/>
  <c r="H231" i="8"/>
  <c r="H243" i="8" s="1"/>
  <c r="Z146" i="8"/>
  <c r="N146" i="8"/>
  <c r="H256" i="8" l="1"/>
  <c r="Q11" i="11" s="1"/>
  <c r="Q23" i="19" s="1"/>
  <c r="Q57" i="11"/>
  <c r="Q58" i="11"/>
  <c r="Q55" i="11"/>
  <c r="Q59" i="11"/>
  <c r="Q60" i="11"/>
  <c r="AA10" i="8"/>
  <c r="H244" i="8"/>
  <c r="Y10" i="8"/>
  <c r="I155" i="8"/>
  <c r="I157" i="8"/>
  <c r="Q63" i="11"/>
  <c r="Q42" i="19" s="1"/>
  <c r="H162" i="8"/>
  <c r="Q62" i="11" s="1"/>
  <c r="H191" i="8"/>
  <c r="AB10" i="8"/>
  <c r="H29" i="19" s="1"/>
  <c r="R61" i="11" l="1"/>
  <c r="H260" i="8"/>
  <c r="H164" i="8"/>
  <c r="X10" i="8"/>
  <c r="G29" i="19" s="1"/>
  <c r="H192" i="8"/>
  <c r="H214" i="8"/>
  <c r="I241" i="8"/>
  <c r="I114" i="8"/>
  <c r="AC11" i="8" l="1"/>
  <c r="Q56" i="11"/>
  <c r="Q64" i="11"/>
  <c r="Q43" i="19" s="1"/>
  <c r="H86" i="8"/>
  <c r="AF11" i="8"/>
  <c r="I61" i="8"/>
  <c r="Q27" i="11" l="1"/>
  <c r="Q36" i="19" s="1"/>
  <c r="AI10" i="8"/>
  <c r="AD10" i="8"/>
  <c r="AE10" i="8"/>
  <c r="Q28" i="11"/>
  <c r="Q37" i="19" s="1"/>
  <c r="Q42" i="11" l="1"/>
  <c r="Q48" i="19" s="1"/>
  <c r="AG10" i="8"/>
  <c r="R42" i="11"/>
  <c r="R48" i="19" s="1"/>
  <c r="Q15" i="11"/>
  <c r="Q26" i="19" s="1"/>
  <c r="R29" i="11"/>
  <c r="R38" i="19" s="1"/>
  <c r="Q29" i="11"/>
  <c r="Q38" i="19" s="1"/>
  <c r="R41" i="11" l="1"/>
  <c r="R47" i="19" s="1"/>
  <c r="R40" i="11"/>
  <c r="R46" i="19" s="1"/>
  <c r="Q40" i="11"/>
  <c r="Q46" i="19" s="1"/>
  <c r="Q41" i="11"/>
  <c r="Q47" i="19" s="1"/>
  <c r="Q16" i="11"/>
  <c r="Q27" i="19" s="1"/>
  <c r="Q17" i="11"/>
  <c r="Q28" i="19" s="1"/>
  <c r="R22" i="11"/>
  <c r="R32" i="19" s="1"/>
  <c r="I37" i="8"/>
  <c r="I123" i="8" s="1"/>
  <c r="I45" i="8" l="1"/>
  <c r="I57" i="8" s="1"/>
  <c r="I235" i="8"/>
  <c r="I185" i="8"/>
  <c r="R50" i="11"/>
  <c r="R55" i="19" s="1"/>
  <c r="R44" i="11"/>
  <c r="R43" i="11"/>
  <c r="R49" i="19" s="1"/>
  <c r="I46" i="8" l="1"/>
  <c r="R18" i="11" s="1"/>
  <c r="R29" i="19" s="1"/>
  <c r="R51" i="11"/>
  <c r="R56" i="19" s="1"/>
  <c r="R45" i="11"/>
  <c r="R51" i="19"/>
  <c r="R50" i="19"/>
  <c r="I229" i="8"/>
  <c r="I58" i="8"/>
  <c r="I76" i="8"/>
  <c r="I74" i="8"/>
  <c r="I79" i="8" l="1"/>
  <c r="R20" i="11"/>
  <c r="I178" i="8"/>
  <c r="F30" i="19"/>
  <c r="R19" i="11"/>
  <c r="R30" i="19" s="1"/>
  <c r="I177" i="8" l="1"/>
  <c r="I179" i="8"/>
  <c r="I176" i="8"/>
  <c r="I175" i="8" s="1"/>
  <c r="I181" i="8" s="1"/>
  <c r="I149" i="8"/>
  <c r="I130" i="8"/>
  <c r="R63" i="11" s="1"/>
  <c r="R42" i="19" s="1"/>
  <c r="R16" i="11"/>
  <c r="R27" i="19" s="1"/>
  <c r="I80" i="8"/>
  <c r="R23" i="11" s="1"/>
  <c r="R33" i="19" s="1"/>
  <c r="R15" i="11"/>
  <c r="R26" i="19" s="1"/>
  <c r="I231" i="8"/>
  <c r="I243" i="8" s="1"/>
  <c r="R10" i="11"/>
  <c r="R22" i="19" s="1"/>
  <c r="R17" i="11" l="1"/>
  <c r="R28" i="19" s="1"/>
  <c r="I191" i="8"/>
  <c r="AB11" i="8"/>
  <c r="H30" i="19" s="1"/>
  <c r="R58" i="11"/>
  <c r="R59" i="11"/>
  <c r="R57" i="11"/>
  <c r="R55" i="11"/>
  <c r="R60" i="11"/>
  <c r="I162" i="8"/>
  <c r="R62" i="11" s="1"/>
  <c r="I256" i="8"/>
  <c r="Y11" i="8"/>
  <c r="I244" i="8"/>
  <c r="J155" i="8"/>
  <c r="J157" i="8"/>
  <c r="I164" i="8" l="1"/>
  <c r="R56" i="11" s="1"/>
  <c r="J114" i="8"/>
  <c r="J241" i="8"/>
  <c r="AC12" i="8" s="1"/>
  <c r="R64" i="11"/>
  <c r="R43" i="19" s="1"/>
  <c r="I260" i="8"/>
  <c r="AA11" i="8"/>
  <c r="R11" i="11"/>
  <c r="R23" i="19" s="1"/>
  <c r="I192" i="8"/>
  <c r="I214" i="8"/>
  <c r="X11" i="8"/>
  <c r="G30" i="19" s="1"/>
  <c r="I86" i="8" l="1"/>
  <c r="AE11" i="8" s="1"/>
  <c r="AG11" i="8" s="1"/>
  <c r="R27" i="11"/>
  <c r="R36" i="19" s="1"/>
  <c r="J61" i="8"/>
  <c r="J37" i="8"/>
  <c r="AI11" i="8" l="1"/>
  <c r="R28" i="11"/>
  <c r="R37" i="19" s="1"/>
  <c r="AD11" i="8"/>
  <c r="J123" i="8"/>
  <c r="J45" i="8"/>
  <c r="J46" i="8" l="1"/>
  <c r="J57" i="8"/>
  <c r="J235" i="8"/>
  <c r="J185" i="8"/>
  <c r="J76" i="8" l="1"/>
  <c r="J229" i="8"/>
  <c r="J74" i="8"/>
  <c r="J58" i="8"/>
  <c r="J79" i="8" l="1"/>
  <c r="J80" i="8" s="1"/>
  <c r="J149" i="8"/>
  <c r="F31" i="19"/>
  <c r="J178" i="8"/>
  <c r="J231" i="8" l="1"/>
  <c r="J243" i="8" s="1"/>
  <c r="K157" i="8" s="1"/>
  <c r="J130" i="8"/>
  <c r="J177" i="8"/>
  <c r="J176" i="8"/>
  <c r="J175" i="8" s="1"/>
  <c r="J181" i="8" s="1"/>
  <c r="J179" i="8"/>
  <c r="J256" i="8"/>
  <c r="J162" i="8"/>
  <c r="J244" i="8" l="1"/>
  <c r="Y12" i="8"/>
  <c r="K155" i="8"/>
  <c r="K114" i="8" s="1"/>
  <c r="J164" i="8"/>
  <c r="J86" i="8" s="1"/>
  <c r="AD12" i="8" s="1"/>
  <c r="AB12" i="8"/>
  <c r="H31" i="19" s="1"/>
  <c r="J191" i="8"/>
  <c r="AA12" i="8"/>
  <c r="J260" i="8"/>
  <c r="K241" i="8" l="1"/>
  <c r="AC14" i="8" s="1"/>
  <c r="J214" i="8"/>
  <c r="J192" i="8"/>
  <c r="X12" i="8"/>
  <c r="G31" i="19" s="1"/>
  <c r="K61" i="8"/>
  <c r="K37" i="8"/>
  <c r="K123" i="8" l="1"/>
  <c r="K45" i="8"/>
  <c r="K46" i="8" l="1"/>
  <c r="K57" i="8"/>
  <c r="K185" i="8"/>
  <c r="K235" i="8"/>
  <c r="K229" i="8" l="1"/>
  <c r="K74" i="8"/>
  <c r="K58" i="8"/>
  <c r="K76" i="8"/>
  <c r="K79" i="8" l="1"/>
  <c r="K178" i="8"/>
  <c r="F32" i="19"/>
  <c r="K179" i="8" l="1"/>
  <c r="K176" i="8"/>
  <c r="K175" i="8" s="1"/>
  <c r="K181" i="8" s="1"/>
  <c r="K177" i="8"/>
  <c r="K231" i="8"/>
  <c r="K243" i="8" s="1"/>
  <c r="K149" i="8"/>
  <c r="K130" i="8"/>
  <c r="K80" i="8"/>
  <c r="L155" i="8" l="1"/>
  <c r="Y14" i="8"/>
  <c r="K244" i="8"/>
  <c r="L157" i="8"/>
  <c r="K256" i="8"/>
  <c r="K162" i="8"/>
  <c r="K164" i="8" s="1"/>
  <c r="K86" i="8" s="1"/>
  <c r="AB14" i="8"/>
  <c r="H32" i="19" s="1"/>
  <c r="K191" i="8"/>
  <c r="AD14" i="8" l="1"/>
  <c r="K192" i="8"/>
  <c r="X14" i="8"/>
  <c r="G32" i="19" s="1"/>
  <c r="K214" i="8"/>
  <c r="K260" i="8"/>
  <c r="AA14" i="8"/>
  <c r="L241" i="8"/>
  <c r="AC15" i="8" s="1"/>
  <c r="L114" i="8"/>
  <c r="L61" i="8" l="1"/>
  <c r="L37" i="8"/>
  <c r="L123" i="8" s="1"/>
  <c r="L235" i="8" s="1"/>
  <c r="L45" i="8" l="1"/>
  <c r="L185" i="8"/>
  <c r="L46" i="8" l="1"/>
  <c r="L57" i="8"/>
  <c r="L58" i="8" l="1"/>
  <c r="L229" i="8"/>
  <c r="L76" i="8"/>
  <c r="L74" i="8"/>
  <c r="L79" i="8" l="1"/>
  <c r="L130" i="8" s="1"/>
  <c r="L149" i="8"/>
  <c r="F33" i="19"/>
  <c r="L178" i="8"/>
  <c r="L80" i="8" l="1"/>
  <c r="L231" i="8"/>
  <c r="L243" i="8" s="1"/>
  <c r="L244" i="8" s="1"/>
  <c r="L177" i="8"/>
  <c r="L179" i="8"/>
  <c r="L176" i="8"/>
  <c r="L175" i="8" s="1"/>
  <c r="L181" i="8" s="1"/>
  <c r="L256" i="8"/>
  <c r="L162" i="8"/>
  <c r="L164" i="8" s="1"/>
  <c r="L86" i="8" s="1"/>
  <c r="AD15" i="8" s="1"/>
  <c r="M37" i="8"/>
  <c r="M123" i="8" s="1"/>
  <c r="M155" i="8" l="1"/>
  <c r="Y15" i="8"/>
  <c r="M157" i="8"/>
  <c r="AA15" i="8"/>
  <c r="L260" i="8"/>
  <c r="L191" i="8"/>
  <c r="AB15" i="8"/>
  <c r="H33" i="19" s="1"/>
  <c r="M235" i="8"/>
  <c r="M185" i="8"/>
  <c r="M45" i="8"/>
  <c r="M114" i="8" l="1"/>
  <c r="M61" i="8" s="1"/>
  <c r="M241" i="8"/>
  <c r="L214" i="8"/>
  <c r="L192" i="8"/>
  <c r="X15" i="8"/>
  <c r="G33" i="19" s="1"/>
  <c r="M46" i="8"/>
  <c r="M57" i="8"/>
  <c r="M76" i="8" l="1"/>
  <c r="M229" i="8"/>
  <c r="M58" i="8"/>
  <c r="M178" i="8" s="1"/>
  <c r="M74" i="8"/>
  <c r="M79" i="8" l="1"/>
  <c r="M231" i="8" s="1"/>
  <c r="M243" i="8" s="1"/>
  <c r="M176" i="8"/>
  <c r="M175" i="8" s="1"/>
  <c r="M181" i="8" s="1"/>
  <c r="M191" i="8" s="1"/>
  <c r="M179" i="8"/>
  <c r="M177" i="8"/>
  <c r="M149" i="8" l="1"/>
  <c r="M162" i="8" s="1"/>
  <c r="M80" i="8"/>
  <c r="M130" i="8"/>
  <c r="M214" i="8"/>
  <c r="M192" i="8"/>
  <c r="N157" i="8"/>
  <c r="N155" i="8"/>
  <c r="M244" i="8"/>
  <c r="M164" i="8" l="1"/>
  <c r="M86" i="8" s="1"/>
  <c r="M256" i="8"/>
  <c r="M260" i="8" s="1"/>
  <c r="N114" i="8"/>
  <c r="N241" i="8"/>
  <c r="N61" i="8" l="1"/>
  <c r="N37" i="8"/>
  <c r="N123" i="8" s="1"/>
  <c r="N235" i="8" s="1"/>
  <c r="N45" i="8" l="1"/>
  <c r="N46" i="8" s="1"/>
  <c r="N185" i="8"/>
  <c r="N57" i="8" l="1"/>
  <c r="N58" i="8" s="1"/>
  <c r="N178" i="8" s="1"/>
  <c r="N74" i="8" l="1"/>
  <c r="N229" i="8"/>
  <c r="N76" i="8"/>
  <c r="N177" i="8"/>
  <c r="N176" i="8"/>
  <c r="N175" i="8" s="1"/>
  <c r="N181" i="8" s="1"/>
  <c r="N191" i="8" s="1"/>
  <c r="N179" i="8"/>
  <c r="N79" i="8" l="1"/>
  <c r="N80" i="8" s="1"/>
  <c r="N149" i="8"/>
  <c r="N162" i="8" s="1"/>
  <c r="N214" i="8"/>
  <c r="N192" i="8"/>
  <c r="N231" i="8" l="1"/>
  <c r="N243" i="8" s="1"/>
  <c r="O157" i="8" s="1"/>
  <c r="N130" i="8"/>
  <c r="N164" i="8" s="1"/>
  <c r="N86" i="8" s="1"/>
  <c r="N256" i="8"/>
  <c r="N260" i="8" s="1"/>
  <c r="N244" i="8" l="1"/>
  <c r="O155" i="8"/>
  <c r="O114" i="8" s="1"/>
  <c r="O61" i="8" s="1"/>
  <c r="O37" i="8"/>
  <c r="O123" i="8" s="1"/>
  <c r="O241" i="8" l="1"/>
  <c r="O45" i="8"/>
  <c r="O57" i="8" s="1"/>
  <c r="O235" i="8"/>
  <c r="O185" i="8"/>
  <c r="O46" i="8" l="1"/>
  <c r="O58" i="8"/>
  <c r="O178" i="8" s="1"/>
  <c r="O76" i="8"/>
  <c r="O229" i="8"/>
  <c r="O74" i="8"/>
  <c r="O79" i="8" l="1"/>
  <c r="O130" i="8" s="1"/>
  <c r="O149" i="8"/>
  <c r="O176" i="8"/>
  <c r="O175" i="8" s="1"/>
  <c r="O181" i="8" s="1"/>
  <c r="O191" i="8" s="1"/>
  <c r="O179" i="8"/>
  <c r="O177" i="8"/>
  <c r="O231" i="8" l="1"/>
  <c r="O243" i="8" s="1"/>
  <c r="P157" i="8" s="1"/>
  <c r="O80" i="8"/>
  <c r="O192" i="8"/>
  <c r="O214" i="8"/>
  <c r="O256" i="8"/>
  <c r="O260" i="8" s="1"/>
  <c r="O162" i="8"/>
  <c r="O164" i="8" s="1"/>
  <c r="O86" i="8" s="1"/>
  <c r="P155" i="8" l="1"/>
  <c r="P114" i="8" s="1"/>
  <c r="O244" i="8"/>
  <c r="P241" i="8" l="1"/>
  <c r="P61" i="8"/>
  <c r="P37" i="8"/>
  <c r="P123" i="8" s="1"/>
  <c r="P45" i="8" l="1"/>
  <c r="P57" i="8" s="1"/>
  <c r="P229" i="8" s="1"/>
  <c r="P235" i="8"/>
  <c r="P185" i="8"/>
  <c r="P76" i="8" l="1"/>
  <c r="P79" i="8" s="1"/>
  <c r="P130" i="8" s="1"/>
  <c r="P46" i="8"/>
  <c r="P58" i="8"/>
  <c r="P178" i="8" s="1"/>
  <c r="P179" i="8" s="1"/>
  <c r="P74" i="8"/>
  <c r="P176" i="8"/>
  <c r="P175" i="8" s="1"/>
  <c r="P181" i="8" s="1"/>
  <c r="P191" i="8" s="1"/>
  <c r="P192" i="8" s="1"/>
  <c r="P177" i="8"/>
  <c r="P231" i="8" l="1"/>
  <c r="P243" i="8" s="1"/>
  <c r="Q157" i="8" s="1"/>
  <c r="P149" i="8"/>
  <c r="P80" i="8"/>
  <c r="P214" i="8"/>
  <c r="P256" i="8" l="1"/>
  <c r="P260" i="8" s="1"/>
  <c r="P162" i="8"/>
  <c r="P164" i="8" s="1"/>
  <c r="P86" i="8" s="1"/>
  <c r="P244" i="8"/>
  <c r="Q155" i="8"/>
  <c r="Q37" i="8"/>
  <c r="Q123" i="8" s="1"/>
  <c r="Q185" i="8" s="1"/>
  <c r="Q114" i="8" l="1"/>
  <c r="Q61" i="8" s="1"/>
  <c r="Q241" i="8"/>
  <c r="Q45" i="8"/>
  <c r="Q57" i="8" s="1"/>
  <c r="Q58" i="8" s="1"/>
  <c r="Q178" i="8" s="1"/>
  <c r="Q235" i="8"/>
  <c r="Q229" i="8" l="1"/>
  <c r="Q46" i="8"/>
  <c r="Q76" i="8"/>
  <c r="Q74" i="8"/>
  <c r="Q179" i="8"/>
  <c r="Q176" i="8"/>
  <c r="Q175" i="8" s="1"/>
  <c r="Q181" i="8" s="1"/>
  <c r="Q191" i="8" s="1"/>
  <c r="Q177" i="8"/>
  <c r="Q79" i="8" l="1"/>
  <c r="Q130" i="8" s="1"/>
  <c r="Q214" i="8"/>
  <c r="Q192" i="8"/>
  <c r="Q149" i="8"/>
  <c r="Q80" i="8" l="1"/>
  <c r="Q231" i="8"/>
  <c r="Q243" i="8" s="1"/>
  <c r="Q256" i="8"/>
  <c r="Q260" i="8" s="1"/>
  <c r="Q162" i="8"/>
  <c r="Q164" i="8" s="1"/>
  <c r="Q86" i="8" s="1"/>
  <c r="R157" i="8"/>
  <c r="Q244" i="8"/>
  <c r="R155" i="8"/>
  <c r="R114" i="8" l="1"/>
  <c r="R241" i="8"/>
  <c r="R61" i="8" l="1"/>
  <c r="R37" i="8"/>
  <c r="R123" i="8" s="1"/>
  <c r="R45" i="8"/>
  <c r="R57" i="8" s="1"/>
  <c r="R74" i="8" l="1"/>
  <c r="R229" i="8"/>
  <c r="R58" i="8"/>
  <c r="R178" i="8" s="1"/>
  <c r="R76" i="8"/>
  <c r="R185" i="8"/>
  <c r="R235" i="8"/>
  <c r="R46" i="8"/>
  <c r="R79" i="8" l="1"/>
  <c r="R80" i="8" s="1"/>
  <c r="R179" i="8"/>
  <c r="R177" i="8"/>
  <c r="R176" i="8"/>
  <c r="R175" i="8" s="1"/>
  <c r="R181" i="8" s="1"/>
  <c r="R191" i="8" s="1"/>
  <c r="R149" i="8"/>
  <c r="R130" i="8" l="1"/>
  <c r="R231" i="8"/>
  <c r="R243" i="8" s="1"/>
  <c r="R244" i="8" s="1"/>
  <c r="R214" i="8"/>
  <c r="R192" i="8"/>
  <c r="R256" i="8"/>
  <c r="R260" i="8" s="1"/>
  <c r="R162" i="8"/>
  <c r="R164" i="8" l="1"/>
  <c r="R86" i="8" s="1"/>
  <c r="S155" i="8"/>
  <c r="S157" i="8"/>
  <c r="S114" i="8" l="1"/>
  <c r="S61" i="8" s="1"/>
  <c r="S241" i="8"/>
  <c r="S37" i="8"/>
  <c r="S123" i="8" s="1"/>
  <c r="S45" i="8" l="1"/>
  <c r="S46" i="8" s="1"/>
  <c r="S185" i="8"/>
  <c r="S235" i="8"/>
  <c r="S57" i="8" l="1"/>
  <c r="S229" i="8" s="1"/>
  <c r="S58" i="8" l="1"/>
  <c r="S178" i="8" s="1"/>
  <c r="S176" i="8" s="1"/>
  <c r="S175" i="8" s="1"/>
  <c r="S181" i="8" s="1"/>
  <c r="S191" i="8" s="1"/>
  <c r="S74" i="8"/>
  <c r="S76" i="8"/>
  <c r="S79" i="8"/>
  <c r="S177" i="8"/>
  <c r="S179" i="8"/>
  <c r="S214" i="8"/>
  <c r="S192" i="8"/>
  <c r="S80" i="8" l="1"/>
  <c r="S149" i="8"/>
  <c r="S231" i="8"/>
  <c r="S243" i="8" s="1"/>
  <c r="S130" i="8"/>
  <c r="T155" i="8" l="1"/>
  <c r="T157" i="8"/>
  <c r="S244" i="8"/>
  <c r="S256" i="8"/>
  <c r="S260" i="8" s="1"/>
  <c r="S162" i="8"/>
  <c r="S164" i="8" s="1"/>
  <c r="S86" i="8" s="1"/>
  <c r="T37" i="8"/>
  <c r="T123" i="8" s="1"/>
  <c r="T241" i="8" l="1"/>
  <c r="T114" i="8"/>
  <c r="T61" i="8" s="1"/>
  <c r="T45" i="8"/>
  <c r="T57" i="8" s="1"/>
  <c r="T58" i="8" s="1"/>
  <c r="T178" i="8" s="1"/>
  <c r="T235" i="8"/>
  <c r="T185" i="8"/>
  <c r="T46" i="8" l="1"/>
  <c r="T76" i="8"/>
  <c r="T229" i="8"/>
  <c r="T74" i="8"/>
  <c r="T177" i="8"/>
  <c r="T179" i="8"/>
  <c r="T176" i="8"/>
  <c r="T175" i="8" s="1"/>
  <c r="T181" i="8" s="1"/>
  <c r="T191" i="8" s="1"/>
  <c r="T79" i="8" l="1"/>
  <c r="T214" i="8"/>
  <c r="T192" i="8"/>
  <c r="T149" i="8"/>
  <c r="T130" i="8"/>
  <c r="T231" i="8"/>
  <c r="T243" i="8" s="1"/>
  <c r="T80" i="8"/>
  <c r="U157" i="8" l="1"/>
  <c r="T244" i="8"/>
  <c r="U155" i="8"/>
  <c r="T162" i="8"/>
  <c r="T164" i="8" s="1"/>
  <c r="T86" i="8" s="1"/>
  <c r="T256" i="8"/>
  <c r="T260" i="8" s="1"/>
  <c r="U241" i="8" l="1"/>
  <c r="U114" i="8"/>
  <c r="U61" i="8" l="1"/>
  <c r="U37" i="8"/>
  <c r="U45" i="8" s="1"/>
  <c r="U123" i="8" l="1"/>
  <c r="U185" i="8" s="1"/>
  <c r="U57" i="8"/>
  <c r="U46" i="8"/>
  <c r="U235" i="8" l="1"/>
  <c r="U58" i="8"/>
  <c r="U178" i="8" s="1"/>
  <c r="U229" i="8"/>
  <c r="U74" i="8"/>
  <c r="U76" i="8"/>
  <c r="U79" i="8" l="1"/>
  <c r="U179" i="8"/>
  <c r="U176" i="8"/>
  <c r="U175" i="8" s="1"/>
  <c r="U181" i="8" s="1"/>
  <c r="U191" i="8" s="1"/>
  <c r="U177" i="8"/>
  <c r="U214" i="8" l="1"/>
  <c r="U192" i="8"/>
  <c r="U149" i="8"/>
  <c r="U130" i="8"/>
  <c r="U80" i="8"/>
  <c r="U231" i="8"/>
  <c r="U243" i="8" s="1"/>
  <c r="V155" i="8" l="1"/>
  <c r="U244" i="8"/>
  <c r="V157" i="8"/>
  <c r="U162" i="8"/>
  <c r="U164" i="8" s="1"/>
  <c r="U86" i="8" s="1"/>
  <c r="U256" i="8"/>
  <c r="U260" i="8" s="1"/>
  <c r="V114" i="8" l="1"/>
  <c r="V241" i="8"/>
  <c r="V61" i="8" l="1"/>
  <c r="V37" i="8"/>
  <c r="V123" i="8" s="1"/>
  <c r="V45" i="8" l="1"/>
  <c r="V235" i="8"/>
  <c r="V185" i="8"/>
  <c r="V46" i="8" l="1"/>
  <c r="V57" i="8"/>
  <c r="V58" i="8" l="1"/>
  <c r="V178" i="8" s="1"/>
  <c r="V76" i="8"/>
  <c r="V229" i="8"/>
  <c r="V74" i="8"/>
  <c r="V79" i="8" l="1"/>
  <c r="V80" i="8" s="1"/>
  <c r="V177" i="8"/>
  <c r="V179" i="8"/>
  <c r="V176" i="8"/>
  <c r="V175" i="8" s="1"/>
  <c r="V181" i="8" s="1"/>
  <c r="V191" i="8" s="1"/>
  <c r="V130" i="8" l="1"/>
  <c r="V231" i="8"/>
  <c r="V243" i="8" s="1"/>
  <c r="V149" i="8"/>
  <c r="V214" i="8"/>
  <c r="V192" i="8"/>
  <c r="V162" i="8" l="1"/>
  <c r="V164" i="8" s="1"/>
  <c r="V86" i="8" s="1"/>
  <c r="V256" i="8"/>
  <c r="V260" i="8" s="1"/>
  <c r="W157" i="8"/>
  <c r="W155" i="8"/>
  <c r="V244" i="8"/>
  <c r="W37" i="8"/>
  <c r="W123" i="8" s="1"/>
  <c r="W235" i="8" s="1"/>
  <c r="W241" i="8" l="1"/>
  <c r="W114" i="8"/>
  <c r="W61" i="8" s="1"/>
  <c r="W45" i="8"/>
  <c r="W46" i="8" s="1"/>
  <c r="W185" i="8"/>
  <c r="W57" i="8" l="1"/>
  <c r="W76" i="8" s="1"/>
  <c r="W229" i="8" l="1"/>
  <c r="W74" i="8"/>
  <c r="W79" i="8" s="1"/>
  <c r="W58" i="8"/>
  <c r="W178" i="8" s="1"/>
  <c r="W179" i="8" s="1"/>
  <c r="W177" i="8" l="1"/>
  <c r="W176" i="8"/>
  <c r="W175" i="8" s="1"/>
  <c r="W181" i="8" s="1"/>
  <c r="W191" i="8" s="1"/>
  <c r="W214" i="8" s="1"/>
  <c r="W149" i="8"/>
  <c r="W80" i="8"/>
  <c r="W231" i="8"/>
  <c r="W243" i="8" s="1"/>
  <c r="W130" i="8"/>
  <c r="X37" i="8"/>
  <c r="X45" i="8" s="1"/>
  <c r="W192" i="8" l="1"/>
  <c r="X46" i="8"/>
  <c r="X57" i="8"/>
  <c r="X74" i="8" s="1"/>
  <c r="X123" i="8"/>
  <c r="X235" i="8" s="1"/>
  <c r="X157" i="8"/>
  <c r="W244" i="8"/>
  <c r="X155" i="8"/>
  <c r="W162" i="8"/>
  <c r="W164" i="8" s="1"/>
  <c r="W86" i="8" s="1"/>
  <c r="W256" i="8"/>
  <c r="W260" i="8" s="1"/>
  <c r="X76" i="8" l="1"/>
  <c r="X79" i="8" s="1"/>
  <c r="X229" i="8"/>
  <c r="X58" i="8"/>
  <c r="X178" i="8" s="1"/>
  <c r="X185" i="8"/>
  <c r="X114" i="8"/>
  <c r="X61" i="8" s="1"/>
  <c r="X241" i="8"/>
  <c r="X149" i="8" l="1"/>
  <c r="X256" i="8" s="1"/>
  <c r="X260" i="8" s="1"/>
  <c r="X80" i="8"/>
  <c r="X130" i="8"/>
  <c r="X231" i="8"/>
  <c r="X243" i="8" s="1"/>
  <c r="Y155" i="8" s="1"/>
  <c r="X179" i="8"/>
  <c r="X176" i="8"/>
  <c r="X175" i="8" s="1"/>
  <c r="X181" i="8" s="1"/>
  <c r="X191" i="8" s="1"/>
  <c r="X192" i="8" s="1"/>
  <c r="X177" i="8"/>
  <c r="Y157" i="8" l="1"/>
  <c r="Y241" i="8" s="1"/>
  <c r="X244" i="8"/>
  <c r="X162" i="8"/>
  <c r="X164" i="8" s="1"/>
  <c r="X86" i="8" s="1"/>
  <c r="X214" i="8"/>
  <c r="Y114" i="8" l="1"/>
  <c r="Y61" i="8" s="1"/>
  <c r="Y37" i="8"/>
  <c r="Y123" i="8" s="1"/>
  <c r="Y185" i="8" s="1"/>
  <c r="Y45" i="8" l="1"/>
  <c r="Y235" i="8"/>
  <c r="Y46" i="8" l="1"/>
  <c r="Y57" i="8"/>
  <c r="Y58" i="8" l="1"/>
  <c r="Y178" i="8" s="1"/>
  <c r="Y74" i="8"/>
  <c r="Y76" i="8"/>
  <c r="Y229" i="8"/>
  <c r="Y79" i="8" l="1"/>
  <c r="Y130" i="8" s="1"/>
  <c r="Y177" i="8"/>
  <c r="Y179" i="8"/>
  <c r="Y176" i="8"/>
  <c r="Y175" i="8" s="1"/>
  <c r="Y181" i="8" s="1"/>
  <c r="Y191" i="8" s="1"/>
  <c r="Y149" i="8" l="1"/>
  <c r="Y256" i="8" s="1"/>
  <c r="Y260" i="8" s="1"/>
  <c r="Y80" i="8"/>
  <c r="Y231" i="8"/>
  <c r="Y243" i="8" s="1"/>
  <c r="Y244" i="8" s="1"/>
  <c r="Y214" i="8"/>
  <c r="Y192" i="8"/>
  <c r="Z37" i="8"/>
  <c r="Z45" i="8" s="1"/>
  <c r="Y162" i="8" l="1"/>
  <c r="Y164" i="8" s="1"/>
  <c r="Y86" i="8" s="1"/>
  <c r="Z155" i="8"/>
  <c r="Z157" i="8"/>
  <c r="Z57" i="8"/>
  <c r="Z46" i="8"/>
  <c r="Z123" i="8"/>
  <c r="Z114" i="8" l="1"/>
  <c r="Z61" i="8" s="1"/>
  <c r="Z241" i="8"/>
  <c r="Z185" i="8"/>
  <c r="Z235" i="8"/>
  <c r="Z76" i="8"/>
  <c r="Z58" i="8"/>
  <c r="Z178" i="8" s="1"/>
  <c r="Z74" i="8"/>
  <c r="Z229" i="8"/>
  <c r="Z79" i="8" l="1"/>
  <c r="Z80" i="8" s="1"/>
  <c r="Z149" i="8"/>
  <c r="Z176" i="8"/>
  <c r="Z175" i="8" s="1"/>
  <c r="Z181" i="8" s="1"/>
  <c r="Z191" i="8" s="1"/>
  <c r="Z177" i="8"/>
  <c r="Z179" i="8"/>
  <c r="Z231" i="8" l="1"/>
  <c r="Z243" i="8" s="1"/>
  <c r="AA155" i="8" s="1"/>
  <c r="Z130" i="8"/>
  <c r="Z192" i="8"/>
  <c r="Z214" i="8"/>
  <c r="Z162" i="8"/>
  <c r="Z256" i="8"/>
  <c r="Z260" i="8" s="1"/>
  <c r="Z164" i="8" l="1"/>
  <c r="Z86" i="8" s="1"/>
  <c r="Z244" i="8"/>
  <c r="AA157" i="8"/>
  <c r="AA241" i="8" s="1"/>
  <c r="AA114" i="8" l="1"/>
  <c r="AA61" i="8" s="1"/>
  <c r="AA37" i="8"/>
  <c r="AA123" i="8" s="1"/>
  <c r="AA45" i="8" l="1"/>
  <c r="AA46" i="8" s="1"/>
  <c r="AA185" i="8"/>
  <c r="AA235" i="8"/>
  <c r="AA57" i="8" l="1"/>
  <c r="AA58" i="8" s="1"/>
  <c r="AA178" i="8" s="1"/>
  <c r="AA177" i="8" s="1"/>
  <c r="AA176" i="8" l="1"/>
  <c r="AA175" i="8" s="1"/>
  <c r="AA181" i="8" s="1"/>
  <c r="AA191" i="8" s="1"/>
  <c r="AA214" i="8" s="1"/>
  <c r="AA179" i="8"/>
  <c r="AA74" i="8"/>
  <c r="AA229" i="8"/>
  <c r="AA76" i="8"/>
  <c r="AA192" i="8" l="1"/>
  <c r="AA79" i="8"/>
  <c r="AA80" i="8" s="1"/>
  <c r="AA149" i="8"/>
  <c r="AA130" i="8" l="1"/>
  <c r="AA231" i="8"/>
  <c r="AA243" i="8" s="1"/>
  <c r="AB157" i="8" s="1"/>
  <c r="AA162" i="8"/>
  <c r="AA256" i="8"/>
  <c r="AA260" i="8" s="1"/>
  <c r="AA164" i="8" l="1"/>
  <c r="AA86" i="8" s="1"/>
  <c r="AB155" i="8"/>
  <c r="AB114" i="8" s="1"/>
  <c r="AB61" i="8" s="1"/>
  <c r="AA244" i="8"/>
  <c r="AB37" i="8"/>
  <c r="AB123" i="8" s="1"/>
  <c r="AB241" i="8" l="1"/>
  <c r="AB235" i="8"/>
  <c r="AB185" i="8"/>
  <c r="AB45" i="8"/>
  <c r="AB57" i="8" l="1"/>
  <c r="AB46" i="8"/>
  <c r="AB76" i="8" l="1"/>
  <c r="AB74" i="8"/>
  <c r="AB229" i="8"/>
  <c r="AB58" i="8"/>
  <c r="AB178" i="8" s="1"/>
  <c r="AB79" i="8" l="1"/>
  <c r="AB130" i="8" s="1"/>
  <c r="AB176" i="8"/>
  <c r="AB175" i="8" s="1"/>
  <c r="AB181" i="8" s="1"/>
  <c r="AB191" i="8" s="1"/>
  <c r="AB179" i="8"/>
  <c r="AB177" i="8"/>
  <c r="AB149" i="8"/>
  <c r="AB231" i="8"/>
  <c r="AB243" i="8" s="1"/>
  <c r="AB80" i="8"/>
  <c r="AB244" i="8" l="1"/>
  <c r="AB246" i="8"/>
  <c r="AB247" i="8" s="1"/>
  <c r="AB256" i="8"/>
  <c r="AB260" i="8" s="1"/>
  <c r="AB262" i="8" s="1"/>
  <c r="AB263" i="8" s="1"/>
  <c r="AB162" i="8"/>
  <c r="AB164" i="8" s="1"/>
  <c r="AB86" i="8" s="1"/>
  <c r="S199" i="8"/>
  <c r="AB214" i="8"/>
  <c r="AB217" i="8"/>
  <c r="AB218" i="8" s="1"/>
  <c r="AB192" i="8"/>
  <c r="AB197" i="8"/>
  <c r="AB198" i="8" s="1"/>
  <c r="AB199" i="8" l="1"/>
  <c r="AB248" i="8"/>
  <c r="AB250" i="8" s="1"/>
  <c r="AB252" i="8" s="1"/>
  <c r="AB221" i="8"/>
  <c r="AB222" i="8" s="1"/>
  <c r="AB223" i="8" s="1"/>
  <c r="AB225" i="8" s="1"/>
  <c r="R8" i="11"/>
  <c r="R20" i="19" s="1"/>
  <c r="R6" i="11"/>
  <c r="R18" i="19" s="1"/>
  <c r="R9" i="11"/>
  <c r="R21" i="19" s="1"/>
  <c r="R199" i="8"/>
  <c r="AB266" i="8"/>
  <c r="AB268" i="8" s="1"/>
  <c r="AB264" i="8"/>
  <c r="AB204" i="8" l="1"/>
  <c r="AB207" i="8" s="1"/>
  <c r="AB210" i="8" s="1"/>
  <c r="Q8" i="11"/>
  <c r="Q20" i="19" s="1"/>
  <c r="Q9" i="11"/>
  <c r="Q21" i="19" s="1"/>
  <c r="Q6" i="11"/>
  <c r="Q18" i="1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Daniel Cruz</author>
  </authors>
  <commentList>
    <comment ref="I9" authorId="0" shapeId="0" xr:uid="{2CC01FE4-F979-47E9-9D52-09181DC3AAB7}">
      <text>
        <r>
          <rPr>
            <b/>
            <sz val="9"/>
            <color indexed="81"/>
            <rFont val="Tahoma"/>
            <family val="2"/>
          </rPr>
          <t>Daniel Cruz:</t>
        </r>
        <r>
          <rPr>
            <sz val="9"/>
            <color indexed="81"/>
            <rFont val="Tahoma"/>
            <family val="2"/>
          </rPr>
          <t xml:space="preserve">
Canada was only considered a separate region in 2024.</t>
        </r>
      </text>
    </comment>
    <comment ref="B10" authorId="0" shapeId="0" xr:uid="{E70945BA-E327-4051-A0A4-F911BD20DAD4}">
      <text>
        <r>
          <rPr>
            <b/>
            <sz val="9"/>
            <color indexed="81"/>
            <rFont val="Tahoma"/>
            <family val="2"/>
          </rPr>
          <t>Daniel Cruz:</t>
        </r>
        <r>
          <rPr>
            <sz val="9"/>
            <color indexed="81"/>
            <rFont val="Tahoma"/>
            <family val="2"/>
          </rPr>
          <t xml:space="preserve">
"Other" includes the rest of Europe, the Middle East, Asia, Australia and Canada (excluding 2024) where the revenue from a single country is not greater than 10% of total
consolidated revenue.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tc={97499253-CA62-4967-9EE2-A69D600AA52B}</author>
    <author>Maria Gonçalves</author>
    <author>tc={5A30B1DF-0443-4E8C-A706-00F3A1DDDAD0}</author>
    <author>tc={BAE893F3-E1E1-46D6-9F3C-E7CCC44E9425}</author>
    <author>tc={A70B7508-A853-4C7D-B153-EA9FE9D94232}</author>
    <author>tc={633474A3-6440-44D9-B3C4-FE5CB51C58F0}</author>
    <author>tc={5473EFA5-5FE8-4109-84F3-E2D9933CC453}</author>
    <author>tc={2CA9A5FD-8FFC-4B84-9145-049210D4580E}</author>
    <author>tc={09A142DF-4C86-424C-9278-65D63208B1F4}</author>
    <author>tc={1A3CE29F-ECD4-4566-8024-DABB0786D040}</author>
    <author>tc={2A3849FF-0007-45E7-A464-807E11C88037}</author>
    <author>tc={E3F2C29E-DC13-4BEB-8078-0A02D4AB6398}</author>
  </authors>
  <commentList>
    <comment ref="N5" authorId="0" shapeId="0" xr:uid="{97499253-CA62-4967-9EE2-A69D600AA52B}">
      <text>
        <t>[Threaded comment]
Your version of Excel allows you to read this threaded comment; however, any edits to it will get removed if the file is opened in a newer version of Excel. Learn more: https://go.microsoft.com/fwlink/?linkid=870924
Comment:
    Source: https://www.dwavequantum.com/company/newsroom/press-release/d-wave-and-carahsoft-partner-to-expand-distribution-of-quantum-computing-solutions-to-the-public-sector/</t>
      </text>
    </comment>
    <comment ref="B6" authorId="1" shapeId="0" xr:uid="{D0703AEB-F309-4AC5-ACA4-303D4206369E}">
      <text>
        <r>
          <rPr>
            <b/>
            <sz val="9"/>
            <color indexed="81"/>
            <rFont val="Tahoma"/>
            <family val="2"/>
          </rPr>
          <t>Maria Gonçalves:</t>
        </r>
        <r>
          <rPr>
            <sz val="9"/>
            <color indexed="81"/>
            <rFont val="Tahoma"/>
            <family val="2"/>
          </rPr>
          <t xml:space="preserve">
The ESG score for this company is currently unavailable.
</t>
        </r>
      </text>
    </comment>
    <comment ref="K49" authorId="2" shapeId="0" xr:uid="{5A30B1DF-0443-4E8C-A706-00F3A1DDDAD0}">
      <text>
        <t>[Threaded comment]
Your version of Excel allows you to read this threaded comment; however, any edits to it will get removed if the file is opened in a newer version of Excel. Learn more: https://go.microsoft.com/fwlink/?linkid=870924
Comment:
    The small decrease in workforce size should be viewed in the context of broader changes across the quantum computing industry. Source: stock analysis</t>
      </text>
    </comment>
    <comment ref="H53" authorId="3" shapeId="0" xr:uid="{BAE893F3-E1E1-46D6-9F3C-E7CCC44E9425}">
      <text>
        <t>[Threaded comment]
Your version of Excel allows you to read this threaded comment; however, any edits to it will get removed if the file is opened in a newer version of Excel. Learn more: https://go.microsoft.com/fwlink/?linkid=870924
Comment:
    Source: Financial Times</t>
      </text>
    </comment>
    <comment ref="K53" authorId="4" shapeId="0" xr:uid="{A70B7508-A853-4C7D-B153-EA9FE9D94232}">
      <text>
        <t>[Threaded comment]
Your version of Excel allows you to read this threaded comment; however, any edits to it will get removed if the file is opened in a newer version of Excel. Learn more: https://go.microsoft.com/fwlink/?linkid=870924
Comment:
    Source: TipRanks</t>
      </text>
    </comment>
    <comment ref="O55" authorId="5" shapeId="0" xr:uid="{633474A3-6440-44D9-B3C4-FE5CB51C58F0}">
      <text>
        <t>[Threaded comment]
Your version of Excel allows you to read this threaded comment; however, any edits to it will get removed if the file is opened in a newer version of Excel. Learn more: https://go.microsoft.com/fwlink/?linkid=870924
Comment:
    Source: Glassdoor</t>
      </text>
    </comment>
    <comment ref="H63" authorId="6" shapeId="0" xr:uid="{5473EFA5-5FE8-4109-84F3-E2D9933CC453}">
      <text>
        <t>[Threaded comment]
Your version of Excel allows you to read this threaded comment; however, any edits to it will get removed if the file is opened in a newer version of Excel. Learn more: https://go.microsoft.com/fwlink/?linkid=870924
Comment:
    Source: dwavequantum.com</t>
      </text>
    </comment>
    <comment ref="K67" authorId="7" shapeId="0" xr:uid="{2CA9A5FD-8FFC-4B84-9145-049210D4580E}">
      <text>
        <t>[Threaded comment]
Your version of Excel allows you to read this threaded comment; however, any edits to it will get removed if the file is opened in a newer version of Excel. Learn more: https://go.microsoft.com/fwlink/?linkid=870924
Comment:
    Source: dwavefederal.com</t>
      </text>
    </comment>
    <comment ref="H84" authorId="8" shapeId="0" xr:uid="{09A142DF-4C86-424C-9278-65D63208B1F4}">
      <text>
        <t xml:space="preserve">[Threaded comment]
Your version of Excel allows you to read this threaded comment; however, any edits to it will get removed if the file is opened in a newer version of Excel. Learn more: https://go.microsoft.com/fwlink/?linkid=870924
Comment:
    Source: IBM Research Blog, April 2022
</t>
      </text>
    </comment>
    <comment ref="O84" authorId="9" shapeId="0" xr:uid="{1A3CE29F-ECD4-4566-8024-DABB0786D040}">
      <text>
        <t>[Threaded comment]
Your version of Excel allows you to read this threaded comment; however, any edits to it will get removed if the file is opened in a newer version of Excel. Learn more: https://go.microsoft.com/fwlink/?linkid=870924
Comment:
    Source: arXiv, june 2021</t>
      </text>
    </comment>
    <comment ref="O90" authorId="10" shapeId="0" xr:uid="{2A3849FF-0007-45E7-A464-807E11C88037}">
      <text>
        <t>[Threaded comment]
Your version of Excel allows you to read this threaded comment; however, any edits to it will get removed if the file is opened in a newer version of Excel. Learn more: https://go.microsoft.com/fwlink/?linkid=870924
Comment:
    Source: Audit Analytics</t>
      </text>
    </comment>
    <comment ref="K94" authorId="11" shapeId="0" xr:uid="{E3F2C29E-DC13-4BEB-8078-0A02D4AB6398}">
      <text>
        <t xml:space="preserve">[Threaded comment]
Your version of Excel allows you to read this threaded comment; however, any edits to it will get removed if the file is opened in a newer version of Excel. Learn more: https://go.microsoft.com/fwlink/?linkid=870924
Comment:
    Source: D-Wave’s SEC filings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Maria Gonçalves</author>
  </authors>
  <commentList>
    <comment ref="C2" authorId="0" shapeId="0" xr:uid="{54F36BF6-2FE9-4CFD-B710-56E2B0C42B13}">
      <text>
        <r>
          <rPr>
            <b/>
            <sz val="9"/>
            <color indexed="81"/>
            <rFont val="Tahoma"/>
            <family val="2"/>
          </rPr>
          <t>Maria Gonçalves:</t>
        </r>
        <r>
          <rPr>
            <sz val="9"/>
            <color indexed="81"/>
            <rFont val="Tahoma"/>
            <family val="2"/>
          </rPr>
          <t xml:space="preserve">
There is no Sustainability report for this company.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Raul Vasconcelos</author>
    <author>Raul Vasconcelos da Silva</author>
    <author>tc={CB5C8E83-E3D0-4441-B6E0-D862C650B5F5}</author>
    <author>tc={CE396053-595E-4126-9C71-0875E5897884}</author>
    <author>tc={E2CDF95A-7B2F-4661-BCB3-C007122C6CFD}</author>
    <author>tc={CD092673-94DE-4108-B6AF-FC73424C056A}</author>
    <author>tc={62E50C66-BA1C-4031-B660-F25771E0B7AB}</author>
    <author>tc={9EF6C6D7-5E70-49FE-A672-ED08A0372EC5}</author>
  </authors>
  <commentList>
    <comment ref="B37" authorId="0" shapeId="0" xr:uid="{00000000-0006-0000-0600-000003000000}">
      <text>
        <r>
          <rPr>
            <b/>
            <sz val="9"/>
            <color indexed="81"/>
            <rFont val="Tahoma"/>
            <family val="2"/>
          </rPr>
          <t>Raul Vasconcelos:</t>
        </r>
        <r>
          <rPr>
            <sz val="9"/>
            <color indexed="81"/>
            <rFont val="Tahoma"/>
            <family val="2"/>
          </rPr>
          <t xml:space="preserve">
Forecast based on historical percentages or growth assumptions</t>
        </r>
      </text>
    </comment>
    <comment ref="B40" authorId="0" shapeId="0" xr:uid="{00000000-0006-0000-0600-000004000000}">
      <text>
        <r>
          <rPr>
            <b/>
            <sz val="9"/>
            <color indexed="81"/>
            <rFont val="Tahoma"/>
            <family val="2"/>
          </rPr>
          <t>Raul Vasconcelos:</t>
        </r>
        <r>
          <rPr>
            <sz val="9"/>
            <color indexed="81"/>
            <rFont val="Tahoma"/>
            <family val="2"/>
          </rPr>
          <t xml:space="preserve">
Forecast based on company policy, industry trends, or as a percentage of sales</t>
        </r>
      </text>
    </comment>
    <comment ref="B70" authorId="1" shapeId="0" xr:uid="{00000000-0006-0000-0600-000005000000}">
      <text>
        <r>
          <rPr>
            <sz val="11"/>
            <color theme="1"/>
            <rFont val="Arial"/>
            <family val="2"/>
          </rPr>
          <t>Forecast as % of revenue for maximum simplicity. It is encouraged to build a more complex model using bond yields, exchange rates and exposure to each region (not always necessary)</t>
        </r>
      </text>
    </comment>
    <comment ref="B104" authorId="1" shapeId="0" xr:uid="{00000000-0006-0000-0600-000006000000}">
      <text>
        <r>
          <rPr>
            <sz val="11"/>
            <color theme="1"/>
            <rFont val="Arial"/>
            <family val="2"/>
          </rPr>
          <t>Growth with R&amp;D or with part of the capex, should find what is the most reliable method for the company</t>
        </r>
      </text>
    </comment>
    <comment ref="B121" authorId="2" shapeId="0" xr:uid="{00000000-0006-0000-0600-000007000000}">
      <text>
        <t>[Threaded comment]
Your version of Excel allows you to read this threaded comment; however, any edits to it will get removed if the file is opened in a newer version of Excel. Learn more: https://go.microsoft.com/fwlink/?linkid=870924
Comment:
    Chipotle does not have any Intangibles in its Balance Sheet, except for Goodwill. Hence Depreciation and Amortization are forecasted only as % of PP&amp;E.</t>
      </text>
    </comment>
    <comment ref="B123" authorId="1" shapeId="0" xr:uid="{00000000-0006-0000-0600-000008000000}">
      <text>
        <r>
          <rPr>
            <sz val="11"/>
            <color theme="1"/>
            <rFont val="Arial"/>
            <family val="2"/>
          </rPr>
          <t xml:space="preserve">Usually part of SG&amp;A expenses, but sometimes can be part of R&amp;D expenses, i.e. tech/engineering companies </t>
        </r>
      </text>
    </comment>
    <comment ref="B135" authorId="3" shapeId="0" xr:uid="{00000000-0006-0000-0600-000009000000}">
      <text>
        <t xml:space="preserve">[Threaded comment]
Your version of Excel allows you to read this threaded comment; however, any edits to it will get removed if the file is opened in a newer version of Excel. Learn more: https://go.microsoft.com/fwlink/?linkid=870924
Comment:
    Forecasted based on net number of stores opening </t>
      </text>
    </comment>
    <comment ref="B140" authorId="1" shapeId="0" xr:uid="{00000000-0006-0000-0600-00000A000000}">
      <text>
        <r>
          <rPr>
            <sz val="11"/>
            <color theme="1"/>
            <rFont val="Arial"/>
            <family val="2"/>
          </rPr>
          <t>Forecast separately based on what you find to be the best factor</t>
        </r>
      </text>
    </comment>
    <comment ref="B152" authorId="4" shapeId="0" xr:uid="{00000000-0006-0000-0600-00000B000000}">
      <text>
        <t>[Threaded comment]
Your version of Excel allows you to read this threaded comment; however, any edits to it will get removed if the file is opened in a newer version of Excel. Learn more: https://go.microsoft.com/fwlink/?linkid=870924
Comment:
    Payment for Right of Use Assets are recognized as occupancy costs under SG&amp;A expenses.</t>
      </text>
    </comment>
    <comment ref="B155" authorId="5" shapeId="0" xr:uid="{00000000-0006-0000-0600-00000C000000}">
      <text>
        <t>[Threaded comment]
Your version of Excel allows you to read this threaded comment; however, any edits to it will get removed if the file is opened in a newer version of Excel. Learn more: https://go.microsoft.com/fwlink/?linkid=870924
Comment:
    Payment for Right of Use Assets are recognized as occupancy costs under SG&amp;A expenses.</t>
      </text>
    </comment>
    <comment ref="B157" authorId="6" shapeId="0" xr:uid="{00000000-0006-0000-0600-00000D000000}">
      <text>
        <t>[Threaded comment]
Your version of Excel allows you to read this threaded comment; however, any edits to it will get removed if the file is opened in a newer version of Excel. Learn more: https://go.microsoft.com/fwlink/?linkid=870924
Comment:
    Payment for Right of Use Assets are recognized as occupancy costs under SG&amp;A expenses.</t>
      </text>
    </comment>
    <comment ref="B164" authorId="7" shapeId="0" xr:uid="{00000000-0006-0000-0600-00000E000000}">
      <text>
        <t>[Threaded comment]
Your version of Excel allows you to read this threaded comment; however, any edits to it will get removed if the file is opened in a newer version of Excel. Learn more: https://go.microsoft.com/fwlink/?linkid=870924
Comment:
    Payment for Right of Use Assets are recognized as occupancy costs under SG&amp;A expenses.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tc={A4D661DD-10B0-44E4-B82E-442DFCF8EECE}</author>
    <author>tc={DA74278F-2B10-4A90-9923-4778C8865FA7}</author>
    <author>tc={D6B4285D-8A9C-4A88-911E-29C55ABE273B}</author>
    <author>tc={1CCAA643-4D3D-4BD3-91BB-59E51EA762B2}</author>
    <author>tc={43027C90-94CA-4B43-9113-A1EFA7B4B318}</author>
    <author>tc={72027D71-D49B-41D4-B2E0-B85D176AF73E}</author>
    <author>tc={FEE5DE30-D444-45BF-BEC2-BDE14940FB03}</author>
    <author>tc={BA2DA153-2865-477B-BAFB-1CE7DE8F9C7F}</author>
    <author>tc={32919114-FA40-48B3-B403-D1480BE8010F}</author>
    <author>tc={91574140-23FB-4030-B8D9-C52ABF453AE4}</author>
    <author>tc={14D1EB4B-0FA3-409C-8182-FED757F1F610}</author>
    <author>tc={A12E7CAC-66A1-42BF-BA7A-92775314F4A3}</author>
    <author>tc={26960ECD-B815-4EFE-B90B-89C410EA2CF2}</author>
    <author>tc={76AFA668-EC48-4E24-A577-991EA0A2F170}</author>
    <author>tc={FB486923-E7EE-40FD-974C-C92687E3DDD9}</author>
    <author>tc={09F00E3A-15B2-4D03-A863-18FB38B3B406}</author>
    <author>tc={3BD6D911-F427-45AB-8D61-4CE6BDE61444}</author>
    <author>tc={2118C33A-777E-4E87-976A-EB634A9C1D16}</author>
    <author>tc={F059078F-18E4-49D1-B39A-9331338F797A}</author>
    <author>tc={7F42B967-4783-47A9-B37E-99B7E53A6984}</author>
    <author>tc={514E3E77-DE7B-402C-9287-73F594C2453E}</author>
    <author>tc={00052305-80A2-47D8-9BDE-C0E11D011B5E}</author>
    <author>tc={21438D2F-3253-4BC0-AE68-00F8828615A4}</author>
    <author>Raul Vasconcelos</author>
    <author>tc={A46F6D18-F486-4AB1-9CF0-8165B0D9C55A}</author>
    <author>tc={A3548062-9DBC-4BA1-A01A-96674C210460}</author>
    <author>tc={2FC54A9D-F991-424A-AF0A-0DA5862865C3}</author>
    <author>tc={C095CAAD-18FB-44B9-9A8E-ABB8FF32039B}</author>
    <author>tc={1D4A6DA8-0DFA-4093-A57C-8B879F2214F7}</author>
    <author>tc={16058DE1-2454-4DA0-8DC2-071B3D245CFA}</author>
    <author>tc={30A86072-5201-4424-96F3-A1BD36B4959B}</author>
    <author>tc={FF147C33-F0B6-4879-A380-4948A8872531}</author>
    <author>tc={AE642FEB-9F25-4D1C-B1AB-BEA8FB6F6603}</author>
    <author>tc={1951422C-B743-41F1-B4FA-8AD053055F36}</author>
    <author>tc={74D08D92-D7B3-46F5-98FE-3B777BA9BEE8}</author>
    <author>tc={D7874FB9-1433-470A-853F-93EBCD61B7CF}</author>
    <author>tc={BFEC9DFA-2948-426E-8216-F63590177F6E}</author>
    <author>tc={C957DB1F-FCE6-4178-823E-96B047279783}</author>
    <author>tc={48AE3424-7B9D-42FC-8A2F-2FB1A4BF5872}</author>
    <author>tc={A3413669-4158-4E31-9C99-94C9A1E17A10}</author>
    <author>tc={D107DA88-4243-45A3-820D-63D7576E785E}</author>
    <author>tc={E06B34C5-E2E1-4E28-8B04-B92A9AC347E9}</author>
    <author>tc={1B2A8B43-E228-4D97-BA9E-963DF500B22D}</author>
    <author>tc={2CCB9E4E-7D31-4D2E-AFE1-2D3DBE78555D}</author>
    <author>tc={7BA0A01C-949C-4A7B-B2FC-2B2813EE32FA}</author>
    <author>tc={09892308-8051-4CA6-B479-2DC7A0ABE015}</author>
    <author>tc={BCF92269-A710-40E2-9250-CB69A2F45E61}</author>
    <author>tc={616E620F-479C-4AF1-B46A-BCAB98F7DC5D}</author>
    <author>tc={B38AF643-16ED-4510-BAE1-D98424AFF9C3}</author>
    <author>tc={55ECDD8E-234F-4714-82B5-0A6FA3E1F8AC}</author>
    <author>tc={BB628DBE-2D54-484B-9465-79F69B696EF3}</author>
    <author>tc={B8B422CD-8108-42C5-8D7F-BECC2DF6F28A}</author>
    <author>tc={EC2AD536-2BF0-4EB5-896F-C8790A7063A4}</author>
    <author>tc={A28F16D7-837E-4002-A221-1C04BCC9A1F5}</author>
    <author>tc={CC106876-7C5D-46B5-BFC6-A3CAAD3FFA9C}</author>
    <author>tc={9C3D626E-3374-45F3-B681-F4EF0A674275}</author>
    <author>tc={D4F8222C-BDFB-4FF9-977B-42EAE70BB38F}</author>
    <author>tc={A05C7BCB-8C9B-4C53-ACCA-F05EC36A0473}</author>
    <author>tc={5B59CDDF-15F4-4562-BB00-93C727636B4C}</author>
    <author>tc={E464C701-17FD-42E5-A282-0ED6211FDFF5}</author>
    <author>tc={5447379D-9D94-4AC5-B3CC-8704B7863B38}</author>
    <author>tc={2A2EF401-1E69-4B9B-BA10-7804F7F3F264}</author>
  </authors>
  <commentList>
    <comment ref="N9" authorId="0" shapeId="0" xr:uid="{A4D661DD-10B0-44E4-B82E-442DFCF8EECE}">
      <text>
        <t>[Threaded comment]
Your version of Excel allows you to read this threaded comment; however, any edits to it will get removed if the file is opened in a newer version of Excel. Learn more: https://go.microsoft.com/fwlink/?linkid=870924
Comment:
    Includes general and administrative and sales and marketing</t>
      </text>
    </comment>
    <comment ref="O9" authorId="1" shapeId="0" xr:uid="{DA74278F-2B10-4A90-9923-4778C8865FA7}">
      <text>
        <t>[Threaded comment]
Your version of Excel allows you to read this threaded comment; however, any edits to it will get removed if the file is opened in a newer version of Excel. Learn more: https://go.microsoft.com/fwlink/?linkid=870924
Comment:
    Includes general and administrative and sales and marketing</t>
      </text>
    </comment>
    <comment ref="P9" authorId="2" shapeId="0" xr:uid="{D6B4285D-8A9C-4A88-911E-29C55ABE273B}">
      <text>
        <t>[Threaded comment]
Your version of Excel allows you to read this threaded comment; however, any edits to it will get removed if the file is opened in a newer version of Excel. Learn more: https://go.microsoft.com/fwlink/?linkid=870924
Comment:
    Includes general and administrative and sales and marketing</t>
      </text>
    </comment>
    <comment ref="Q9" authorId="3" shapeId="0" xr:uid="{1CCAA643-4D3D-4BD3-91BB-59E51EA762B2}">
      <text>
        <t>[Threaded comment]
Your version of Excel allows you to read this threaded comment; however, any edits to it will get removed if the file is opened in a newer version of Excel. Learn more: https://go.microsoft.com/fwlink/?linkid=870924
Comment:
    Includes general and administrative and sales and marketing</t>
      </text>
    </comment>
    <comment ref="N12" authorId="4" shapeId="0" xr:uid="{43027C90-94CA-4B43-9113-A1EFA7B4B318}">
      <text>
        <t>[Threaded comment]
Your version of Excel allows you to read this threaded comment; however, any edits to it will get removed if the file is opened in a newer version of Excel. Learn more: https://go.microsoft.com/fwlink/?linkid=870924
Comment:
    not reported, bloomberg</t>
      </text>
    </comment>
    <comment ref="O12" authorId="5" shapeId="0" xr:uid="{72027D71-D49B-41D4-B2E0-B85D176AF73E}">
      <text>
        <t>[Threaded comment]
Your version of Excel allows you to read this threaded comment; however, any edits to it will get removed if the file is opened in a newer version of Excel. Learn more: https://go.microsoft.com/fwlink/?linkid=870924
Comment:
    not reported, bloomberg</t>
      </text>
    </comment>
    <comment ref="P12" authorId="6" shapeId="0" xr:uid="{FEE5DE30-D444-45BF-BEC2-BDE14940FB03}">
      <text>
        <t>[Threaded comment]
Your version of Excel allows you to read this threaded comment; however, any edits to it will get removed if the file is opened in a newer version of Excel. Learn more: https://go.microsoft.com/fwlink/?linkid=870924
Comment:
    not reported, bloomberg</t>
      </text>
    </comment>
    <comment ref="Q12" authorId="7" shapeId="0" xr:uid="{BA2DA153-2865-477B-BAFB-1CE7DE8F9C7F}">
      <text>
        <t>[Threaded comment]
Your version of Excel allows you to read this threaded comment; however, any edits to it will get removed if the file is opened in a newer version of Excel. Learn more: https://go.microsoft.com/fwlink/?linkid=870924
Comment:
    not reported, bloomberg</t>
      </text>
    </comment>
    <comment ref="N13" authorId="8" shapeId="0" xr:uid="{32919114-FA40-48B3-B403-D1480BE8010F}">
      <text>
        <t xml:space="preserve">[Threaded comment]
Your version of Excel allows you to read this threaded comment; however, any edits to it will get removed if the file is opened in a newer version of Excel. Learn more: https://go.microsoft.com/fwlink/?linkid=870924
Comment:
    as reported in the annual report </t>
      </text>
    </comment>
    <comment ref="O13" authorId="9" shapeId="0" xr:uid="{91574140-23FB-4030-B8D9-C52ABF453AE4}">
      <text>
        <t xml:space="preserve">[Threaded comment]
Your version of Excel allows you to read this threaded comment; however, any edits to it will get removed if the file is opened in a newer version of Excel. Learn more: https://go.microsoft.com/fwlink/?linkid=870924
Comment:
    as reported in the annual report </t>
      </text>
    </comment>
    <comment ref="P13" authorId="10" shapeId="0" xr:uid="{14D1EB4B-0FA3-409C-8182-FED757F1F610}">
      <text>
        <t xml:space="preserve">[Threaded comment]
Your version of Excel allows you to read this threaded comment; however, any edits to it will get removed if the file is opened in a newer version of Excel. Learn more: https://go.microsoft.com/fwlink/?linkid=870924
Comment:
    as reported in the annual report </t>
      </text>
    </comment>
    <comment ref="Q13" authorId="11" shapeId="0" xr:uid="{A12E7CAC-66A1-42BF-BA7A-92775314F4A3}">
      <text>
        <t xml:space="preserve">[Threaded comment]
Your version of Excel allows you to read this threaded comment; however, any edits to it will get removed if the file is opened in a newer version of Excel. Learn more: https://go.microsoft.com/fwlink/?linkid=870924
Comment:
    as reported in the annual report </t>
      </text>
    </comment>
    <comment ref="N22" authorId="12" shapeId="0" xr:uid="{26960ECD-B815-4EFE-B90B-89C410EA2CF2}">
      <text>
        <t>[Threaded comment]
Your version of Excel allows you to read this threaded comment; however, any edits to it will get removed if the file is opened in a newer version of Excel. Learn more: https://go.microsoft.com/fwlink/?linkid=870924
Comment:
    bloomberg</t>
      </text>
    </comment>
    <comment ref="N24" authorId="13" shapeId="0" xr:uid="{76AFA668-EC48-4E24-A577-991EA0A2F170}">
      <text>
        <t>[Threaded comment]
Your version of Excel allows you to read this threaded comment; however, any edits to it will get removed if the file is opened in a newer version of Excel. Learn more: https://go.microsoft.com/fwlink/?linkid=870924
Comment:
    bloomberg</t>
      </text>
    </comment>
    <comment ref="N42" authorId="14" shapeId="0" xr:uid="{FB486923-E7EE-40FD-974C-C92687E3DDD9}">
      <text>
        <t>[Threaded comment]
Your version of Excel allows you to read this threaded comment; however, any edits to it will get removed if the file is opened in a newer version of Excel. Learn more: https://go.microsoft.com/fwlink/?linkid=870924
Comment:
    Operating lease right-of-use assets, as stated in the annual report</t>
      </text>
    </comment>
    <comment ref="O42" authorId="15" shapeId="0" xr:uid="{09F00E3A-15B2-4D03-A863-18FB38B3B406}">
      <text>
        <t>[Threaded comment]
Your version of Excel allows you to read this threaded comment; however, any edits to it will get removed if the file is opened in a newer version of Excel. Learn more: https://go.microsoft.com/fwlink/?linkid=870924
Comment:
    Operating lease right-of-use assets, as stated in the annual report</t>
      </text>
    </comment>
    <comment ref="P42" authorId="16" shapeId="0" xr:uid="{3BD6D911-F427-45AB-8D61-4CE6BDE61444}">
      <text>
        <t>[Threaded comment]
Your version of Excel allows you to read this threaded comment; however, any edits to it will get removed if the file is opened in a newer version of Excel. Learn more: https://go.microsoft.com/fwlink/?linkid=870924
Comment:
    Operating lease right-of-use assets, as stated in the annual report</t>
      </text>
    </comment>
    <comment ref="Q42" authorId="17" shapeId="0" xr:uid="{2118C33A-777E-4E87-976A-EB634A9C1D16}">
      <text>
        <t>[Threaded comment]
Your version of Excel allows you to read this threaded comment; however, any edits to it will get removed if the file is opened in a newer version of Excel. Learn more: https://go.microsoft.com/fwlink/?linkid=870924
Comment:
    Operating lease right-of-use assets, as stated in the annual report</t>
      </text>
    </comment>
    <comment ref="N43" authorId="18" shapeId="0" xr:uid="{F059078F-18E4-49D1-B39A-9331338F797A}">
      <text>
        <t>[Threaded comment]
Your version of Excel allows you to read this threaded comment; however, any edits to it will get removed if the file is opened in a newer version of Excel. Learn more: https://go.microsoft.com/fwlink/?linkid=870924
Comment:
    Total intangible assets, net, as reported in the annual income</t>
      </text>
    </comment>
    <comment ref="O43" authorId="19" shapeId="0" xr:uid="{7F42B967-4783-47A9-B37E-99B7E53A6984}">
      <text>
        <t>[Threaded comment]
Your version of Excel allows you to read this threaded comment; however, any edits to it will get removed if the file is opened in a newer version of Excel. Learn more: https://go.microsoft.com/fwlink/?linkid=870924
Comment:
    Total intangible assets, net, as reported in the annual income</t>
      </text>
    </comment>
    <comment ref="P43" authorId="20" shapeId="0" xr:uid="{514E3E77-DE7B-402C-9287-73F594C2453E}">
      <text>
        <t>[Threaded comment]
Your version of Excel allows you to read this threaded comment; however, any edits to it will get removed if the file is opened in a newer version of Excel. Learn more: https://go.microsoft.com/fwlink/?linkid=870924
Comment:
    Total intangible assets, net, as reported in the annual income</t>
      </text>
    </comment>
    <comment ref="Q43" authorId="21" shapeId="0" xr:uid="{00052305-80A2-47D8-9BDE-C0E11D011B5E}">
      <text>
        <t>[Threaded comment]
Your version of Excel allows you to read this threaded comment; however, any edits to it will get removed if the file is opened in a newer version of Excel. Learn more: https://go.microsoft.com/fwlink/?linkid=870924
Comment:
    Total intangible assets, net, as reported in the annual income</t>
      </text>
    </comment>
    <comment ref="N48" authorId="22" shapeId="0" xr:uid="{21438D2F-3253-4BC0-AE68-00F8828615A4}">
      <text>
        <t>[Threaded comment]
Your version of Excel allows you to read this threaded comment; however, any edits to it will get removed if the file is opened in a newer version of Excel. Learn more: https://go.microsoft.com/fwlink/?linkid=870924
Comment:
    bloomberg</t>
      </text>
    </comment>
    <comment ref="B50" authorId="23" shapeId="0" xr:uid="{00000000-0006-0000-0800-000002000000}">
      <text>
        <r>
          <rPr>
            <b/>
            <sz val="9"/>
            <color indexed="81"/>
            <rFont val="Tahoma"/>
            <family val="2"/>
          </rPr>
          <t>Raul Vasconcelos:</t>
        </r>
        <r>
          <rPr>
            <sz val="9"/>
            <color indexed="81"/>
            <rFont val="Tahoma"/>
            <family val="2"/>
          </rPr>
          <t xml:space="preserve">
Should include all interest-bearing liabilities with exception of Lease Liabilities</t>
        </r>
      </text>
    </comment>
    <comment ref="N50" authorId="24" shapeId="0" xr:uid="{A46F6D18-F486-4AB1-9CF0-8165B0D9C55A}">
      <text>
        <t>[Threaded comment]
Your version of Excel allows you to read this threaded comment; however, any edits to it will get removed if the file is opened in a newer version of Excel. Learn more: https://go.microsoft.com/fwlink/?linkid=870924
Comment:
    bloomberg</t>
      </text>
    </comment>
    <comment ref="O50" authorId="25" shapeId="0" xr:uid="{A3548062-9DBC-4BA1-A01A-96674C210460}">
      <text>
        <t>[Threaded comment]
Your version of Excel allows you to read this threaded comment; however, any edits to it will get removed if the file is opened in a newer version of Excel. Learn more: https://go.microsoft.com/fwlink/?linkid=870924
Comment:
    bloomberg</t>
      </text>
    </comment>
    <comment ref="P50" authorId="26" shapeId="0" xr:uid="{2FC54A9D-F991-424A-AF0A-0DA5862865C3}">
      <text>
        <t>[Threaded comment]
Your version of Excel allows you to read this threaded comment; however, any edits to it will get removed if the file is opened in a newer version of Excel. Learn more: https://go.microsoft.com/fwlink/?linkid=870924
Comment:
    bloomberg</t>
      </text>
    </comment>
    <comment ref="Q50" authorId="27" shapeId="0" xr:uid="{C095CAAD-18FB-44B9-9A8E-ABB8FF32039B}">
      <text>
        <t>[Threaded comment]
Your version of Excel allows you to read this threaded comment; however, any edits to it will get removed if the file is opened in a newer version of Excel. Learn more: https://go.microsoft.com/fwlink/?linkid=870924
Comment:
    bloomberg</t>
      </text>
    </comment>
    <comment ref="N51" authorId="28" shapeId="0" xr:uid="{1D4A6DA8-0DFA-4093-A57C-8B879F2214F7}">
      <text>
        <t xml:space="preserve">[Threaded comment]
Your version of Excel allows you to read this threaded comment; however, any edits to it will get removed if the file is opened in a newer version of Excel. Learn more: https://go.microsoft.com/fwlink/?linkid=870924
Comment:
    bloomberg
</t>
      </text>
    </comment>
    <comment ref="O51" authorId="29" shapeId="0" xr:uid="{16058DE1-2454-4DA0-8DC2-071B3D245CFA}">
      <text>
        <t>[Threaded comment]
Your version of Excel allows you to read this threaded comment; however, any edits to it will get removed if the file is opened in a newer version of Excel. Learn more: https://go.microsoft.com/fwlink/?linkid=870924
Comment:
    bloomberg</t>
      </text>
    </comment>
    <comment ref="P51" authorId="30" shapeId="0" xr:uid="{30A86072-5201-4424-96F3-A1BD36B4959B}">
      <text>
        <t>[Threaded comment]
Your version of Excel allows you to read this threaded comment; however, any edits to it will get removed if the file is opened in a newer version of Excel. Learn more: https://go.microsoft.com/fwlink/?linkid=870924
Comment:
    bloomberg</t>
      </text>
    </comment>
    <comment ref="Q51" authorId="31" shapeId="0" xr:uid="{FF147C33-F0B6-4879-A380-4948A8872531}">
      <text>
        <t>[Threaded comment]
Your version of Excel allows you to read this threaded comment; however, any edits to it will get removed if the file is opened in a newer version of Excel. Learn more: https://go.microsoft.com/fwlink/?linkid=870924
Comment:
    bloomberg</t>
      </text>
    </comment>
    <comment ref="N52" authorId="32" shapeId="0" xr:uid="{AE642FEB-9F25-4D1C-B1AB-BEA8FB6F6603}">
      <text>
        <t>[Threaded comment]
Your version of Excel allows you to read this threaded comment; however, any edits to it will get removed if the file is opened in a newer version of Excel. Learn more: https://go.microsoft.com/fwlink/?linkid=870924
Comment:
    current capital lease obligation, yahoo finance</t>
      </text>
    </comment>
    <comment ref="O52" authorId="33" shapeId="0" xr:uid="{1951422C-B743-41F1-B4FA-8AD053055F36}">
      <text>
        <t>[Threaded comment]
Your version of Excel allows you to read this threaded comment; however, any edits to it will get removed if the file is opened in a newer version of Excel. Learn more: https://go.microsoft.com/fwlink/?linkid=870924
Comment:
    current capital lease obligation, yahoo finance</t>
      </text>
    </comment>
    <comment ref="P52" authorId="34" shapeId="0" xr:uid="{74D08D92-D7B3-46F5-98FE-3B777BA9BEE8}">
      <text>
        <t>[Threaded comment]
Your version of Excel allows you to read this threaded comment; however, any edits to it will get removed if the file is opened in a newer version of Excel. Learn more: https://go.microsoft.com/fwlink/?linkid=870924
Comment:
    current capital lease obligation, yahoo finance</t>
      </text>
    </comment>
    <comment ref="Q52" authorId="35" shapeId="0" xr:uid="{D7874FB9-1433-470A-853F-93EBCD61B7CF}">
      <text>
        <t>[Threaded comment]
Your version of Excel allows you to read this threaded comment; however, any edits to it will get removed if the file is opened in a newer version of Excel. Learn more: https://go.microsoft.com/fwlink/?linkid=870924
Comment:
    current capital lease obligation, yahoo finance</t>
      </text>
    </comment>
    <comment ref="N54" authorId="36" shapeId="0" xr:uid="{BFEC9DFA-2948-426E-8216-F63590177F6E}">
      <text>
        <t>[Threaded comment]
Your version of Excel allows you to read this threaded comment; however, any edits to it will get removed if the file is opened in a newer version of Excel. Learn more: https://go.microsoft.com/fwlink/?linkid=870924
Comment:
    bloomberg</t>
      </text>
    </comment>
    <comment ref="B55" authorId="23" shapeId="0" xr:uid="{00000000-0006-0000-0800-000003000000}">
      <text>
        <r>
          <rPr>
            <b/>
            <sz val="9"/>
            <color indexed="81"/>
            <rFont val="Tahoma"/>
            <family val="2"/>
          </rPr>
          <t>Raul Vasconcelos:</t>
        </r>
        <r>
          <rPr>
            <sz val="9"/>
            <color indexed="81"/>
            <rFont val="Tahoma"/>
            <family val="2"/>
          </rPr>
          <t xml:space="preserve">
Should include all interest-bearing liabilities with exception of Lease Liabilities</t>
        </r>
      </text>
    </comment>
    <comment ref="N68" authorId="37" shapeId="0" xr:uid="{C957DB1F-FCE6-4178-823E-96B047279783}">
      <text>
        <t>[Threaded comment]
Your version of Excel allows you to read this threaded comment; however, any edits to it will get removed if the file is opened in a newer version of Excel. Learn more: https://go.microsoft.com/fwlink/?linkid=870924
Comment:
    change in working capital, yahoo finance</t>
      </text>
    </comment>
    <comment ref="O68" authorId="38" shapeId="0" xr:uid="{48AE3424-7B9D-42FC-8A2F-2FB1A4BF5872}">
      <text>
        <t>[Threaded comment]
Your version of Excel allows you to read this threaded comment; however, any edits to it will get removed if the file is opened in a newer version of Excel. Learn more: https://go.microsoft.com/fwlink/?linkid=870924
Comment:
    change in working capital, yahoo finance</t>
      </text>
    </comment>
    <comment ref="P68" authorId="39" shapeId="0" xr:uid="{A3413669-4158-4E31-9C99-94C9A1E17A10}">
      <text>
        <t>[Threaded comment]
Your version of Excel allows you to read this threaded comment; however, any edits to it will get removed if the file is opened in a newer version of Excel. Learn more: https://go.microsoft.com/fwlink/?linkid=870924
Comment:
    change in working capital yahoo finance</t>
      </text>
    </comment>
    <comment ref="Q68" authorId="40" shapeId="0" xr:uid="{D107DA88-4243-45A3-820D-63D7576E785E}">
      <text>
        <t>[Threaded comment]
Your version of Excel allows you to read this threaded comment; however, any edits to it will get removed if the file is opened in a newer version of Excel. Learn more: https://go.microsoft.com/fwlink/?linkid=870924
Comment:
    change in working capital, yahoo finance</t>
      </text>
    </comment>
    <comment ref="N72" authorId="41" shapeId="0" xr:uid="{E06B34C5-E2E1-4E28-8B04-B92A9AC347E9}">
      <text>
        <t>[Threaded comment]
Your version of Excel allows you to read this threaded comment; however, any edits to it will get removed if the file is opened in a newer version of Excel. Learn more: https://go.microsoft.com/fwlink/?linkid=870924
Comment:
    bloomberg</t>
      </text>
    </comment>
    <comment ref="O72" authorId="42" shapeId="0" xr:uid="{1B2A8B43-E228-4D97-BA9E-963DF500B22D}">
      <text>
        <t>[Threaded comment]
Your version of Excel allows you to read this threaded comment; however, any edits to it will get removed if the file is opened in a newer version of Excel. Learn more: https://go.microsoft.com/fwlink/?linkid=870924
Comment:
    bloomberg</t>
      </text>
    </comment>
    <comment ref="P72" authorId="43" shapeId="0" xr:uid="{2CCB9E4E-7D31-4D2E-AFE1-2D3DBE78555D}">
      <text>
        <t>[Threaded comment]
Your version of Excel allows you to read this threaded comment; however, any edits to it will get removed if the file is opened in a newer version of Excel. Learn more: https://go.microsoft.com/fwlink/?linkid=870924
Comment:
    bloomberg</t>
      </text>
    </comment>
    <comment ref="Q72" authorId="44" shapeId="0" xr:uid="{7BA0A01C-949C-4A7B-B2FC-2B2813EE32FA}">
      <text>
        <t>[Threaded comment]
Your version of Excel allows you to read this threaded comment; however, any edits to it will get removed if the file is opened in a newer version of Excel. Learn more: https://go.microsoft.com/fwlink/?linkid=870924
Comment:
    bloomberg</t>
      </text>
    </comment>
    <comment ref="N75" authorId="45" shapeId="0" xr:uid="{09892308-8051-4CA6-B479-2DC7A0ABE015}">
      <text>
        <t>[Threaded comment]
Your version of Excel allows you to read this threaded comment; however, any edits to it will get removed if the file is opened in a newer version of Excel. Learn more: https://go.microsoft.com/fwlink/?linkid=870924
Comment:
    net cash used in operating activities as reported in the annual report</t>
      </text>
    </comment>
    <comment ref="O75" authorId="46" shapeId="0" xr:uid="{BCF92269-A710-40E2-9250-CB69A2F45E61}">
      <text>
        <t xml:space="preserve">[Threaded comment]
Your version of Excel allows you to read this threaded comment; however, any edits to it will get removed if the file is opened in a newer version of Excel. Learn more: https://go.microsoft.com/fwlink/?linkid=870924
Comment:
    net cash used in operating activities, as reported in the annual report </t>
      </text>
    </comment>
    <comment ref="P75" authorId="47" shapeId="0" xr:uid="{616E620F-479C-4AF1-B46A-BCAB98F7DC5D}">
      <text>
        <t>[Threaded comment]
Your version of Excel allows you to read this threaded comment; however, any edits to it will get removed if the file is opened in a newer version of Excel. Learn more: https://go.microsoft.com/fwlink/?linkid=870924
Comment:
    net cash used in operating activities, as reported in the annual report</t>
      </text>
    </comment>
    <comment ref="Q75" authorId="48" shapeId="0" xr:uid="{B38AF643-16ED-4510-BAE1-D98424AFF9C3}">
      <text>
        <t xml:space="preserve">[Threaded comment]
Your version of Excel allows you to read this threaded comment; however, any edits to it will get removed if the file is opened in a newer version of Excel. Learn more: https://go.microsoft.com/fwlink/?linkid=870924
Comment:
    net cash used in operating activities, as reported in the annual report. 
</t>
      </text>
    </comment>
    <comment ref="N78" authorId="49" shapeId="0" xr:uid="{55ECDD8E-234F-4714-82B5-0A6FA3E1F8AC}">
      <text>
        <t>[Threaded comment]
Your version of Excel allows you to read this threaded comment; however, any edits to it will get removed if the file is opened in a newer version of Excel. Learn more: https://go.microsoft.com/fwlink/?linkid=870924
Comment:
"Upon sale or retirement of the assets, the cost and related accumulated depreciation are removed from the accounts and the resulting gain or loss is recognized in the statement of operations and comprehensive loss. Expenditures for general maintenance and repairs are expensed as incurred."</t>
      </text>
    </comment>
    <comment ref="Q82" authorId="50" shapeId="0" xr:uid="{BB628DBE-2D54-484B-9465-79F69B696EF3}">
      <text>
        <t>[Threaded comment]
Your version of Excel allows you to read this threaded comment; however, any edits to it will get removed if the file is opened in a newer version of Excel. Learn more: https://go.microsoft.com/fwlink/?linkid=870924
Comment:
    purchase of convertible note</t>
      </text>
    </comment>
    <comment ref="Q83" authorId="51" shapeId="0" xr:uid="{B8B422CD-8108-42C5-8D7F-BECC2DF6F28A}">
      <text>
        <t>[Threaded comment]
Your version of Excel allows you to read this threaded comment; however, any edits to it will get removed if the file is opened in a newer version of Excel. Learn more: https://go.microsoft.com/fwlink/?linkid=870924
Comment:
    sale of investment, yahoo finance</t>
      </text>
    </comment>
    <comment ref="B86" authorId="52" shapeId="0" xr:uid="{EC2AD536-2BF0-4EB5-896F-C8790A7063A4}">
      <text>
        <t>[Threaded comment]
Your version of Excel allows you to read this threaded comment; however, any edits to it will get removed if the file is opened in a newer version of Excel. Learn more: https://go.microsoft.com/fwlink/?linkid=870924
Comment:
    includes proceeds from term loan and proceeds from government assistance.</t>
      </text>
    </comment>
    <comment ref="B87" authorId="53" shapeId="0" xr:uid="{A28F16D7-837E-4002-A221-1C04BCC9A1F5}">
      <text>
        <t>[Threaded comment]
Your version of Excel allows you to read this threaded comment; however, any edits to it will get removed if the file is opened in a newer version of Excel. Learn more: https://go.microsoft.com/fwlink/?linkid=870924
Comment:
    Repayment of LT Debt, bloomberg</t>
      </text>
    </comment>
    <comment ref="N89" authorId="54" shapeId="0" xr:uid="{CC106876-7C5D-46B5-BFC6-A3CAAD3FFA9C}">
      <text>
        <t>[Threaded comment]
Your version of Excel allows you to read this threaded comment; however, any edits to it will get removed if the file is opened in a newer version of Excel. Learn more: https://go.microsoft.com/fwlink/?linkid=870924
Comment:
    d-wave quantum does not currently pay dividends.</t>
      </text>
    </comment>
    <comment ref="O90" authorId="55" shapeId="0" xr:uid="{9C3D626E-3374-45F3-B681-F4EF0A674275}">
      <text>
        <t>[Threaded comment]
Your version of Excel allows you to read this threaded comment; however, any edits to it will get removed if the file is opened in a newer version of Excel. Learn more: https://go.microsoft.com/fwlink/?linkid=870924
Comment:
    common stock issuance, yahoo finance</t>
      </text>
    </comment>
    <comment ref="P90" authorId="56" shapeId="0" xr:uid="{D4F8222C-BDFB-4FF9-977B-42EAE70BB38F}">
      <text>
        <t>[Threaded comment]
Your version of Excel allows you to read this threaded comment; however, any edits to it will get removed if the file is opened in a newer version of Excel. Learn more: https://go.microsoft.com/fwlink/?linkid=870924
Comment:
    common stock issuance, yahoo finance</t>
      </text>
    </comment>
    <comment ref="Q90" authorId="57" shapeId="0" xr:uid="{A05C7BCB-8C9B-4C53-ACCA-F05EC36A0473}">
      <text>
        <t>[Threaded comment]
Your version of Excel allows you to read this threaded comment; however, any edits to it will get removed if the file is opened in a newer version of Excel. Learn more: https://go.microsoft.com/fwlink/?linkid=870924
Comment:
    common stock issuance, yahoo finance</t>
      </text>
    </comment>
    <comment ref="N93" authorId="58" shapeId="0" xr:uid="{5B59CDDF-15F4-4562-BB00-93C727636B4C}">
      <text>
        <t>[Threaded comment]
Your version of Excel allows you to read this threaded comment; however, any edits to it will get removed if the file is opened in a newer version of Excel. Learn more: https://go.microsoft.com/fwlink/?linkid=870924
Comment:
    effect of exchange rate changes on cash and cash equivalents, as reported in the annual report</t>
      </text>
    </comment>
    <comment ref="O93" authorId="59" shapeId="0" xr:uid="{E464C701-17FD-42E5-A282-0ED6211FDFF5}">
      <text>
        <t>[Threaded comment]
Your version of Excel allows you to read this threaded comment; however, any edits to it will get removed if the file is opened in a newer version of Excel. Learn more: https://go.microsoft.com/fwlink/?linkid=870924
Comment:
    effect of exchange rate changes on cash and cash equivalents, as reported in the annual report</t>
      </text>
    </comment>
    <comment ref="P93" authorId="60" shapeId="0" xr:uid="{5447379D-9D94-4AC5-B3CC-8704B7863B38}">
      <text>
        <t>[Threaded comment]
Your version of Excel allows you to read this threaded comment; however, any edits to it will get removed if the file is opened in a newer version of Excel. Learn more: https://go.microsoft.com/fwlink/?linkid=870924
Comment:
    effect of exchange rate changes on cash and cash equivalents, as reported in the annual report</t>
      </text>
    </comment>
    <comment ref="Q93" authorId="61" shapeId="0" xr:uid="{2A2EF401-1E69-4B9B-BA10-7804F7F3F264}">
      <text>
        <t>[Threaded comment]
Your version of Excel allows you to read this threaded comment; however, any edits to it will get removed if the file is opened in a newer version of Excel. Learn more: https://go.microsoft.com/fwlink/?linkid=870924
Comment:
    effect of exchange rate changes on cash and cash equivalents, as reported in the annual report</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4">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futureMetadata>
  <futureMetadata name="XLDAPR" count="1">
    <bk>
      <extLst>
        <ext uri="{bdbb8cdc-fa1e-496e-a857-3c3f30c029c3}">
          <xda:dynamicArrayProperties fDynamic="1" fCollapsed="0"/>
        </ext>
      </extLst>
    </bk>
  </futureMetadata>
  <cellMetadata count="1">
    <bk>
      <rc t="2" v="0"/>
    </bk>
  </cellMetadata>
  <valueMetadata count="4">
    <bk>
      <rc t="1" v="0"/>
    </bk>
    <bk>
      <rc t="1" v="1"/>
    </bk>
    <bk>
      <rc t="1" v="2"/>
    </bk>
    <bk>
      <rc t="1" v="3"/>
    </bk>
  </valueMetadata>
</metadata>
</file>

<file path=xl/sharedStrings.xml><?xml version="1.0" encoding="utf-8"?>
<sst xmlns="http://schemas.openxmlformats.org/spreadsheetml/2006/main" count="1733" uniqueCount="670">
  <si>
    <t xml:space="preserve">             |   EQUITY RESEARCH </t>
  </si>
  <si>
    <t>Lisbon Investment Society Equity Research</t>
  </si>
  <si>
    <t>March XX, 2025</t>
  </si>
  <si>
    <t>Hold</t>
  </si>
  <si>
    <t>EXCHANGE:(TICKER)</t>
  </si>
  <si>
    <t>Investment Thesis</t>
  </si>
  <si>
    <t>Operating Metrics</t>
  </si>
  <si>
    <t>Valuation Multiples</t>
  </si>
  <si>
    <t>Team Leader</t>
  </si>
  <si>
    <t>EV / Sales</t>
  </si>
  <si>
    <t>email</t>
  </si>
  <si>
    <t>Price / Sales</t>
  </si>
  <si>
    <t>(+351) 999 999 999</t>
  </si>
  <si>
    <t>EV / EBITDA</t>
  </si>
  <si>
    <t>Analyst 1</t>
  </si>
  <si>
    <t>EV / EBIT</t>
  </si>
  <si>
    <t>Price / Earnings</t>
  </si>
  <si>
    <t>Price / Book</t>
  </si>
  <si>
    <t>Analyst 2</t>
  </si>
  <si>
    <t>Year</t>
  </si>
  <si>
    <t>Net Sales</t>
  </si>
  <si>
    <t>EBIT Margin</t>
  </si>
  <si>
    <t>FCFF</t>
  </si>
  <si>
    <t>Net Capex</t>
  </si>
  <si>
    <t>Profitability Ratios</t>
  </si>
  <si>
    <t>Return on Assets</t>
  </si>
  <si>
    <t>Analyst 3</t>
  </si>
  <si>
    <t>Return on Equity</t>
  </si>
  <si>
    <t>Return on Total Capital</t>
  </si>
  <si>
    <t>EBITDA Margin</t>
  </si>
  <si>
    <t>Statistics</t>
  </si>
  <si>
    <t>Gross Profit Margin</t>
  </si>
  <si>
    <t>Beta</t>
  </si>
  <si>
    <t>SG&amp;A Margin</t>
  </si>
  <si>
    <t>% Float</t>
  </si>
  <si>
    <t>Net Income Margin</t>
  </si>
  <si>
    <t>% Held by Insiders</t>
  </si>
  <si>
    <t>% Held by Institutions</t>
  </si>
  <si>
    <t>SWOT Analysis</t>
  </si>
  <si>
    <t>Liquidity Ratios</t>
  </si>
  <si>
    <t>Short % of Float</t>
  </si>
  <si>
    <t>Strengths</t>
  </si>
  <si>
    <t>Weaknesses</t>
  </si>
  <si>
    <t>Cash Ratio</t>
  </si>
  <si>
    <t xml:space="preserve">Strong partnerships; 
Strategic facilities in North America; 
Business model transformation;
Innovative partnerships; 
Intellectual property access;
Improved financial position.
</t>
  </si>
  <si>
    <t xml:space="preserve">History of net losses and expectation of continued financial losses; 
Dependence on securing additional financing to continue operations;
Identified material weakness in internal control over financial reporting, leading to restatements;
Risk of failure to secure or protect intellectual property, affecting competitive position;
Obligations under government-funded IP development may limit asset flexibility; 
Anti-takeover provisions may limit shareholder influence and takeover opportunitie; 
Challenges in scaling supply chain, retaining talent, and maintaining equipment
</t>
  </si>
  <si>
    <t>Quick Ratio</t>
  </si>
  <si>
    <t>Major Holders</t>
  </si>
  <si>
    <t>Current Ratio</t>
  </si>
  <si>
    <t xml:space="preserve">Public Sector Pension Investment Board	</t>
  </si>
  <si>
    <t>Blackrock Inc.</t>
  </si>
  <si>
    <t>Opportunities</t>
  </si>
  <si>
    <t>Threats</t>
  </si>
  <si>
    <t>Cash Flow Ratios</t>
  </si>
  <si>
    <t>Vanguard Group Inc</t>
  </si>
  <si>
    <t>Growing global demand for quantum computing solutions across both private and public sectors; 
Unique positioning to deliver real-world applications with measurable value through annealing-based optimization;
Future expansion into high-impact fields like generative AI, machine learning; 
increasing adoption of QCaaS (Quantum Computing as a Service) via the Leap™ platform, offering scalability and real-time access;
Growing industry acknowledgment of quantum computing’s commercial viability in the near term (12–18 months)</t>
  </si>
  <si>
    <t xml:space="preserve">Uncertainty around meeting Term Loan conditions and covenants, despite current compliance;
Material weakness in internal controls over financial reporting due to insufficient accounting expertise;
Exposure to stock market volatility as a NYSE-listed company, including fluctuations in price and trading volume;
Risks linked to government contracts, including audits, sanctions, early termination, and strict compliance requirements;
Ongoing cybersecurity threats, including potential data breaches and system disruptions;
Possibility of becoming a "controlled company" under NYSE rules, which could reduce transparency and weaken corporate governance standards
</t>
  </si>
  <si>
    <t>Cash Conversion Cycle</t>
  </si>
  <si>
    <t>UBS Group AG</t>
  </si>
  <si>
    <t>Net Income / Op Cash Flow</t>
  </si>
  <si>
    <t>State Street Corporation</t>
  </si>
  <si>
    <t>Chg in Cash / Op Cash Flow</t>
  </si>
  <si>
    <t>Geode Capital Management, LLC</t>
  </si>
  <si>
    <t xml:space="preserve">Penserra Capital Management LLC	</t>
  </si>
  <si>
    <t>Revenue by Region</t>
  </si>
  <si>
    <t>Revenue by Segment</t>
  </si>
  <si>
    <t>Leverage Ratios</t>
  </si>
  <si>
    <t>Millennium Management Llc</t>
  </si>
  <si>
    <t>Total Debt / Equity</t>
  </si>
  <si>
    <t>Bank of America Corporation</t>
  </si>
  <si>
    <t>Total Debt / Capital</t>
  </si>
  <si>
    <t>Unicom Systems, Inc.</t>
  </si>
  <si>
    <t>Total Liabilities / Total Assets</t>
  </si>
  <si>
    <t>Total Debt / EBITDA</t>
  </si>
  <si>
    <t>Board of Directors</t>
  </si>
  <si>
    <t>Total Debt / (EBITDA - Capex)</t>
  </si>
  <si>
    <r>
      <rPr>
        <b/>
        <sz val="11"/>
        <color rgb="FF000000"/>
        <rFont val="Calibri"/>
        <family val="2"/>
        <scheme val="minor"/>
      </rPr>
      <t>Alan</t>
    </r>
    <r>
      <rPr>
        <sz val="11"/>
        <color rgb="FF000000"/>
        <rFont val="Calibri"/>
        <family val="2"/>
        <scheme val="minor"/>
      </rPr>
      <t xml:space="preserve"> </t>
    </r>
    <r>
      <rPr>
        <b/>
        <sz val="11"/>
        <color rgb="FF000000"/>
        <rFont val="Arial"/>
        <family val="2"/>
      </rPr>
      <t xml:space="preserve">Baratz </t>
    </r>
    <r>
      <rPr>
        <sz val="11"/>
        <color rgb="FF000000"/>
        <rFont val="Arial"/>
        <family val="2"/>
      </rPr>
      <t xml:space="preserve">(President, Chief Executive Officer and
Director); </t>
    </r>
    <r>
      <rPr>
        <b/>
        <sz val="11"/>
        <color rgb="FF000000"/>
        <rFont val="Arial"/>
        <family val="2"/>
      </rPr>
      <t xml:space="preserve">Sharon Holt </t>
    </r>
    <r>
      <rPr>
        <sz val="11"/>
        <color rgb="FF000000"/>
        <rFont val="Arial"/>
        <family val="2"/>
      </rPr>
      <t xml:space="preserve">(Director) (Member of the Audit Committee) (Member of the Cybersecurity Committee); </t>
    </r>
    <r>
      <rPr>
        <b/>
        <sz val="11"/>
        <color rgb="FF000000"/>
        <rFont val="Arial"/>
        <family val="2"/>
      </rPr>
      <t xml:space="preserve">John DiLullo </t>
    </r>
    <r>
      <rPr>
        <sz val="11"/>
        <color rgb="FF000000"/>
        <rFont val="Arial"/>
        <family val="2"/>
      </rPr>
      <t xml:space="preserve">(Director) (Member of the Compensation Committee); </t>
    </r>
    <r>
      <rPr>
        <b/>
        <sz val="11"/>
        <color rgb="FF000000"/>
        <rFont val="Arial"/>
        <family val="2"/>
      </rPr>
      <t xml:space="preserve">Rohit Ghai </t>
    </r>
    <r>
      <rPr>
        <sz val="11"/>
        <color rgb="FF000000"/>
        <rFont val="Arial"/>
        <family val="2"/>
      </rPr>
      <t xml:space="preserve">(Director) (Member of the Nominating and Governance Committee) (Member of the Cybersecurity Committee); </t>
    </r>
    <r>
      <rPr>
        <b/>
        <sz val="11"/>
        <color rgb="FF000000"/>
        <rFont val="Arial"/>
        <family val="2"/>
      </rPr>
      <t xml:space="preserve">Steven M. West </t>
    </r>
    <r>
      <rPr>
        <sz val="11"/>
        <color rgb="FF000000"/>
        <rFont val="Arial"/>
        <family val="2"/>
      </rPr>
      <t xml:space="preserve">(Chair) (Member of the Audit Committee) (Member of the Nominating and Governance Committee); </t>
    </r>
    <r>
      <rPr>
        <b/>
        <sz val="11"/>
        <color rgb="FF000000"/>
        <rFont val="Arial"/>
        <family val="2"/>
      </rPr>
      <t xml:space="preserve">Kirstjen Nielsen </t>
    </r>
    <r>
      <rPr>
        <sz val="11"/>
        <color rgb="FF000000"/>
        <rFont val="Arial"/>
        <family val="2"/>
      </rPr>
      <t xml:space="preserve">(independent director) (Member of the Compensation Committee) (Member of the Cybersecurity Committee); </t>
    </r>
    <r>
      <rPr>
        <b/>
        <sz val="11"/>
        <color rgb="FF000000"/>
        <rFont val="Arial"/>
        <family val="2"/>
      </rPr>
      <t xml:space="preserve">Roger Biscay </t>
    </r>
    <r>
      <rPr>
        <sz val="11"/>
        <color rgb="FF000000"/>
        <rFont val="Arial"/>
        <family val="2"/>
      </rPr>
      <t>(independent director) (Member of the Audit Committee)</t>
    </r>
  </si>
  <si>
    <t>Net Debt / EBITDA</t>
  </si>
  <si>
    <t>Solvency Ratios</t>
  </si>
  <si>
    <t>EBIT / Interest Expense</t>
  </si>
  <si>
    <t>EBITDA / Interest Expense</t>
  </si>
  <si>
    <t>(EBITDA - Capex) / Interest Expense</t>
  </si>
  <si>
    <t>Debt Schedule</t>
  </si>
  <si>
    <t>Stock Performance</t>
  </si>
  <si>
    <t>ESG Traffic Light</t>
  </si>
  <si>
    <t>LSEG ESG Score</t>
  </si>
  <si>
    <t xml:space="preserve">   E-Score</t>
  </si>
  <si>
    <t xml:space="preserve">   S-Score</t>
  </si>
  <si>
    <t xml:space="preserve">   G-Score</t>
  </si>
  <si>
    <t>S&amp;P Global ESG Score</t>
  </si>
  <si>
    <t xml:space="preserve">   Environmental</t>
  </si>
  <si>
    <t xml:space="preserve">   Social</t>
  </si>
  <si>
    <t xml:space="preserve">   Governance &amp; Economic</t>
  </si>
  <si>
    <t>Sustainalytics</t>
  </si>
  <si>
    <t>ISS ESG Corporate Rating</t>
  </si>
  <si>
    <t xml:space="preserve">   SDG Impact Rating</t>
  </si>
  <si>
    <t xml:space="preserve">   Governance Quality Score</t>
  </si>
  <si>
    <t>MSCI ESG Ratings</t>
  </si>
  <si>
    <t>Disclaimer:
This material has been prepared solely for educational and informational purposes, based on information available to the general public and from sources considered reliable. This research is part of the activities of the Lisbon Investment Society (LIS). It does not constitute, and should not be interpreted as, investment advice, financial advice, or a recommendation to buy or sell any financial instruments. The views expressed are those of the authors and do not necessarily reflect the official position of LIS. The authors assume no responsibility for the accuracy of the information provided, neither should anything contained herein be taken as an indication that any result will be achieved. Investors should conduct their own research and consult with qualified financial advisors before making any investment decisions.</t>
  </si>
  <si>
    <t>Extra Notes</t>
  </si>
  <si>
    <t>Segments</t>
  </si>
  <si>
    <t>(in thousands)</t>
  </si>
  <si>
    <t>Regions</t>
  </si>
  <si>
    <t>Weight</t>
  </si>
  <si>
    <t>United States</t>
  </si>
  <si>
    <t>Germany</t>
  </si>
  <si>
    <t>Japan</t>
  </si>
  <si>
    <t>Canada</t>
  </si>
  <si>
    <t>N/A</t>
  </si>
  <si>
    <t>Other</t>
  </si>
  <si>
    <t>-</t>
  </si>
  <si>
    <t>Total</t>
  </si>
  <si>
    <t>QCaaS</t>
  </si>
  <si>
    <t>Professional services</t>
  </si>
  <si>
    <t>Categories</t>
  </si>
  <si>
    <t>Description</t>
  </si>
  <si>
    <t>Graphs</t>
  </si>
  <si>
    <t>QCaaS stands for Quantum Computing as a Service and it provides cloud-based access to quantum computing resources, enabling users to run quantum algorithms without owning quantum hardware.</t>
  </si>
  <si>
    <t>This segment includes quantum consulting, custom algorithm development, and application integration. They also provide training, workshops, and technical support for leveraging quantum computing.</t>
  </si>
  <si>
    <t>This section often includes strategic partnerships, educational initiatives, and miscellaneous revenue streams. This covers collaborations, training programs, and experimental projects beyond core quantum products and services.</t>
  </si>
  <si>
    <t>Products</t>
  </si>
  <si>
    <t>Product 3</t>
  </si>
  <si>
    <t>Product 4</t>
  </si>
  <si>
    <t>Product 5</t>
  </si>
  <si>
    <t>Company's Strategy / Extra Notes</t>
  </si>
  <si>
    <t>Expanding Quantum Computing Accessibility</t>
  </si>
  <si>
    <t xml:space="preserve">D-Wave provides cloud-based quantum services via their Leap™ platform, making quantum computing accessible to a broader range of users, including those without their own quantum hardware.
</t>
  </si>
  <si>
    <t>Hybrid Quantum-Classical Solutions</t>
  </si>
  <si>
    <t>D-Wave has been pushing for hybrid solutions that combine quantum and classical computing to tackle complex problems that neither technology can handle alone, which is central to their business model.</t>
  </si>
  <si>
    <t>Partnerships and Collaborations</t>
  </si>
  <si>
    <t xml:space="preserve">D-Wave has formed collaborations with companies, academic institutions, and government entities to drive the adoption of quantum computing in various industries.
</t>
  </si>
  <si>
    <t>Continuous Hardware Advancements</t>
  </si>
  <si>
    <t xml:space="preserve"> D-Wave continues to improve their quantum annealing technology, focusing on increasing the size and capabilities of their quantum processors (like their Advantage system).</t>
  </si>
  <si>
    <t>Industry Overview</t>
  </si>
  <si>
    <t>Sales Growth Forecast</t>
  </si>
  <si>
    <t>Sources</t>
  </si>
  <si>
    <t>Mordor Intelligence</t>
  </si>
  <si>
    <t>Professional Services</t>
  </si>
  <si>
    <t>Weighted Average</t>
  </si>
  <si>
    <t>Key Drivers</t>
  </si>
  <si>
    <t>Advancements in Quantum Hardware</t>
  </si>
  <si>
    <t>Continuous improvements in qubit coherence, error correction, and scalability are driving the growth of quantum c</t>
  </si>
  <si>
    <t>Investment in Research and Development</t>
  </si>
  <si>
    <t xml:space="preserve"> Both private companies (like D-Wave, IBM, Google) and governments are heavily investing in quantum computing R&amp;D to unlock its potential for solving complex problems across industries.</t>
  </si>
  <si>
    <t>Hybrid Quantum-Classical Computing</t>
  </si>
  <si>
    <t xml:space="preserve"> As pure quantum solutions are still maturing, hybrid systems that combine classical and quantum computing are becoming critical, enabling practical problem-solving with current technology.</t>
  </si>
  <si>
    <t>Quantum Software Development</t>
  </si>
  <si>
    <t>Progress in developing quantum algorithms, software tools, and quantum programming languages is vital for making quantum computing accessible and usable in various industries like cryptography, logistics, and pharmaceuticals.</t>
  </si>
  <si>
    <t>Industry Trends</t>
  </si>
  <si>
    <t>Increased Commercialization</t>
  </si>
  <si>
    <t xml:space="preserve">Companies are shifting from research-focused quantum solutions to commercial offerings, with platforms like D-Wave's Leap™ and IBM's Qiskit enabling businesses to access quantum computing as a service (QCaaS) for specific use cases.
</t>
  </si>
  <si>
    <t>Government and Corporate Support</t>
  </si>
  <si>
    <t xml:space="preserve"> Governments worldwide, particularly in the U.S., Europe, and China, are heavily funding quantum initiatives, recognizing the potential for quantum to revolutionize industries and national security (e.g., cryptography).</t>
  </si>
  <si>
    <t>Market Share</t>
  </si>
  <si>
    <t>Headquarters</t>
  </si>
  <si>
    <t>Revenues</t>
  </si>
  <si>
    <t>(in MM of USD)</t>
  </si>
  <si>
    <t>IONQ INC.</t>
  </si>
  <si>
    <t>RIGETTI COMPUTING INC.</t>
  </si>
  <si>
    <t>QUANTUM COMPUTING INC.</t>
  </si>
  <si>
    <t>Others</t>
  </si>
  <si>
    <t>--</t>
  </si>
  <si>
    <t>Industry Size</t>
  </si>
  <si>
    <t>Porter's Five Forces Analysis</t>
  </si>
  <si>
    <t>Rating</t>
  </si>
  <si>
    <t>Graph</t>
  </si>
  <si>
    <t>Threat of New Entrants</t>
  </si>
  <si>
    <t>Economies of scale</t>
  </si>
  <si>
    <t>Product differentiation</t>
  </si>
  <si>
    <t>Capital requirements</t>
  </si>
  <si>
    <t>Access to distribution channels</t>
  </si>
  <si>
    <t>Regulations</t>
  </si>
  <si>
    <t>Switching costs</t>
  </si>
  <si>
    <t>Bargaining Power of Suppliers</t>
  </si>
  <si>
    <t>Number of suppliers</t>
  </si>
  <si>
    <t>Uniqueness</t>
  </si>
  <si>
    <t>Switching Costs</t>
  </si>
  <si>
    <t>Forward Integration</t>
  </si>
  <si>
    <t>Industry Importance</t>
  </si>
  <si>
    <t>Bargaining Power of Customers</t>
  </si>
  <si>
    <t>Number of buyers</t>
  </si>
  <si>
    <t>Purchase size</t>
  </si>
  <si>
    <t>Price sensitivity</t>
  </si>
  <si>
    <t>Informed buyers</t>
  </si>
  <si>
    <t>Competitive Rivalry</t>
  </si>
  <si>
    <t>Number of competitors</t>
  </si>
  <si>
    <t>Industry growth</t>
  </si>
  <si>
    <t>Similarities in what's offered</t>
  </si>
  <si>
    <t>Exit barriers</t>
  </si>
  <si>
    <t>Fixed costs</t>
  </si>
  <si>
    <t>Threat of Substitutes</t>
  </si>
  <si>
    <t>Relative price performance</t>
  </si>
  <si>
    <t>Customer willingness to go elsewhere</t>
  </si>
  <si>
    <t>The sense that products are similar</t>
  </si>
  <si>
    <t>Availability of close substitutes</t>
  </si>
  <si>
    <t>Revenue Growth</t>
  </si>
  <si>
    <t>Profit Margin</t>
  </si>
  <si>
    <t>EV / Revenue</t>
  </si>
  <si>
    <t>Peers</t>
  </si>
  <si>
    <t>Ticker</t>
  </si>
  <si>
    <t>IONQ</t>
  </si>
  <si>
    <t>RGTI</t>
  </si>
  <si>
    <t>QUBT</t>
  </si>
  <si>
    <t>Average</t>
  </si>
  <si>
    <t>Deviation from Average</t>
  </si>
  <si>
    <t>Trading Multiple</t>
  </si>
  <si>
    <t>Net</t>
  </si>
  <si>
    <t>Preferred</t>
  </si>
  <si>
    <t>Non-Controlling</t>
  </si>
  <si>
    <t>Equity Value</t>
  </si>
  <si>
    <t>Implied Upside (Downside)</t>
  </si>
  <si>
    <t>Implied Share Price</t>
  </si>
  <si>
    <t>Revenue</t>
  </si>
  <si>
    <t>EBITDA</t>
  </si>
  <si>
    <t>P/E</t>
  </si>
  <si>
    <t>Debt</t>
  </si>
  <si>
    <t>Stock</t>
  </si>
  <si>
    <t>Interest</t>
  </si>
  <si>
    <t>Current Price</t>
  </si>
  <si>
    <t>Second Minimum</t>
  </si>
  <si>
    <t>Median</t>
  </si>
  <si>
    <t>Second Maximum</t>
  </si>
  <si>
    <t>Profitability</t>
  </si>
  <si>
    <t xml:space="preserve">  </t>
  </si>
  <si>
    <t>Operating Margin</t>
  </si>
  <si>
    <t>ROA (%)</t>
  </si>
  <si>
    <t>Financial Cost of Debt</t>
  </si>
  <si>
    <t>Return on Equity (RoE)</t>
  </si>
  <si>
    <t>Return on Invested Capital (ROIC)</t>
  </si>
  <si>
    <t>Solvency</t>
  </si>
  <si>
    <t>Debt/Assets</t>
  </si>
  <si>
    <t>Net Debt/EBITDA</t>
  </si>
  <si>
    <t>Interest Coverage Ratio</t>
  </si>
  <si>
    <t>Liquidity</t>
  </si>
  <si>
    <t>Activity</t>
  </si>
  <si>
    <t>Inventory Turnover</t>
  </si>
  <si>
    <t>Acc. Receivable Turnover</t>
  </si>
  <si>
    <t>Payables Turnover</t>
  </si>
  <si>
    <t>Fixed Asset Turnover</t>
  </si>
  <si>
    <t>Total Asset Turnover</t>
  </si>
  <si>
    <t>Cash Cycle (days)</t>
  </si>
  <si>
    <t>Cash Flow</t>
  </si>
  <si>
    <t>Cash Flow Margin</t>
  </si>
  <si>
    <t>Cash Flow to Net Income</t>
  </si>
  <si>
    <t>CFO to Net Income</t>
  </si>
  <si>
    <t>Net Capex to CFO</t>
  </si>
  <si>
    <t>CFI to CFO</t>
  </si>
  <si>
    <t>Net Financing to CFO</t>
  </si>
  <si>
    <t>Debt Borrowing to Debt Repayment</t>
  </si>
  <si>
    <t>CFF to CFO</t>
  </si>
  <si>
    <t>Payout Ratio</t>
  </si>
  <si>
    <t>Stock Information</t>
  </si>
  <si>
    <t>(%) Float</t>
  </si>
  <si>
    <t>β (Levered)</t>
  </si>
  <si>
    <t>β (Unlevered)</t>
  </si>
  <si>
    <t>Short % Float</t>
  </si>
  <si>
    <t>1 day</t>
  </si>
  <si>
    <t>1 month</t>
  </si>
  <si>
    <t>YTD</t>
  </si>
  <si>
    <t>Extra</t>
  </si>
  <si>
    <t>% Revenues in the US</t>
  </si>
  <si>
    <t>Income Statement</t>
  </si>
  <si>
    <t>PEER 4</t>
  </si>
  <si>
    <t>PEER 5</t>
  </si>
  <si>
    <t>PEER 6</t>
  </si>
  <si>
    <t>PEER 7</t>
  </si>
  <si>
    <t>PEER 8</t>
  </si>
  <si>
    <t>PEER 9</t>
  </si>
  <si>
    <t>PEER 10</t>
  </si>
  <si>
    <t>EBITDA (2023)</t>
  </si>
  <si>
    <t>Net Income (2023)</t>
  </si>
  <si>
    <t>COGS (Cost of Goods Sold)</t>
  </si>
  <si>
    <t>Gross Profit</t>
  </si>
  <si>
    <t>Operating Income (EBIT)</t>
  </si>
  <si>
    <t>Net Interest Expense (Income)</t>
  </si>
  <si>
    <t>Pre-Tax Income (EBT)</t>
  </si>
  <si>
    <t>Tax Expense (Benefits)</t>
  </si>
  <si>
    <t>$0,100</t>
  </si>
  <si>
    <t>$0,000</t>
  </si>
  <si>
    <t>Net Income</t>
  </si>
  <si>
    <t>EPS basic</t>
  </si>
  <si>
    <t>($1.560)</t>
  </si>
  <si>
    <t>($1,090)</t>
  </si>
  <si>
    <t>($0,730)</t>
  </si>
  <si>
    <t>R&amp;D (Research &amp; Development)</t>
  </si>
  <si>
    <t>Balance Sheet</t>
  </si>
  <si>
    <t>Cash &amp; Cash Equivalents</t>
  </si>
  <si>
    <t>Accounts Receivable</t>
  </si>
  <si>
    <t>Beginning Inventory</t>
  </si>
  <si>
    <t>Ending Inventory</t>
  </si>
  <si>
    <t>Current Assets</t>
  </si>
  <si>
    <t>Net PP&amp;E (Property, Plant and Equipment)</t>
  </si>
  <si>
    <t>Total Assets</t>
  </si>
  <si>
    <t>Accounts Payable</t>
  </si>
  <si>
    <t>Current Liabilities</t>
  </si>
  <si>
    <t>Long-term debt</t>
  </si>
  <si>
    <t>Total Debt</t>
  </si>
  <si>
    <t>Shareholder's Equity</t>
  </si>
  <si>
    <t>Cash Flow Statement</t>
  </si>
  <si>
    <t>Operating Cash Flow</t>
  </si>
  <si>
    <t>Investing Cash Flow</t>
  </si>
  <si>
    <t>Debt Borrowing</t>
  </si>
  <si>
    <t>Debt Repayment</t>
  </si>
  <si>
    <t>Financing Cash Flow</t>
  </si>
  <si>
    <t>Net Changes in Cash</t>
  </si>
  <si>
    <t>While the entire quantum computing peer group is facing major challenges such as negative profitability, high cash burn, and weak operational performance due to early-stage investments, D-Wave stands out with slower revenue growth, poorer margins, and lower liquidity compared to its peers. Overall, the peer group shows similar financial struggles, mainly because the sector is still in the early stages of commercialization, requiring heavy R&amp;D investments and resulting in negative cash flows. However, D-Wave appears slightly weaker given its slower commercial traction and higher financial risk.</t>
  </si>
  <si>
    <t>Environmental, Social and Governance Analysis</t>
  </si>
  <si>
    <t>Author:</t>
  </si>
  <si>
    <t>Highlights</t>
  </si>
  <si>
    <t>Recent News</t>
  </si>
  <si>
    <t xml:space="preserve">In January 2025, D-Wave partnered with Carahsoft to expand the distribution of its quantum computing solutions to the public sector. This collaboration aims to increase accessibility and adoption of D-Wave's annealing quantum computing technology among U.S. government agencies, facilitating advancements in areas such as national defense, emergency response, and infrastructure optimization. </t>
  </si>
  <si>
    <t>Overview</t>
  </si>
  <si>
    <t>.</t>
  </si>
  <si>
    <t xml:space="preserve">D-Wave stands out for its stable executive leadership, strong board governance, and meaningful community involvement. </t>
  </si>
  <si>
    <t>Last Update</t>
  </si>
  <si>
    <t>However, it lacks transparency on environmental impact and has no ESG-linked compensation or clear DEI policies.</t>
  </si>
  <si>
    <t>Latest year with data</t>
  </si>
  <si>
    <t xml:space="preserve"> Concerns around workplace culture and inclusion also remain, highlighting areas for improvement in social governance.</t>
  </si>
  <si>
    <t>GICS Sector</t>
  </si>
  <si>
    <t>GICS Industry Group</t>
  </si>
  <si>
    <t>Final Review</t>
  </si>
  <si>
    <t>ESG Scores</t>
  </si>
  <si>
    <t>GHG Scope 1 and 2 Emissions:</t>
  </si>
  <si>
    <t>Water, Waste, Energy Management:</t>
  </si>
  <si>
    <t>Industry ESG Overview:</t>
  </si>
  <si>
    <t>ENVIRONMENTAL</t>
  </si>
  <si>
    <t>Targets</t>
  </si>
  <si>
    <t>Improvements</t>
  </si>
  <si>
    <t>Comments</t>
  </si>
  <si>
    <t>GHG (or CO2) Scope 1 Emissions</t>
  </si>
  <si>
    <t>Water Consumption</t>
  </si>
  <si>
    <t>Energy Consumption</t>
  </si>
  <si>
    <t>Waste Management</t>
  </si>
  <si>
    <t>SOCIAL</t>
  </si>
  <si>
    <t>Important Sources:</t>
  </si>
  <si>
    <t>Annual Report</t>
  </si>
  <si>
    <t>Employee Turnover %</t>
  </si>
  <si>
    <t xml:space="preserve">Maintain or improve employee retention and satisfaction. </t>
  </si>
  <si>
    <t>Despite a 6.98% headcount reduction, D-Wave maintains its employee satisfaction score.</t>
  </si>
  <si>
    <t>While D-Wave reports high employee satisfaction, there remains room for improvement, particularly given signs of instability within specific departments.</t>
  </si>
  <si>
    <t>Sustainability Report</t>
  </si>
  <si>
    <t>Proxy Statement</t>
  </si>
  <si>
    <t>Salaries &amp; Compensation</t>
  </si>
  <si>
    <t>Implement diversity, equity, and inclusion (DEI) metrics into compensation plans to foster a more inclusive workplace.</t>
  </si>
  <si>
    <t>D-Wave offers competitive salaries across various roles, indicating a commitment to fair compensation.</t>
  </si>
  <si>
    <t>As of 2024, there is no public evidence that D-Wave has integrated DEI or other social metrics into its compensation structures.</t>
  </si>
  <si>
    <t>Financial Times</t>
  </si>
  <si>
    <t>GlassDoor</t>
  </si>
  <si>
    <t>Reputation</t>
  </si>
  <si>
    <t>D-Wave aims to prove that its quantum optimization technology can outperform classical systems in real-word problems.</t>
  </si>
  <si>
    <t>Analysts gave positive ratings after strong revenue growth and product progress.</t>
  </si>
  <si>
    <t>Despite advancements, D-Wave faces skepticism from parts of the scientific community about the broader applicability of its quantum optimization method and the extent of its advantage.</t>
  </si>
  <si>
    <t>dwavequantum.com</t>
  </si>
  <si>
    <t>dwavefederal.com</t>
  </si>
  <si>
    <t>Discrimination Events</t>
  </si>
  <si>
    <t>Create and maintain an inclusive and ethical culture where equal opportunity is promoted. </t>
  </si>
  <si>
    <t xml:space="preserve">D-Wave has implemented a Code of Conduct and community guidelines that explicitly prohibit discrimination and harassment. </t>
  </si>
  <si>
    <t>There are anonymous reviews alleging that feedback and questions were "not well-received" especially if it came from a women.</t>
  </si>
  <si>
    <t xml:space="preserve">D-Wave’s SEC filings </t>
  </si>
  <si>
    <t>Work Safety</t>
  </si>
  <si>
    <t>Update the protocols as technology changes.</t>
  </si>
  <si>
    <t>Created clear safety rules and training programs for lab workers and staff working with cryogenic systems to keep them safe.</t>
  </si>
  <si>
    <t>There are no significant reports of safety concerns, however, it does not demonstrate notable innovation in occupational safety practices either.</t>
  </si>
  <si>
    <t>Damage to consumer health</t>
  </si>
  <si>
    <t>Communicate any workplace hazards publicly (even if minor), showing a strong commitment to consumer and worker safety.</t>
  </si>
  <si>
    <t>D-Wave's quantum computers use superconducting circuits operating at ultra-low temperatures and do not involve radiation-producing components, meaning there is no ionizing radiation risk to workers or consumers.</t>
  </si>
  <si>
    <t>D-Wave’s technology is especially safe from a health perspective, as it eliminates concerns typically associated with high-energy radiation exposure found in other advanced technologies.</t>
  </si>
  <si>
    <t>Pension Plan</t>
  </si>
  <si>
    <t>Implement a formal employer-supported retirement savings plan in Canada to ensure consistency across all employee regions.</t>
  </si>
  <si>
    <t>Established a 401(k) Plan for U.S. Employees, providing a structured, tax-advantaged retirement savings options.</t>
  </si>
  <si>
    <t>Expanding consistent retirement benefits across regions strengthens employee trust, enhances competitiveness, and lays the foundation for future global growth.</t>
  </si>
  <si>
    <t>Supply chain</t>
  </si>
  <si>
    <t>It aims to scale these solutions globally with partners like DP World, targeting complex logistics across industries.</t>
  </si>
  <si>
    <t xml:space="preserve"> Improved supply chains by boosting port productivity and cargo predictability through quantum optimization.</t>
  </si>
  <si>
    <t>Specifically, it helped increase the number of containers moved per day and reduced the time and distance cranes needed to travel, leading to faster, smoother, and more organized port logistics.</t>
  </si>
  <si>
    <t>Community involvement</t>
  </si>
  <si>
    <t>Expand global community engagement by promoting open-source contributions, hosting hackathons, and providing accessible educational resources for diverse populations.</t>
  </si>
  <si>
    <t xml:space="preserve"> D-Wave has built strong academic partnerships, launched the Leap™ quantum cloud platform and engaged the public through events and volunteer science projects.</t>
  </si>
  <si>
    <t>Strong community ties amplify D-Wave’s influence across industries and demographics, creating new opportunities for partnerships, discovery, and market expansion.</t>
  </si>
  <si>
    <t>Public Sector</t>
  </si>
  <si>
    <t>Aims to deepen government collaboration, prepare for emerging quantum tech regulations, and expand public-sector applications to support commercial growth.</t>
  </si>
  <si>
    <t>Established strong partnerships with public institutions like NASA and secured government funding, all while remaining a privately owned, publicly traded company.</t>
  </si>
  <si>
    <t>Litigation</t>
  </si>
  <si>
    <t>Aims to complete restatements, resolve legal investigations, regain listing compliance, and rebuild investor confidence.</t>
  </si>
  <si>
    <t>Acknowledged past financial reporting errors and is actively restating its statements while addressing NYSE compliance concerns.</t>
  </si>
  <si>
    <t>GOVERNANCE</t>
  </si>
  <si>
    <t>Diversity (Gender, Age, Industry, Region)</t>
  </si>
  <si>
    <t xml:space="preserve">Raise the percentage of women on the board, as well as bring in some youger members. </t>
  </si>
  <si>
    <t>D-Wave has added directors from different backgrounds,  broadening the board's expertise beyond pure technical quantum research.</t>
  </si>
  <si>
    <t xml:space="preserve">D-Wave has not publicly disclosed specific numerical diversity goals. Setting public targets would align them better with top ESG practices  </t>
  </si>
  <si>
    <t>% Independence</t>
  </si>
  <si>
    <t>Increase board independence to 70-80%.</t>
  </si>
  <si>
    <t>Since 2022, D-Wave expanded its board with new independent memebers as part of its transition to a public company.</t>
  </si>
  <si>
    <t>Even though D-Wave has a relatively decent percentage of independet directors, it is not extremely high compared to "best practices" for a public company.</t>
  </si>
  <si>
    <t>Average time as independent directors</t>
  </si>
  <si>
    <t>Ensuring that independent directors play a critical role in shaping the company's strategic direction and overseeing risk management.</t>
  </si>
  <si>
    <t>As a newly public company, D-Wave has proritized building a strong, independent board through recent appointments. Improvements in long-term tenure will naturally develop over time as directors continue their service.</t>
  </si>
  <si>
    <t>The average tenure of independent directors is approximately 2 years, reflecting the company's relatively recent transition to a public entity in 2022.</t>
  </si>
  <si>
    <t>Departures of C-level executives</t>
  </si>
  <si>
    <t>Focus on retaining key executives, developing succession plans, and strengthening the leadership team's public presence.</t>
  </si>
  <si>
    <t>Promoted internal talent, strengthened board oversight, introduced long-term retention incentives.</t>
  </si>
  <si>
    <t>The fact that there have been no C-level executive departures during recent financial and board transitions shows strong internal alignment and resilience.</t>
  </si>
  <si>
    <t>CEO/Chairman duality</t>
  </si>
  <si>
    <t>Aims to continue this structure to ensure that corporate governance remains a competitive advantage as the company grows.</t>
  </si>
  <si>
    <t>Improved its board oversight, ensuring that management decisions are independently reviewed and challenged by the Chairman and the Board.</t>
  </si>
  <si>
    <t>Separating the roles limits the risk of too much power being concentrated in one individual, which promotes healthier checks and balances in leadership decisions.</t>
  </si>
  <si>
    <t>Transparency when reporting</t>
  </si>
  <si>
    <t xml:space="preserve"> Begin reporting on the environmental footprint of its quantum systems, including energy consumption and sustainability measures.</t>
  </si>
  <si>
    <t>Increased scientific transparency by publishing more results through peer-reviewed journals, such as the 2021 hybrid solver study.</t>
  </si>
  <si>
    <t>While D-Wave shares more technical documents now, some limitations, like restricted problem classes or noise effects, are still not always emphasized equally.</t>
  </si>
  <si>
    <t>Time taken to report</t>
  </si>
  <si>
    <t>Provide more real-time updates between earnings - via press releases, business updates and techinal progress reports (not just quarterly)</t>
  </si>
  <si>
    <t>Since going public, D-Wave has filed all financial reports on time, increased the frequency of public updates, and shortened the delay between achieving milestones and annoucing them to the public.</t>
  </si>
  <si>
    <t>D-Wave usually reports about 1.5 months after the quarter ends and 2.5 months after the fiscal year ends.</t>
  </si>
  <si>
    <t>CEO or Chairman in other boards?</t>
  </si>
  <si>
    <t>Expand external board participation to enhance D-Wave's strategic reach and exposure to broader technology trends.</t>
  </si>
  <si>
    <t>Although the CEO currently does not hold external board positions, his prior board service has brought valuable governance expertise to D-Wave.</t>
  </si>
  <si>
    <t>Engaging external board roles is a proven way to bring fresh perspectives into a company’s leadership.</t>
  </si>
  <si>
    <t>Audit / Consulting</t>
  </si>
  <si>
    <t>Expand its audit and consulting services by building on its cost efficient practices, offering broader compliance support and enhancing transparency.</t>
  </si>
  <si>
    <t>Maintained audit fees below industry averages and avoided extra non-audit expenses.</t>
  </si>
  <si>
    <t>In 2023, D-Wave Quantum Inc. reported an audit fee of $475,000, with no additional fees for audit-related services, tax services, or other services. This total is below the average audit fee of $703,000 for non-accelerated filers in 2023.</t>
  </si>
  <si>
    <t>ESG-compensation related</t>
  </si>
  <si>
    <t>Formally integrate ESG performance metrics into employee and management bonus structures.</t>
  </si>
  <si>
    <t>So far, D-Wave has not yet incorporated any ESG-specific KPIs into its compensation structures, representing an area for future development.</t>
  </si>
  <si>
    <t>Explicitly linking a portion of bonuses to ESG outcomes would strengthen accountability, align with evolving market expectations and position the company as a forward-looking leader in responsible quantum innovation.</t>
  </si>
  <si>
    <t>Management compensation schemes</t>
  </si>
  <si>
    <t>Balance stock-based compensation with long-term technical milestones and operational KPIs to better align incentives with the company's deep-tech, long-horizon nature.</t>
  </si>
  <si>
    <t>Adopted performance-linked equity awards and is increasingly focusing on generating real customer revenue.</t>
  </si>
  <si>
    <t xml:space="preserve">Given the quantum sector’s extreme market swings and long development timelines, compensation schemes must evolve carefully to avoid rewarding short-term hype over genuine technological progress.
</t>
  </si>
  <si>
    <t>ESG Inputs</t>
  </si>
  <si>
    <t>x</t>
  </si>
  <si>
    <t>Total GHG Scope 1 Emissions</t>
  </si>
  <si>
    <t>Total GHG Scope 2 (Location-Based) Emissions</t>
  </si>
  <si>
    <t>Total Energy Usage</t>
  </si>
  <si>
    <t>Total Water Consumption</t>
  </si>
  <si>
    <t>Total Waste Production</t>
  </si>
  <si>
    <t>GHG Scope 1 and 2 Emissions</t>
  </si>
  <si>
    <t>DCF</t>
  </si>
  <si>
    <t>Key Assumptions</t>
  </si>
  <si>
    <t>Switches</t>
  </si>
  <si>
    <t>Bear Case</t>
  </si>
  <si>
    <t>Base Case</t>
  </si>
  <si>
    <t>Bull Case</t>
  </si>
  <si>
    <t>FCFE</t>
  </si>
  <si>
    <t>Tax Shield</t>
  </si>
  <si>
    <t>Total Payout</t>
  </si>
  <si>
    <t>NOPAT</t>
  </si>
  <si>
    <t>Cash Balance</t>
  </si>
  <si>
    <t>Total Liabilities</t>
  </si>
  <si>
    <t>Most Recent Fiscal Year</t>
  </si>
  <si>
    <t>EBIT</t>
  </si>
  <si>
    <t>End of Fiscal Year</t>
  </si>
  <si>
    <t>WACC</t>
  </si>
  <si>
    <t>Most Recent Quarter End Date</t>
  </si>
  <si>
    <t>TGR</t>
  </si>
  <si>
    <t>Valuation Date</t>
  </si>
  <si>
    <t>WACC with Tax Rate</t>
  </si>
  <si>
    <t>Operating Assumptions</t>
  </si>
  <si>
    <t>2035E</t>
  </si>
  <si>
    <t>2036E</t>
  </si>
  <si>
    <t>2037E</t>
  </si>
  <si>
    <t>2038E</t>
  </si>
  <si>
    <t>2039E</t>
  </si>
  <si>
    <t>2040E</t>
  </si>
  <si>
    <t>2041E</t>
  </si>
  <si>
    <t>2042E</t>
  </si>
  <si>
    <t>2043E</t>
  </si>
  <si>
    <t>2044E</t>
  </si>
  <si>
    <t>2045E</t>
  </si>
  <si>
    <t>Market Size (Fortune Business Insights)</t>
  </si>
  <si>
    <t>Growth Rate</t>
  </si>
  <si>
    <t>Market Size (Statista)</t>
  </si>
  <si>
    <t>Average (%)</t>
  </si>
  <si>
    <t>In millions of USD</t>
  </si>
  <si>
    <t>Revenue (Sales)</t>
  </si>
  <si>
    <t>% of growth</t>
  </si>
  <si>
    <t>isso ignora todas as operating assumptions</t>
  </si>
  <si>
    <t>% of revenue</t>
  </si>
  <si>
    <t>isso é uma indústria de cogs alto?</t>
  </si>
  <si>
    <t>é</t>
  </si>
  <si>
    <t>a longo prazo?</t>
  </si>
  <si>
    <t>hmmm acho que depois deve baixar, vou ajustar</t>
  </si>
  <si>
    <t>SG&amp;A (Selling, General &amp; Administrative)</t>
  </si>
  <si>
    <t>faz mais sentido growing with a % of revenue growth</t>
  </si>
  <si>
    <t>Growth %</t>
  </si>
  <si>
    <t>Other Operating (Income) Expenses</t>
  </si>
  <si>
    <t>fica meio alto a longo prazo</t>
  </si>
  <si>
    <t>D&amp;A (Depreciation &amp; Amortization)</t>
  </si>
  <si>
    <t>pode-se fazer como % capex, até estabilizar num ritmo de crecimento moderado (80% do capex)</t>
  </si>
  <si>
    <t>% capex</t>
  </si>
  <si>
    <t>o problema é que nos primeiros anos talvez não seja um bom parâmetro, aí mais vale usar alguma outra referência para o crescimento</t>
  </si>
  <si>
    <t>sim, problema que não sei se outra referência seria boa porque não há como comparar com os dados históricos (fico um bocado à nora)</t>
  </si>
  <si>
    <t>Depreciation Expense</t>
  </si>
  <si>
    <t>% Capex</t>
  </si>
  <si>
    <t>Amortization Expense</t>
  </si>
  <si>
    <t>% of Intangibles excl. Goodwill</t>
  </si>
  <si>
    <t>% of Net Debt</t>
  </si>
  <si>
    <t>Interest Expense</t>
  </si>
  <si>
    <t>% of Debt</t>
  </si>
  <si>
    <t>Interest Income</t>
  </si>
  <si>
    <t>% Cash &amp; Cash Eq. &amp; ST Investments</t>
  </si>
  <si>
    <t>FX (Gain) Loss</t>
  </si>
  <si>
    <t>Other Non-Operating (Income) Expenses</t>
  </si>
  <si>
    <t>% of EBT</t>
  </si>
  <si>
    <t>Assets</t>
  </si>
  <si>
    <t>Cash &amp; Cash Equivalents &amp; ST Investments</t>
  </si>
  <si>
    <t>DSO</t>
  </si>
  <si>
    <t>Inventory</t>
  </si>
  <si>
    <t>conforme cresce a procura, DIH deve reduzir substancialmente</t>
  </si>
  <si>
    <t>DIH</t>
  </si>
  <si>
    <t>Prepaid expenses and Other Current Assets</t>
  </si>
  <si>
    <t>a percentagem é extremamente alta hoje pq a receita é baixa, não deve manter o ratio as % of revenue</t>
  </si>
  <si>
    <t>Net PP&amp;E (Property, Plant and Equipment) + ROU Assets</t>
  </si>
  <si>
    <t>Gross PP&amp;E (Property, Plant and Equipment) + ROU Assets</t>
  </si>
  <si>
    <t>Right-of-Use Assets</t>
  </si>
  <si>
    <t>Accumulated Depreciation</t>
  </si>
  <si>
    <t>Intangibles excl. Goodwill</t>
  </si>
  <si>
    <t>growing with % of R&amp;D</t>
  </si>
  <si>
    <t>Liabilities</t>
  </si>
  <si>
    <t>isso assume que a empresa tem muit power over suppliers for taking that long to pay, hoje eles devem ter acordos que os beneficiam por serem praticamente pre-revenue, mas não deve manter-se assim</t>
  </si>
  <si>
    <t>DPO</t>
  </si>
  <si>
    <t>Accrued Expenses and Other Current Liabilities</t>
  </si>
  <si>
    <t>growing with revenue</t>
  </si>
  <si>
    <t>Total Borrowings</t>
  </si>
  <si>
    <t>Total Leases</t>
  </si>
  <si>
    <t>% of revenues</t>
  </si>
  <si>
    <t>Stock Based Compensation</t>
  </si>
  <si>
    <t>% of SG&amp;A</t>
  </si>
  <si>
    <t>Changes in Net Working Capital</t>
  </si>
  <si>
    <t>Other Operating Adjustments</t>
  </si>
  <si>
    <t>Net CapEx</t>
  </si>
  <si>
    <t>capex pode crescer como %crescimento da receita até estabilizar num ratio de mais ou menos 20-30% da receita, é o que se vê em hardware</t>
  </si>
  <si>
    <t>% of growth / revenue growth</t>
  </si>
  <si>
    <t>Acquisition of Fixed &amp; Intangibles</t>
  </si>
  <si>
    <t>% of Revenue</t>
  </si>
  <si>
    <t>Disposal of Fixed &amp; Intangibles</t>
  </si>
  <si>
    <t>Disposal Rate (% Gross PP&amp;E)</t>
  </si>
  <si>
    <t>Net Cash from Investments &amp; Acquisitions</t>
  </si>
  <si>
    <t>Other Investing Inflows (Outflows)</t>
  </si>
  <si>
    <t>Dividends</t>
  </si>
  <si>
    <t>Dividend payout</t>
  </si>
  <si>
    <t>Increase (Repurchase) of Shares</t>
  </si>
  <si>
    <t>Repurchase payout</t>
  </si>
  <si>
    <t>Lease Payments</t>
  </si>
  <si>
    <t>% of Right-of-Use Assets</t>
  </si>
  <si>
    <t>% of FCFE</t>
  </si>
  <si>
    <t>Other Financing Inflows (Outflows)</t>
  </si>
  <si>
    <t>FCFF Valuation</t>
  </si>
  <si>
    <t>Depreciation &amp; Amortization</t>
  </si>
  <si>
    <t>Changes in NWC</t>
  </si>
  <si>
    <t>Present Value of FCFF</t>
  </si>
  <si>
    <t>Sensitivity to the Period</t>
  </si>
  <si>
    <t>Period</t>
  </si>
  <si>
    <t>Terminal Value</t>
  </si>
  <si>
    <t>Present Value of Terminal Value</t>
  </si>
  <si>
    <t>Enterprise Value</t>
  </si>
  <si>
    <t>(+) Cash</t>
  </si>
  <si>
    <t>(-) Minority Interest</t>
  </si>
  <si>
    <t>(-) Preferred Stock</t>
  </si>
  <si>
    <t>(-) Debt</t>
  </si>
  <si>
    <t>Shares outstanding</t>
  </si>
  <si>
    <t>Implicit Stock Value</t>
  </si>
  <si>
    <t>Stock value</t>
  </si>
  <si>
    <t>Upside (downside)</t>
  </si>
  <si>
    <t>APV Valuation</t>
  </si>
  <si>
    <t>2035A</t>
  </si>
  <si>
    <t>2036A</t>
  </si>
  <si>
    <t>2037A</t>
  </si>
  <si>
    <t>Unlevered Present Value of FCFF</t>
  </si>
  <si>
    <t>Present Value of Tax Shield</t>
  </si>
  <si>
    <t>Terminal Value of Unlevered FCFF</t>
  </si>
  <si>
    <t>Present Value of Unlevered FCFF Terminal Value</t>
  </si>
  <si>
    <t>Terminal Value of Tax Shield</t>
  </si>
  <si>
    <t>Present Value of Tax Shield Terminal Value</t>
  </si>
  <si>
    <t>APV</t>
  </si>
  <si>
    <t>FCFE Valuation</t>
  </si>
  <si>
    <t>Debt Borrowing (Repayment)</t>
  </si>
  <si>
    <t>Present Value of FCFE</t>
  </si>
  <si>
    <t>DDM</t>
  </si>
  <si>
    <t>Total Payout Ratio</t>
  </si>
  <si>
    <t>Plowback Ratio</t>
  </si>
  <si>
    <t>Present Value of Total Payout</t>
  </si>
  <si>
    <t>Sensitivity Analysis</t>
  </si>
  <si>
    <t>Stock Price (in USD)</t>
  </si>
  <si>
    <t>Notes</t>
  </si>
  <si>
    <t>Inputs</t>
  </si>
  <si>
    <t>in millions of USD</t>
  </si>
  <si>
    <t>EPS diluted</t>
  </si>
  <si>
    <t>Basic Weighted Average Shares</t>
  </si>
  <si>
    <t>Diluted Weighted Average Shares</t>
  </si>
  <si>
    <t>Short-Term Investments</t>
  </si>
  <si>
    <t>Gross PP&amp;E (Property, Plant and Equipment)</t>
  </si>
  <si>
    <t>Intangibles</t>
  </si>
  <si>
    <t>Goodwill</t>
  </si>
  <si>
    <t> 0.000</t>
  </si>
  <si>
    <t>Other Non-Current Assets</t>
  </si>
  <si>
    <t>Non-Current Assets</t>
  </si>
  <si>
    <t>Short-Term Debt</t>
  </si>
  <si>
    <t>Short-Term Borrowings</t>
  </si>
  <si>
    <t>Current Portion of Lease Liabilities</t>
  </si>
  <si>
    <t> 1.687</t>
  </si>
  <si>
    <t> 1.533</t>
  </si>
  <si>
    <t> 1.374</t>
  </si>
  <si>
    <t> 1.512</t>
  </si>
  <si>
    <t>Long-Term Debt</t>
  </si>
  <si>
    <t>Long-Term Borrowings</t>
  </si>
  <si>
    <t>Long-Term Operating Lease Liabilities</t>
  </si>
  <si>
    <t>Other Non-Current Liabilities</t>
  </si>
  <si>
    <t>Non-Current Liabilities</t>
  </si>
  <si>
    <t>Non-Controlling Interest</t>
  </si>
  <si>
    <t>D&amp;A (Depreciation and Amortization)</t>
  </si>
  <si>
    <t>(Increase) Decrease in Accounts Receivable</t>
  </si>
  <si>
    <t>(Increase) Decrease in Inventories</t>
  </si>
  <si>
    <t>Increase (Decrease) in Accounts Payable</t>
  </si>
  <si>
    <t>Increase (Decrease) in Other</t>
  </si>
  <si>
    <t>-0,100</t>
  </si>
  <si>
    <t>Acquisitions</t>
  </si>
  <si>
    <t>Divestitures</t>
  </si>
  <si>
    <t>Increase in LT Investment</t>
  </si>
  <si>
    <t>Decrease in LT Investment</t>
  </si>
  <si>
    <t>Effect of Foreign Exchange</t>
  </si>
  <si>
    <t>in billionsof USD</t>
  </si>
  <si>
    <t xml:space="preserve">
</t>
  </si>
  <si>
    <t>Capital Structure</t>
  </si>
  <si>
    <t>Market Capitalization</t>
  </si>
  <si>
    <t>Preferred Stock</t>
  </si>
  <si>
    <t>Cash</t>
  </si>
  <si>
    <t>v</t>
  </si>
  <si>
    <t>Fixed</t>
  </si>
  <si>
    <t>Floating</t>
  </si>
  <si>
    <t>Additional</t>
  </si>
  <si>
    <t>Net Debt</t>
  </si>
  <si>
    <t>Effective Tax Rate</t>
  </si>
  <si>
    <t>WACC = % of Equity x Cost of Equity + % de Debt x Cost of Debt x (1 - Tax Rate)</t>
  </si>
  <si>
    <t>Cost of Equity = Risk-Free Rate + Beta x Equity Risk Premium</t>
  </si>
  <si>
    <t>Region</t>
  </si>
  <si>
    <t>ERP</t>
  </si>
  <si>
    <t>Beta (Unlevered)</t>
  </si>
  <si>
    <t> </t>
  </si>
  <si>
    <r>
      <rPr>
        <sz val="11"/>
        <color rgb="FF000000"/>
        <rFont val="Arial"/>
        <family val="2"/>
      </rPr>
      <t>Market Cap</t>
    </r>
    <r>
      <rPr>
        <sz val="9"/>
        <color rgb="FF000000"/>
        <rFont val="Arial"/>
        <family val="2"/>
      </rPr>
      <t xml:space="preserve"> </t>
    </r>
    <r>
      <rPr>
        <i/>
        <sz val="9"/>
        <color rgb="FF000000"/>
        <rFont val="Arial"/>
        <family val="2"/>
      </rPr>
      <t>(in millions)</t>
    </r>
  </si>
  <si>
    <t>% of Equity</t>
  </si>
  <si>
    <t>Cost of Equity</t>
  </si>
  <si>
    <t>Risk-Free Rate</t>
  </si>
  <si>
    <t>Unlevered Beta</t>
  </si>
  <si>
    <t>Equity Risk Premium</t>
  </si>
  <si>
    <r>
      <rPr>
        <sz val="11"/>
        <color rgb="FF000000"/>
        <rFont val="Arial"/>
        <family val="2"/>
      </rPr>
      <t>Debt</t>
    </r>
    <r>
      <rPr>
        <i/>
        <sz val="9"/>
        <color rgb="FF000000"/>
        <rFont val="Arial"/>
        <family val="2"/>
      </rPr>
      <t xml:space="preserve"> (in millions)</t>
    </r>
  </si>
  <si>
    <t>Cost of debt</t>
  </si>
  <si>
    <t>Tax Rate</t>
  </si>
  <si>
    <t>Multiples</t>
  </si>
  <si>
    <t>Valuation</t>
  </si>
  <si>
    <t>EBT Margin</t>
  </si>
  <si>
    <t>Efficiency</t>
  </si>
  <si>
    <t>Days Sales Outstanding</t>
  </si>
  <si>
    <t>Days Payable Outstanding</t>
  </si>
  <si>
    <t>Days Inventory Outstanding</t>
  </si>
  <si>
    <t>Leverage</t>
  </si>
  <si>
    <t>Interest Coverage</t>
  </si>
  <si>
    <t>Debt Repayment to Debt Borrowing</t>
  </si>
  <si>
    <t>Sensitivity Analisys - FCFF</t>
  </si>
  <si>
    <t>Variables</t>
  </si>
  <si>
    <t>St Dev</t>
  </si>
  <si>
    <t>Simulations: 10,000</t>
  </si>
  <si>
    <t>Upside</t>
  </si>
  <si>
    <t>min</t>
  </si>
  <si>
    <t>mean</t>
  </si>
  <si>
    <t>median</t>
  </si>
  <si>
    <t>max</t>
  </si>
  <si>
    <t>st dev</t>
  </si>
  <si>
    <t>Iterations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</si>
</sst>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164" formatCode="_(* #,##0.00_);_(* \(#,##0.00\);_(* &quot;-&quot;??_);_(@_)"/>
    <numFmt numFmtId="165" formatCode="_-* #,##0.00\ &quot;€&quot;_-;\-* #,##0.00\ &quot;€&quot;_-;_-* &quot;-&quot;??\ &quot;€&quot;_-;_-@_-"/>
    <numFmt numFmtId="166" formatCode="0&quot;A&quot;"/>
    <numFmt numFmtId="167" formatCode="0&quot;E&quot;"/>
    <numFmt numFmtId="168" formatCode="_-* #,##0.00\ _€_-;\-* #,##0.00\ _€_-;_-* &quot;-&quot;??\ _€_-;_-@_-"/>
    <numFmt numFmtId="169" formatCode="0.00\x"/>
    <numFmt numFmtId="170" formatCode="0.00&quot;M&quot;"/>
    <numFmt numFmtId="171" formatCode="0.0%"/>
    <numFmt numFmtId="172" formatCode="&quot;$&quot;#,##0"/>
    <numFmt numFmtId="173" formatCode="_(* #,##0_);_(* \(#,##0\);_(* &quot;-&quot;??_);_(@_)"/>
    <numFmt numFmtId="174" formatCode="0.0"/>
    <numFmt numFmtId="175" formatCode="&quot;$&quot;#,##0.00"/>
    <numFmt numFmtId="176" formatCode="_([$$-409]* #,##0_);_([$$-409]* \(#,##0\);_([$$-409]* &quot;-&quot;??_);_(@_)"/>
    <numFmt numFmtId="177" formatCode="_([$$-409]* #,##0.00_);_([$$-409]* \(#,##0.00\);_([$$-409]* &quot;-&quot;??_);_(@_)"/>
    <numFmt numFmtId="178" formatCode="#,##0.0"/>
    <numFmt numFmtId="179" formatCode="[$-409]d\-mmm;@"/>
    <numFmt numFmtId="180" formatCode="0.000%"/>
    <numFmt numFmtId="181" formatCode="0&quot;+&quot;"/>
    <numFmt numFmtId="182" formatCode="&quot;$&quot;#,##0.000"/>
    <numFmt numFmtId="183" formatCode="#,##0.000_);\(#,##0.000\)"/>
    <numFmt numFmtId="184" formatCode="#,##0_ ;\-#,##0\ "/>
    <numFmt numFmtId="185" formatCode="&quot;$&quot;#,##0.000_);[Red]\(&quot;$&quot;#,##0.000\)"/>
    <numFmt numFmtId="186" formatCode="0.0000000%"/>
  </numFmts>
  <fonts count="82" x14ac:knownFonts="1">
    <font>
      <sz val="11"/>
      <color theme="1"/>
      <name val="Arial"/>
      <family val="2"/>
    </font>
    <font>
      <sz val="11"/>
      <color theme="1"/>
      <name val="Calibri"/>
      <family val="2"/>
      <scheme val="minor"/>
    </font>
    <font>
      <sz val="11"/>
      <color theme="1"/>
      <name val="Arial"/>
      <family val="2"/>
    </font>
    <font>
      <b/>
      <sz val="11"/>
      <color theme="1"/>
      <name val="Arial"/>
      <family val="2"/>
    </font>
    <font>
      <b/>
      <sz val="11"/>
      <color theme="0"/>
      <name val="Arial"/>
      <family val="2"/>
    </font>
    <font>
      <sz val="11"/>
      <color theme="0"/>
      <name val="Arial"/>
      <family val="2"/>
    </font>
    <font>
      <b/>
      <sz val="12"/>
      <color theme="0"/>
      <name val="Arial"/>
      <family val="2"/>
    </font>
    <font>
      <sz val="11"/>
      <color rgb="FF000000"/>
      <name val="Arial"/>
      <family val="2"/>
    </font>
    <font>
      <b/>
      <sz val="11"/>
      <color rgb="FF000000"/>
      <name val="Arial"/>
      <family val="2"/>
    </font>
    <font>
      <u/>
      <sz val="11"/>
      <color theme="10"/>
      <name val="Arial"/>
      <family val="2"/>
    </font>
    <font>
      <sz val="11"/>
      <name val="Arial"/>
      <family val="2"/>
    </font>
    <font>
      <sz val="10"/>
      <color theme="1"/>
      <name val="Arial"/>
      <family val="2"/>
    </font>
    <font>
      <sz val="12"/>
      <name val="Arial"/>
      <family val="2"/>
    </font>
    <font>
      <sz val="12"/>
      <color theme="1"/>
      <name val="Arial"/>
      <family val="2"/>
    </font>
    <font>
      <sz val="10"/>
      <name val="Arial"/>
      <family val="2"/>
    </font>
    <font>
      <i/>
      <sz val="9"/>
      <color rgb="FF000000"/>
      <name val="Arial"/>
      <family val="2"/>
    </font>
    <font>
      <b/>
      <sz val="10"/>
      <color theme="1"/>
      <name val="Arial"/>
      <family val="2"/>
    </font>
    <font>
      <b/>
      <sz val="11"/>
      <color rgb="FF7B1314"/>
      <name val="Arial"/>
      <family val="2"/>
    </font>
    <font>
      <b/>
      <sz val="16"/>
      <color theme="1"/>
      <name val="Arial"/>
      <family val="2"/>
    </font>
    <font>
      <b/>
      <sz val="10"/>
      <name val="Arial"/>
      <family val="2"/>
    </font>
    <font>
      <sz val="12"/>
      <color theme="0"/>
      <name val="Arial"/>
      <family val="2"/>
    </font>
    <font>
      <b/>
      <i/>
      <sz val="12"/>
      <color theme="0"/>
      <name val="Arial"/>
      <family val="2"/>
    </font>
    <font>
      <b/>
      <sz val="12"/>
      <color rgb="FF7B1314"/>
      <name val="Arial"/>
      <family val="2"/>
    </font>
    <font>
      <b/>
      <sz val="12"/>
      <color rgb="FFFFFFFF"/>
      <name val="Arial"/>
      <family val="2"/>
    </font>
    <font>
      <i/>
      <sz val="8"/>
      <color theme="0"/>
      <name val="Arial"/>
      <family val="2"/>
    </font>
    <font>
      <i/>
      <sz val="11"/>
      <color theme="1"/>
      <name val="Arial"/>
      <family val="2"/>
    </font>
    <font>
      <sz val="9"/>
      <color indexed="81"/>
      <name val="Tahoma"/>
      <family val="2"/>
    </font>
    <font>
      <b/>
      <sz val="9"/>
      <color indexed="81"/>
      <name val="Tahoma"/>
      <family val="2"/>
    </font>
    <font>
      <sz val="11"/>
      <color rgb="FF00B050"/>
      <name val="Arial"/>
      <family val="2"/>
    </font>
    <font>
      <b/>
      <sz val="11"/>
      <name val="Arial"/>
      <family val="2"/>
    </font>
    <font>
      <sz val="11"/>
      <color theme="1"/>
      <name val="Arial"/>
      <family val="2"/>
    </font>
    <font>
      <b/>
      <sz val="12"/>
      <color rgb="FF000000"/>
      <name val="Arial"/>
      <family val="2"/>
    </font>
    <font>
      <sz val="11"/>
      <color rgb="FF0070C0"/>
      <name val="Arial"/>
      <family val="2"/>
    </font>
    <font>
      <sz val="9"/>
      <color rgb="FF000000"/>
      <name val="Arial"/>
      <family val="2"/>
    </font>
    <font>
      <b/>
      <u/>
      <sz val="12"/>
      <name val="Arial"/>
      <family val="2"/>
    </font>
    <font>
      <sz val="12"/>
      <color rgb="FF0070C0"/>
      <name val="Arial"/>
      <family val="2"/>
    </font>
    <font>
      <sz val="12"/>
      <color rgb="FF000000"/>
      <name val="Arial"/>
      <family val="2"/>
    </font>
    <font>
      <sz val="12"/>
      <color rgb="FF00B050"/>
      <name val="Arial"/>
      <family val="2"/>
    </font>
    <font>
      <b/>
      <sz val="12"/>
      <name val="Arial"/>
      <family val="2"/>
    </font>
    <font>
      <i/>
      <sz val="12"/>
      <name val="Arial"/>
      <family val="2"/>
    </font>
    <font>
      <i/>
      <sz val="8"/>
      <color theme="1"/>
      <name val="Arial"/>
      <family val="2"/>
    </font>
    <font>
      <b/>
      <sz val="12"/>
      <color theme="1"/>
      <name val="Arial"/>
      <family val="2"/>
    </font>
    <font>
      <i/>
      <sz val="12"/>
      <color theme="1"/>
      <name val="Arial"/>
      <family val="2"/>
    </font>
    <font>
      <b/>
      <sz val="11"/>
      <color rgb="FF00B050"/>
      <name val="Arial"/>
      <family val="2"/>
    </font>
    <font>
      <b/>
      <sz val="12"/>
      <color rgb="FF00B050"/>
      <name val="Arial"/>
      <family val="2"/>
    </font>
    <font>
      <b/>
      <sz val="10"/>
      <color indexed="9"/>
      <name val="Arial"/>
      <family val="2"/>
    </font>
    <font>
      <i/>
      <sz val="11"/>
      <color rgb="FF00B050"/>
      <name val="Arial"/>
      <family val="2"/>
    </font>
    <font>
      <i/>
      <sz val="11"/>
      <color rgb="FF000000"/>
      <name val="Arial"/>
      <family val="2"/>
    </font>
    <font>
      <i/>
      <sz val="11"/>
      <color rgb="FF0070C0"/>
      <name val="Arial"/>
      <family val="2"/>
    </font>
    <font>
      <i/>
      <sz val="11"/>
      <color theme="1" tint="0.499984740745262"/>
      <name val="Arial"/>
      <family val="2"/>
    </font>
    <font>
      <sz val="11"/>
      <color theme="1" tint="0.499984740745262"/>
      <name val="Arial"/>
      <family val="2"/>
    </font>
    <font>
      <i/>
      <sz val="12"/>
      <color rgb="FF00B050"/>
      <name val="Arial"/>
      <family val="2"/>
    </font>
    <font>
      <sz val="12"/>
      <color theme="1" tint="0.499984740745262"/>
      <name val="Arial"/>
      <family val="2"/>
    </font>
    <font>
      <sz val="11"/>
      <name val="Arial"/>
      <family val="2"/>
    </font>
    <font>
      <b/>
      <sz val="9"/>
      <color theme="0"/>
      <name val="Arial"/>
      <family val="2"/>
    </font>
    <font>
      <sz val="9"/>
      <color theme="0"/>
      <name val="Arial"/>
      <family val="2"/>
    </font>
    <font>
      <sz val="9"/>
      <name val="Arial"/>
      <family val="2"/>
    </font>
    <font>
      <sz val="10"/>
      <color rgb="FFFF0000"/>
      <name val="Arial"/>
      <family val="2"/>
    </font>
    <font>
      <sz val="10"/>
      <color theme="1" tint="0.249977111117893"/>
      <name val="Arial"/>
      <family val="2"/>
    </font>
    <font>
      <sz val="11"/>
      <color theme="1"/>
      <name val="Arial"/>
      <family val="2"/>
    </font>
    <font>
      <sz val="14"/>
      <color theme="1"/>
      <name val="Arial"/>
      <family val="2"/>
    </font>
    <font>
      <i/>
      <sz val="10"/>
      <color theme="0" tint="-0.34998626667073579"/>
      <name val="Arial"/>
      <family val="2"/>
    </font>
    <font>
      <sz val="11"/>
      <color theme="1" tint="0.249977111117893"/>
      <name val="Arial"/>
      <family val="2"/>
    </font>
    <font>
      <b/>
      <sz val="14"/>
      <color rgb="FF7B1314"/>
      <name val="Arial"/>
      <family val="2"/>
    </font>
    <font>
      <sz val="9"/>
      <color theme="1" tint="0.249977111117893"/>
      <name val="Arial"/>
      <family val="2"/>
    </font>
    <font>
      <b/>
      <sz val="16"/>
      <color rgb="FF000000"/>
      <name val="Arial"/>
      <family val="2"/>
    </font>
    <font>
      <b/>
      <sz val="11"/>
      <color rgb="FFFFFFFF"/>
      <name val="Arial"/>
      <family val="2"/>
    </font>
    <font>
      <sz val="11"/>
      <color rgb="FFFFFFFF"/>
      <name val="Arial"/>
      <family val="2"/>
    </font>
    <font>
      <sz val="16"/>
      <color theme="1"/>
      <name val="Arial"/>
      <family val="2"/>
    </font>
    <font>
      <b/>
      <sz val="16"/>
      <name val="Arial"/>
      <family val="2"/>
    </font>
    <font>
      <b/>
      <sz val="16"/>
      <color rgb="FF7B1314"/>
      <name val="Arial"/>
      <family val="2"/>
    </font>
    <font>
      <b/>
      <sz val="11"/>
      <color indexed="9"/>
      <name val="Calibri"/>
      <family val="2"/>
    </font>
    <font>
      <sz val="11"/>
      <color rgb="FFFF0000"/>
      <name val="Arial"/>
      <family val="2"/>
    </font>
    <font>
      <b/>
      <sz val="11"/>
      <color rgb="FFFF0000"/>
      <name val="Arial"/>
      <family val="2"/>
    </font>
    <font>
      <sz val="10"/>
      <color rgb="FF000000"/>
      <name val="Arial"/>
      <family val="2"/>
    </font>
    <font>
      <b/>
      <sz val="10"/>
      <color rgb="FF000000"/>
      <name val="Arial"/>
      <family val="2"/>
    </font>
    <font>
      <b/>
      <sz val="11"/>
      <color rgb="FF000000"/>
      <name val="Calibri"/>
      <family val="2"/>
      <scheme val="minor"/>
    </font>
    <font>
      <sz val="11"/>
      <color rgb="FF000000"/>
      <name val="Calibri"/>
      <family val="2"/>
      <scheme val="minor"/>
    </font>
    <font>
      <b/>
      <sz val="9"/>
      <color theme="1"/>
      <name val="Arial"/>
      <family val="2"/>
    </font>
    <font>
      <b/>
      <sz val="9"/>
      <color rgb="FF000000"/>
      <name val="Arial"/>
      <family val="2"/>
    </font>
    <font>
      <sz val="9"/>
      <color theme="1"/>
      <name val="Segoe UI"/>
      <family val="2"/>
    </font>
    <font>
      <i/>
      <sz val="11"/>
      <name val="Arial"/>
      <family val="2"/>
    </font>
  </fonts>
  <fills count="20">
    <fill>
      <patternFill patternType="none"/>
    </fill>
    <fill>
      <patternFill patternType="gray125"/>
    </fill>
    <fill>
      <patternFill patternType="solid">
        <fgColor rgb="FF7B1314"/>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rgb="FFD9D9D9"/>
        <bgColor indexed="64"/>
      </patternFill>
    </fill>
    <fill>
      <patternFill patternType="solid">
        <fgColor rgb="FF4F81BD"/>
        <bgColor indexed="64"/>
      </patternFill>
    </fill>
    <fill>
      <patternFill patternType="solid">
        <fgColor rgb="FF7B1314"/>
        <bgColor rgb="FF000000"/>
      </patternFill>
    </fill>
    <fill>
      <patternFill patternType="solid">
        <fgColor rgb="FFD9D9D9"/>
        <bgColor rgb="FF000000"/>
      </patternFill>
    </fill>
    <fill>
      <patternFill patternType="solid">
        <fgColor rgb="FFFFFFFF"/>
        <bgColor indexed="64"/>
      </patternFill>
    </fill>
    <fill>
      <patternFill patternType="solid">
        <fgColor rgb="FFF2F2F2"/>
        <bgColor rgb="FF000000"/>
      </patternFill>
    </fill>
    <fill>
      <patternFill patternType="solid">
        <fgColor rgb="FFFFFFFF"/>
        <bgColor rgb="FF000000"/>
      </patternFill>
    </fill>
    <fill>
      <patternFill patternType="solid">
        <fgColor rgb="FFFFFF00"/>
        <bgColor indexed="64"/>
      </patternFill>
    </fill>
    <fill>
      <patternFill patternType="solid">
        <fgColor rgb="FF00B050"/>
        <bgColor indexed="64"/>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
      <patternFill patternType="solid">
        <fgColor theme="2" tint="-9.9978637043366805E-2"/>
        <bgColor indexed="64"/>
      </patternFill>
    </fill>
    <fill>
      <patternFill patternType="solid">
        <fgColor theme="7" tint="-0.249977111117893"/>
        <bgColor indexed="64"/>
      </patternFill>
    </fill>
  </fills>
  <borders count="89">
    <border>
      <left/>
      <right/>
      <top/>
      <bottom/>
      <diagonal/>
    </border>
    <border>
      <left/>
      <right style="dotted">
        <color indexed="64"/>
      </right>
      <top/>
      <bottom/>
      <diagonal/>
    </border>
    <border>
      <left/>
      <right style="dotted">
        <color rgb="FF000000"/>
      </right>
      <top/>
      <bottom/>
      <diagonal/>
    </border>
    <border>
      <left/>
      <right/>
      <top/>
      <bottom style="thick">
        <color indexed="64"/>
      </bottom>
      <diagonal/>
    </border>
    <border>
      <left/>
      <right style="thin">
        <color rgb="FF7B1314"/>
      </right>
      <top/>
      <bottom/>
      <diagonal/>
    </border>
    <border>
      <left style="thin">
        <color rgb="FF7B1314"/>
      </left>
      <right/>
      <top/>
      <bottom/>
      <diagonal/>
    </border>
    <border>
      <left/>
      <right style="thin">
        <color rgb="FF7B1314"/>
      </right>
      <top/>
      <bottom style="dotted">
        <color indexed="64"/>
      </bottom>
      <diagonal/>
    </border>
    <border>
      <left/>
      <right/>
      <top/>
      <bottom style="dotted">
        <color indexed="64"/>
      </bottom>
      <diagonal/>
    </border>
    <border>
      <left/>
      <right/>
      <top/>
      <bottom style="thin">
        <color rgb="FF000000"/>
      </bottom>
      <diagonal/>
    </border>
    <border>
      <left/>
      <right/>
      <top/>
      <bottom style="thin">
        <color indexed="64"/>
      </bottom>
      <diagonal/>
    </border>
    <border>
      <left/>
      <right style="medium">
        <color rgb="FF7B1314"/>
      </right>
      <top/>
      <bottom/>
      <diagonal/>
    </border>
    <border>
      <left/>
      <right/>
      <top style="thick">
        <color indexed="64"/>
      </top>
      <bottom/>
      <diagonal/>
    </border>
    <border>
      <left/>
      <right/>
      <top style="medium">
        <color auto="1"/>
      </top>
      <bottom/>
      <diagonal/>
    </border>
    <border>
      <left/>
      <right/>
      <top style="medium">
        <color auto="1"/>
      </top>
      <bottom style="medium">
        <color auto="1"/>
      </bottom>
      <diagonal/>
    </border>
    <border>
      <left/>
      <right style="medium">
        <color auto="1"/>
      </right>
      <top/>
      <bottom/>
      <diagonal/>
    </border>
    <border>
      <left/>
      <right/>
      <top/>
      <bottom style="medium">
        <color auto="1"/>
      </bottom>
      <diagonal/>
    </border>
    <border>
      <left/>
      <right style="medium">
        <color auto="1"/>
      </right>
      <top/>
      <bottom style="medium">
        <color auto="1"/>
      </bottom>
      <diagonal/>
    </border>
    <border>
      <left/>
      <right style="thin">
        <color indexed="64"/>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top style="medium">
        <color rgb="FF000000"/>
      </top>
      <bottom style="medium">
        <color rgb="FF000000"/>
      </bottom>
      <diagonal/>
    </border>
    <border>
      <left style="thin">
        <color rgb="FF000000"/>
      </left>
      <right style="thin">
        <color rgb="FF000000"/>
      </right>
      <top/>
      <bottom/>
      <diagonal/>
    </border>
    <border>
      <left/>
      <right/>
      <top style="thin">
        <color rgb="FF000000"/>
      </top>
      <bottom/>
      <diagonal/>
    </border>
    <border>
      <left/>
      <right style="thin">
        <color rgb="FF000000"/>
      </right>
      <top/>
      <bottom style="thin">
        <color rgb="FF000000"/>
      </bottom>
      <diagonal/>
    </border>
    <border>
      <left style="hair">
        <color indexed="64"/>
      </left>
      <right style="hair">
        <color indexed="64"/>
      </right>
      <top style="hair">
        <color indexed="64"/>
      </top>
      <bottom style="hair">
        <color indexed="64"/>
      </bottom>
      <diagonal/>
    </border>
    <border>
      <left style="hair">
        <color indexed="64"/>
      </left>
      <right style="dotted">
        <color indexed="64"/>
      </right>
      <top style="hair">
        <color indexed="64"/>
      </top>
      <bottom style="hair">
        <color indexed="64"/>
      </bottom>
      <diagonal/>
    </border>
    <border>
      <left/>
      <right style="thin">
        <color rgb="FF000000"/>
      </right>
      <top/>
      <bottom/>
      <diagonal/>
    </border>
    <border>
      <left/>
      <right style="hair">
        <color indexed="64"/>
      </right>
      <top style="dotted">
        <color rgb="FF000000"/>
      </top>
      <bottom style="hair">
        <color indexed="64"/>
      </bottom>
      <diagonal/>
    </border>
    <border>
      <left/>
      <right style="hair">
        <color indexed="64"/>
      </right>
      <top style="hair">
        <color indexed="64"/>
      </top>
      <bottom style="hair">
        <color indexed="64"/>
      </bottom>
      <diagonal/>
    </border>
    <border>
      <left/>
      <right style="dotted">
        <color rgb="FF000000"/>
      </right>
      <top style="hair">
        <color indexed="64"/>
      </top>
      <bottom style="hair">
        <color indexed="64"/>
      </bottom>
      <diagonal/>
    </border>
    <border>
      <left style="dotted">
        <color indexed="64"/>
      </left>
      <right/>
      <top style="dotted">
        <color indexed="64"/>
      </top>
      <bottom style="dotted">
        <color indexed="64"/>
      </bottom>
      <diagonal/>
    </border>
    <border>
      <left/>
      <right/>
      <top style="dotted">
        <color indexed="64"/>
      </top>
      <bottom style="dotted">
        <color indexed="64"/>
      </bottom>
      <diagonal/>
    </border>
    <border>
      <left/>
      <right style="dotted">
        <color rgb="FF000000"/>
      </right>
      <top style="dotted">
        <color indexed="64"/>
      </top>
      <bottom style="dotted">
        <color indexed="64"/>
      </bottom>
      <diagonal/>
    </border>
    <border>
      <left style="dotted">
        <color indexed="64"/>
      </left>
      <right/>
      <top style="dotted">
        <color indexed="64"/>
      </top>
      <bottom/>
      <diagonal/>
    </border>
    <border>
      <left/>
      <right/>
      <top style="dotted">
        <color indexed="64"/>
      </top>
      <bottom/>
      <diagonal/>
    </border>
    <border>
      <left/>
      <right style="thin">
        <color rgb="FF000000"/>
      </right>
      <top style="dotted">
        <color indexed="64"/>
      </top>
      <bottom/>
      <diagonal/>
    </border>
    <border>
      <left style="dotted">
        <color indexed="64"/>
      </left>
      <right/>
      <top/>
      <bottom style="dotted">
        <color indexed="64"/>
      </bottom>
      <diagonal/>
    </border>
    <border>
      <left/>
      <right style="thin">
        <color rgb="FF000000"/>
      </right>
      <top/>
      <bottom style="dotted">
        <color indexed="64"/>
      </bottom>
      <diagonal/>
    </border>
    <border>
      <left/>
      <right style="dotted">
        <color rgb="FF000000"/>
      </right>
      <top/>
      <bottom style="dotted">
        <color indexed="64"/>
      </bottom>
      <diagonal/>
    </border>
    <border>
      <left style="dotted">
        <color rgb="FF000000"/>
      </left>
      <right/>
      <top style="dotted">
        <color rgb="FF000000"/>
      </top>
      <bottom style="dotted">
        <color rgb="FF000000"/>
      </bottom>
      <diagonal/>
    </border>
    <border>
      <left/>
      <right/>
      <top style="dotted">
        <color rgb="FF000000"/>
      </top>
      <bottom style="dotted">
        <color rgb="FF000000"/>
      </bottom>
      <diagonal/>
    </border>
    <border>
      <left/>
      <right style="thin">
        <color rgb="FF000000"/>
      </right>
      <top style="dotted">
        <color rgb="FF000000"/>
      </top>
      <bottom style="dotted">
        <color rgb="FF000000"/>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indexed="64"/>
      </right>
      <top/>
      <bottom/>
      <diagonal/>
    </border>
    <border>
      <left/>
      <right/>
      <top style="thin">
        <color indexed="64"/>
      </top>
      <bottom/>
      <diagonal/>
    </border>
    <border>
      <left/>
      <right/>
      <top/>
      <bottom style="medium">
        <color rgb="FF000000"/>
      </bottom>
      <diagonal/>
    </border>
    <border>
      <left/>
      <right style="thin">
        <color rgb="FF000000"/>
      </right>
      <top style="dotted">
        <color indexed="64"/>
      </top>
      <bottom style="dotted">
        <color indexed="64"/>
      </bottom>
      <diagonal/>
    </border>
    <border>
      <left/>
      <right style="dotted">
        <color rgb="FF000000"/>
      </right>
      <top style="dotted">
        <color indexed="64"/>
      </top>
      <bottom/>
      <diagonal/>
    </border>
    <border>
      <left/>
      <right style="thin">
        <color rgb="FF000000"/>
      </right>
      <top style="thin">
        <color rgb="FF000000"/>
      </top>
      <bottom/>
      <diagonal/>
    </border>
    <border>
      <left style="thin">
        <color rgb="FF7B1314"/>
      </left>
      <right/>
      <top/>
      <bottom style="dotted">
        <color rgb="FF000000"/>
      </bottom>
      <diagonal/>
    </border>
    <border>
      <left/>
      <right style="thin">
        <color rgb="FF7B1314"/>
      </right>
      <top/>
      <bottom style="dotted">
        <color rgb="FF000000"/>
      </bottom>
      <diagonal/>
    </border>
    <border>
      <left/>
      <right/>
      <top/>
      <bottom style="medium">
        <color theme="0"/>
      </bottom>
      <diagonal/>
    </border>
    <border>
      <left/>
      <right/>
      <top/>
      <bottom style="thin">
        <color theme="0"/>
      </bottom>
      <diagonal/>
    </border>
    <border>
      <left/>
      <right style="thin">
        <color theme="1"/>
      </right>
      <top/>
      <bottom/>
      <diagonal/>
    </border>
    <border>
      <left/>
      <right style="thin">
        <color theme="1"/>
      </right>
      <top/>
      <bottom style="thin">
        <color rgb="FF000000"/>
      </bottom>
      <diagonal/>
    </border>
    <border>
      <left/>
      <right style="dotted">
        <color theme="0"/>
      </right>
      <top/>
      <bottom/>
      <diagonal/>
    </border>
    <border>
      <left/>
      <right style="dotted">
        <color theme="0"/>
      </right>
      <top/>
      <bottom style="thin">
        <color theme="0"/>
      </bottom>
      <diagonal/>
    </border>
    <border>
      <left/>
      <right style="dotted">
        <color theme="0"/>
      </right>
      <top/>
      <bottom style="medium">
        <color theme="0"/>
      </bottom>
      <diagonal/>
    </border>
    <border>
      <left style="dotted">
        <color theme="0"/>
      </left>
      <right/>
      <top/>
      <bottom/>
      <diagonal/>
    </border>
    <border>
      <left style="dotted">
        <color theme="0"/>
      </left>
      <right/>
      <top/>
      <bottom style="thin">
        <color theme="0"/>
      </bottom>
      <diagonal/>
    </border>
    <border>
      <left style="dotted">
        <color theme="0"/>
      </left>
      <right/>
      <top/>
      <bottom style="medium">
        <color theme="0"/>
      </bottom>
      <diagonal/>
    </border>
    <border>
      <left style="dotted">
        <color indexed="64"/>
      </left>
      <right style="dotted">
        <color indexed="64"/>
      </right>
      <top/>
      <bottom/>
      <diagonal/>
    </border>
    <border>
      <left style="thin">
        <color rgb="FF7B1314"/>
      </left>
      <right style="thin">
        <color rgb="FF7B1314"/>
      </right>
      <top/>
      <bottom/>
      <diagonal/>
    </border>
    <border>
      <left/>
      <right/>
      <top/>
      <bottom style="thin">
        <color theme="4"/>
      </bottom>
      <diagonal/>
    </border>
    <border>
      <left/>
      <right style="thin">
        <color theme="4"/>
      </right>
      <top/>
      <bottom style="thin">
        <color theme="4"/>
      </bottom>
      <diagonal/>
    </border>
    <border>
      <left/>
      <right style="thin">
        <color theme="4"/>
      </right>
      <top/>
      <bottom/>
      <diagonal/>
    </border>
    <border>
      <left/>
      <right/>
      <top style="thin">
        <color theme="4"/>
      </top>
      <bottom/>
      <diagonal/>
    </border>
    <border>
      <left/>
      <right style="thin">
        <color theme="4"/>
      </right>
      <top style="thin">
        <color theme="4"/>
      </top>
      <bottom/>
      <diagonal/>
    </border>
    <border>
      <left style="thin">
        <color theme="4"/>
      </left>
      <right/>
      <top style="thin">
        <color theme="4"/>
      </top>
      <bottom/>
      <diagonal/>
    </border>
    <border>
      <left style="thin">
        <color theme="4"/>
      </left>
      <right/>
      <top/>
      <bottom/>
      <diagonal/>
    </border>
    <border>
      <left/>
      <right style="dotted">
        <color indexed="64"/>
      </right>
      <top style="dotted">
        <color indexed="64"/>
      </top>
      <bottom/>
      <diagonal/>
    </border>
    <border>
      <left/>
      <right style="dotted">
        <color indexed="64"/>
      </right>
      <top/>
      <bottom style="dotted">
        <color indexed="64"/>
      </bottom>
      <diagonal/>
    </border>
    <border>
      <left/>
      <right style="medium">
        <color indexed="64"/>
      </right>
      <top style="medium">
        <color auto="1"/>
      </top>
      <bottom/>
      <diagonal/>
    </border>
    <border>
      <left/>
      <right style="thin">
        <color indexed="64"/>
      </right>
      <top/>
      <bottom style="thin">
        <color rgb="FF000000"/>
      </bottom>
      <diagonal/>
    </border>
    <border>
      <left style="thin">
        <color indexed="64"/>
      </left>
      <right style="thin">
        <color indexed="64"/>
      </right>
      <top/>
      <bottom style="thin">
        <color rgb="FF000000"/>
      </bottom>
      <diagonal/>
    </border>
    <border>
      <left style="medium">
        <color indexed="64"/>
      </left>
      <right/>
      <top style="medium">
        <color indexed="64"/>
      </top>
      <bottom/>
      <diagonal/>
    </border>
    <border>
      <left/>
      <right/>
      <top/>
      <bottom style="thin">
        <color theme="0" tint="-0.14999847407452621"/>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hair">
        <color indexed="64"/>
      </top>
      <bottom style="hair">
        <color indexed="64"/>
      </bottom>
      <diagonal/>
    </border>
    <border>
      <left style="thin">
        <color indexed="64"/>
      </left>
      <right/>
      <top/>
      <bottom/>
      <diagonal/>
    </border>
  </borders>
  <cellStyleXfs count="13">
    <xf numFmtId="0" fontId="0" fillId="0" borderId="0"/>
    <xf numFmtId="168" fontId="2" fillId="0" borderId="0" applyFont="0" applyFill="0" applyBorder="0" applyAlignment="0" applyProtection="0"/>
    <xf numFmtId="9" fontId="2" fillId="0" borderId="0" applyFont="0" applyFill="0" applyBorder="0" applyAlignment="0" applyProtection="0"/>
    <xf numFmtId="0" fontId="9" fillId="0" borderId="0" applyNumberFormat="0" applyFill="0" applyBorder="0" applyAlignment="0" applyProtection="0"/>
    <xf numFmtId="9" fontId="14" fillId="0" borderId="0" applyFont="0" applyFill="0" applyBorder="0" applyAlignment="0" applyProtection="0"/>
    <xf numFmtId="0" fontId="14" fillId="0" borderId="0"/>
    <xf numFmtId="0" fontId="14" fillId="0" borderId="0"/>
    <xf numFmtId="9" fontId="1" fillId="0" borderId="0" applyFont="0" applyFill="0" applyBorder="0" applyAlignment="0" applyProtection="0"/>
    <xf numFmtId="0" fontId="1" fillId="0" borderId="0"/>
    <xf numFmtId="165" fontId="2" fillId="0" borderId="0" applyFont="0" applyFill="0" applyBorder="0" applyAlignment="0" applyProtection="0"/>
    <xf numFmtId="0" fontId="1" fillId="0" borderId="0"/>
    <xf numFmtId="0" fontId="45" fillId="7" borderId="43">
      <alignment horizontal="right"/>
    </xf>
    <xf numFmtId="0" fontId="71" fillId="7" borderId="0"/>
  </cellStyleXfs>
  <cellXfs count="985">
    <xf numFmtId="0" fontId="0" fillId="0" borderId="0" xfId="0"/>
    <xf numFmtId="0" fontId="3" fillId="0" borderId="0" xfId="0" applyFont="1"/>
    <xf numFmtId="0" fontId="4" fillId="2" borderId="0" xfId="0" applyFont="1" applyFill="1"/>
    <xf numFmtId="0" fontId="5" fillId="2" borderId="0" xfId="0" applyFont="1" applyFill="1"/>
    <xf numFmtId="166" fontId="4" fillId="2" borderId="0" xfId="0" applyNumberFormat="1" applyFont="1" applyFill="1"/>
    <xf numFmtId="167" fontId="4" fillId="2" borderId="0" xfId="0" applyNumberFormat="1" applyFont="1" applyFill="1"/>
    <xf numFmtId="0" fontId="0" fillId="0" borderId="0" xfId="0" applyAlignment="1">
      <alignment horizontal="center"/>
    </xf>
    <xf numFmtId="0" fontId="6" fillId="2" borderId="0" xfId="0" applyFont="1" applyFill="1" applyAlignment="1">
      <alignment horizontal="left"/>
    </xf>
    <xf numFmtId="0" fontId="0" fillId="0" borderId="0" xfId="0" applyAlignment="1">
      <alignment horizontal="left"/>
    </xf>
    <xf numFmtId="166" fontId="4" fillId="2" borderId="1" xfId="0" applyNumberFormat="1" applyFont="1" applyFill="1" applyBorder="1"/>
    <xf numFmtId="0" fontId="10" fillId="0" borderId="0" xfId="0" applyFont="1"/>
    <xf numFmtId="0" fontId="11" fillId="0" borderId="0" xfId="0" applyFont="1"/>
    <xf numFmtId="3" fontId="11" fillId="0" borderId="0" xfId="1" applyNumberFormat="1" applyFont="1" applyBorder="1" applyAlignment="1">
      <alignment horizontal="right"/>
    </xf>
    <xf numFmtId="3" fontId="11" fillId="0" borderId="2" xfId="1" applyNumberFormat="1" applyFont="1" applyBorder="1" applyAlignment="1">
      <alignment horizontal="right"/>
    </xf>
    <xf numFmtId="3" fontId="11" fillId="3" borderId="0" xfId="1" applyNumberFormat="1" applyFont="1" applyFill="1" applyAlignment="1">
      <alignment horizontal="right"/>
    </xf>
    <xf numFmtId="0" fontId="12" fillId="0" borderId="0" xfId="0" applyFont="1" applyAlignment="1">
      <alignment horizontal="left"/>
    </xf>
    <xf numFmtId="169" fontId="0" fillId="0" borderId="0" xfId="1" applyNumberFormat="1" applyFont="1" applyAlignment="1">
      <alignment horizontal="right"/>
    </xf>
    <xf numFmtId="10" fontId="0" fillId="0" borderId="0" xfId="2" applyNumberFormat="1" applyFont="1"/>
    <xf numFmtId="3" fontId="13" fillId="0" borderId="0" xfId="0" applyNumberFormat="1" applyFont="1" applyAlignment="1">
      <alignment horizontal="left"/>
    </xf>
    <xf numFmtId="4" fontId="11" fillId="0" borderId="0" xfId="1" applyNumberFormat="1" applyFont="1" applyBorder="1" applyAlignment="1">
      <alignment horizontal="right"/>
    </xf>
    <xf numFmtId="4" fontId="11" fillId="0" borderId="2" xfId="1" applyNumberFormat="1" applyFont="1" applyBorder="1" applyAlignment="1">
      <alignment horizontal="right"/>
    </xf>
    <xf numFmtId="4" fontId="11" fillId="3" borderId="0" xfId="1" applyNumberFormat="1" applyFont="1" applyFill="1" applyAlignment="1">
      <alignment horizontal="right"/>
    </xf>
    <xf numFmtId="171" fontId="12" fillId="0" borderId="0" xfId="4" applyNumberFormat="1" applyFont="1" applyAlignment="1">
      <alignment horizontal="left"/>
    </xf>
    <xf numFmtId="0" fontId="3" fillId="0" borderId="0" xfId="0" applyFont="1" applyAlignment="1">
      <alignment horizontal="left" indent="1"/>
    </xf>
    <xf numFmtId="0" fontId="3" fillId="0" borderId="0" xfId="0" applyFont="1" applyAlignment="1">
      <alignment horizontal="right"/>
    </xf>
    <xf numFmtId="0" fontId="0" fillId="0" borderId="0" xfId="0" applyAlignment="1">
      <alignment horizontal="left" indent="1"/>
    </xf>
    <xf numFmtId="0" fontId="0" fillId="0" borderId="0" xfId="0" applyAlignment="1">
      <alignment horizontal="right"/>
    </xf>
    <xf numFmtId="3" fontId="0" fillId="0" borderId="0" xfId="0" applyNumberFormat="1"/>
    <xf numFmtId="0" fontId="4" fillId="2" borderId="4" xfId="0" applyFont="1" applyFill="1" applyBorder="1" applyAlignment="1">
      <alignment horizontal="center"/>
    </xf>
    <xf numFmtId="166" fontId="16" fillId="0" borderId="4" xfId="0" applyNumberFormat="1" applyFont="1" applyBorder="1" applyAlignment="1">
      <alignment horizontal="center"/>
    </xf>
    <xf numFmtId="167" fontId="16" fillId="3" borderId="4" xfId="0" applyNumberFormat="1" applyFont="1" applyFill="1" applyBorder="1" applyAlignment="1">
      <alignment horizontal="center"/>
    </xf>
    <xf numFmtId="171" fontId="12" fillId="4" borderId="0" xfId="4" applyNumberFormat="1" applyFont="1" applyFill="1" applyAlignment="1">
      <alignment horizontal="left"/>
    </xf>
    <xf numFmtId="10" fontId="0" fillId="0" borderId="0" xfId="0" applyNumberFormat="1"/>
    <xf numFmtId="0" fontId="13" fillId="0" borderId="0" xfId="0" applyFont="1" applyAlignment="1">
      <alignment horizontal="left"/>
    </xf>
    <xf numFmtId="164" fontId="0" fillId="0" borderId="0" xfId="0" applyNumberFormat="1"/>
    <xf numFmtId="0" fontId="0" fillId="0" borderId="0" xfId="0" applyAlignment="1">
      <alignment indent="1"/>
    </xf>
    <xf numFmtId="0" fontId="0" fillId="0" borderId="8" xfId="0" applyBorder="1" applyAlignment="1">
      <alignment horizontal="left" indent="1"/>
    </xf>
    <xf numFmtId="0" fontId="0" fillId="0" borderId="9" xfId="0" applyBorder="1"/>
    <xf numFmtId="0" fontId="0" fillId="0" borderId="8" xfId="0" applyBorder="1"/>
    <xf numFmtId="1" fontId="0" fillId="0" borderId="0" xfId="0" applyNumberFormat="1"/>
    <xf numFmtId="0" fontId="18" fillId="0" borderId="9" xfId="0" applyFont="1" applyBorder="1"/>
    <xf numFmtId="0" fontId="13" fillId="0" borderId="9" xfId="0" applyFont="1" applyBorder="1"/>
    <xf numFmtId="0" fontId="13" fillId="0" borderId="9" xfId="0" applyFont="1" applyBorder="1" applyAlignment="1">
      <alignment horizontal="center"/>
    </xf>
    <xf numFmtId="0" fontId="19" fillId="0" borderId="0" xfId="5" applyFont="1" applyAlignment="1">
      <alignment vertical="center"/>
    </xf>
    <xf numFmtId="0" fontId="14" fillId="0" borderId="0" xfId="5" applyAlignment="1">
      <alignment vertical="center"/>
    </xf>
    <xf numFmtId="0" fontId="0" fillId="0" borderId="11" xfId="0" applyBorder="1" applyAlignment="1">
      <alignment horizontal="left" indent="1"/>
    </xf>
    <xf numFmtId="14" fontId="3" fillId="0" borderId="11" xfId="0" applyNumberFormat="1" applyFont="1" applyBorder="1"/>
    <xf numFmtId="0" fontId="3" fillId="0" borderId="11" xfId="0" applyFont="1" applyBorder="1" applyAlignment="1">
      <alignment horizontal="left" indent="1"/>
    </xf>
    <xf numFmtId="14" fontId="0" fillId="0" borderId="11" xfId="0" applyNumberFormat="1" applyBorder="1"/>
    <xf numFmtId="0" fontId="6" fillId="2" borderId="0" xfId="0" applyFont="1" applyFill="1"/>
    <xf numFmtId="0" fontId="13" fillId="6" borderId="0" xfId="0" applyFont="1" applyFill="1"/>
    <xf numFmtId="0" fontId="14" fillId="0" borderId="3" xfId="5" applyBorder="1" applyAlignment="1">
      <alignment vertical="center"/>
    </xf>
    <xf numFmtId="0" fontId="19" fillId="0" borderId="3" xfId="5" applyFont="1" applyBorder="1" applyAlignment="1">
      <alignment vertical="center"/>
    </xf>
    <xf numFmtId="0" fontId="20" fillId="2" borderId="0" xfId="0" applyFont="1" applyFill="1"/>
    <xf numFmtId="1" fontId="6" fillId="2" borderId="0" xfId="0" applyNumberFormat="1" applyFont="1" applyFill="1"/>
    <xf numFmtId="1" fontId="6" fillId="2" borderId="0" xfId="0" applyNumberFormat="1" applyFont="1" applyFill="1" applyAlignment="1">
      <alignment horizontal="center"/>
    </xf>
    <xf numFmtId="1" fontId="21" fillId="2" borderId="0" xfId="0" applyNumberFormat="1" applyFont="1" applyFill="1"/>
    <xf numFmtId="0" fontId="13" fillId="6" borderId="0" xfId="0" applyFont="1" applyFill="1" applyAlignment="1">
      <alignment horizontal="center"/>
    </xf>
    <xf numFmtId="0" fontId="9" fillId="0" borderId="0" xfId="3"/>
    <xf numFmtId="10" fontId="0" fillId="3" borderId="0" xfId="2" applyNumberFormat="1" applyFont="1" applyFill="1"/>
    <xf numFmtId="2" fontId="0" fillId="3" borderId="0" xfId="2" applyNumberFormat="1" applyFont="1" applyFill="1"/>
    <xf numFmtId="10" fontId="0" fillId="0" borderId="0" xfId="2" applyNumberFormat="1" applyFont="1" applyAlignment="1">
      <alignment horizontal="center"/>
    </xf>
    <xf numFmtId="171" fontId="0" fillId="0" borderId="0" xfId="2" applyNumberFormat="1" applyFont="1"/>
    <xf numFmtId="10" fontId="3" fillId="0" borderId="0" xfId="2" applyNumberFormat="1" applyFont="1" applyFill="1"/>
    <xf numFmtId="10" fontId="3" fillId="0" borderId="0" xfId="2" applyNumberFormat="1" applyFont="1" applyAlignment="1">
      <alignment horizontal="center"/>
    </xf>
    <xf numFmtId="171" fontId="3" fillId="0" borderId="0" xfId="2" applyNumberFormat="1" applyFont="1"/>
    <xf numFmtId="0" fontId="22" fillId="5" borderId="0" xfId="0" applyFont="1" applyFill="1"/>
    <xf numFmtId="0" fontId="13" fillId="5" borderId="0" xfId="0" applyFont="1" applyFill="1"/>
    <xf numFmtId="0" fontId="13" fillId="2" borderId="0" xfId="0" applyFont="1" applyFill="1"/>
    <xf numFmtId="0" fontId="0" fillId="0" borderId="0" xfId="0" applyAlignment="1">
      <alignment horizontal="left" vertical="center"/>
    </xf>
    <xf numFmtId="37" fontId="0" fillId="0" borderId="0" xfId="0" applyNumberFormat="1"/>
    <xf numFmtId="1" fontId="23" fillId="2" borderId="0" xfId="0" applyNumberFormat="1" applyFont="1" applyFill="1" applyAlignment="1">
      <alignment horizontal="center"/>
    </xf>
    <xf numFmtId="1" fontId="24" fillId="2" borderId="0" xfId="0" applyNumberFormat="1" applyFont="1" applyFill="1"/>
    <xf numFmtId="0" fontId="3" fillId="0" borderId="8" xfId="0" applyFont="1" applyBorder="1"/>
    <xf numFmtId="0" fontId="3" fillId="4" borderId="8" xfId="0" applyFont="1" applyFill="1" applyBorder="1"/>
    <xf numFmtId="9" fontId="3" fillId="0" borderId="8" xfId="0" applyNumberFormat="1" applyFont="1" applyBorder="1" applyAlignment="1">
      <alignment horizontal="center"/>
    </xf>
    <xf numFmtId="0" fontId="0" fillId="4" borderId="0" xfId="0" applyFill="1"/>
    <xf numFmtId="3" fontId="0" fillId="3" borderId="0" xfId="0" applyNumberFormat="1" applyFill="1" applyAlignment="1">
      <alignment horizontal="center"/>
    </xf>
    <xf numFmtId="9" fontId="0" fillId="0" borderId="0" xfId="0" applyNumberFormat="1" applyAlignment="1">
      <alignment horizontal="center"/>
    </xf>
    <xf numFmtId="10" fontId="0" fillId="0" borderId="0" xfId="0" applyNumberFormat="1" applyAlignment="1">
      <alignment horizontal="center"/>
    </xf>
    <xf numFmtId="0" fontId="0" fillId="4" borderId="8" xfId="0" quotePrefix="1" applyFill="1" applyBorder="1"/>
    <xf numFmtId="3" fontId="0" fillId="0" borderId="8" xfId="0" applyNumberFormat="1" applyBorder="1" applyAlignment="1">
      <alignment horizontal="center"/>
    </xf>
    <xf numFmtId="9" fontId="0" fillId="0" borderId="8" xfId="0" applyNumberFormat="1" applyBorder="1" applyAlignment="1">
      <alignment horizontal="center"/>
    </xf>
    <xf numFmtId="0" fontId="0" fillId="0" borderId="0" xfId="0" quotePrefix="1"/>
    <xf numFmtId="9" fontId="3" fillId="0" borderId="0" xfId="0" applyNumberFormat="1" applyFont="1" applyAlignment="1">
      <alignment horizontal="center"/>
    </xf>
    <xf numFmtId="0" fontId="25" fillId="0" borderId="0" xfId="0" applyFont="1"/>
    <xf numFmtId="0" fontId="3" fillId="0" borderId="0" xfId="0" applyFont="1" applyAlignment="1">
      <alignment horizontal="center"/>
    </xf>
    <xf numFmtId="0" fontId="0" fillId="3" borderId="0" xfId="0" applyFill="1" applyAlignment="1">
      <alignment horizontal="center"/>
    </xf>
    <xf numFmtId="37" fontId="28" fillId="3" borderId="0" xfId="0" applyNumberFormat="1" applyFont="1" applyFill="1" applyAlignment="1">
      <alignment horizontal="center" vertical="center"/>
    </xf>
    <xf numFmtId="9" fontId="0" fillId="0" borderId="0" xfId="2" applyFont="1"/>
    <xf numFmtId="37" fontId="0" fillId="3" borderId="0" xfId="0" applyNumberFormat="1" applyFill="1"/>
    <xf numFmtId="171" fontId="3" fillId="0" borderId="0" xfId="2" applyNumberFormat="1" applyFont="1" applyFill="1"/>
    <xf numFmtId="37" fontId="3" fillId="0" borderId="0" xfId="0" applyNumberFormat="1" applyFont="1"/>
    <xf numFmtId="9" fontId="0" fillId="0" borderId="0" xfId="0" applyNumberFormat="1"/>
    <xf numFmtId="9" fontId="0" fillId="0" borderId="0" xfId="2" applyFont="1" applyFill="1"/>
    <xf numFmtId="0" fontId="22" fillId="5" borderId="0" xfId="0" applyFont="1" applyFill="1" applyAlignment="1">
      <alignment horizontal="center"/>
    </xf>
    <xf numFmtId="0" fontId="13" fillId="5" borderId="0" xfId="0" applyFont="1" applyFill="1" applyAlignment="1">
      <alignment horizontal="center"/>
    </xf>
    <xf numFmtId="0" fontId="13" fillId="2" borderId="0" xfId="0" applyFont="1" applyFill="1" applyAlignment="1">
      <alignment horizontal="center"/>
    </xf>
    <xf numFmtId="10" fontId="0" fillId="0" borderId="0" xfId="2" applyNumberFormat="1" applyFont="1" applyFill="1" applyAlignment="1">
      <alignment horizontal="center"/>
    </xf>
    <xf numFmtId="1" fontId="6" fillId="2" borderId="4" xfId="0" applyNumberFormat="1" applyFont="1" applyFill="1" applyBorder="1"/>
    <xf numFmtId="167" fontId="6" fillId="2" borderId="0" xfId="0" applyNumberFormat="1" applyFont="1" applyFill="1"/>
    <xf numFmtId="0" fontId="13" fillId="6" borderId="4" xfId="0" applyFont="1" applyFill="1" applyBorder="1"/>
    <xf numFmtId="37" fontId="0" fillId="3" borderId="17" xfId="0" applyNumberFormat="1" applyFill="1" applyBorder="1"/>
    <xf numFmtId="1" fontId="0" fillId="0" borderId="0" xfId="2" applyNumberFormat="1" applyFont="1" applyAlignment="1">
      <alignment horizontal="right"/>
    </xf>
    <xf numFmtId="171" fontId="0" fillId="0" borderId="0" xfId="2" applyNumberFormat="1" applyFont="1" applyFill="1"/>
    <xf numFmtId="171" fontId="0" fillId="0" borderId="0" xfId="2" applyNumberFormat="1" applyFont="1" applyBorder="1"/>
    <xf numFmtId="171" fontId="0" fillId="0" borderId="4" xfId="2" applyNumberFormat="1" applyFont="1" applyFill="1" applyBorder="1"/>
    <xf numFmtId="171" fontId="0" fillId="3" borderId="0" xfId="2" applyNumberFormat="1" applyFont="1" applyFill="1"/>
    <xf numFmtId="171" fontId="0" fillId="0" borderId="17" xfId="2" applyNumberFormat="1" applyFont="1" applyBorder="1"/>
    <xf numFmtId="37" fontId="0" fillId="3" borderId="4" xfId="0" applyNumberFormat="1" applyFill="1" applyBorder="1"/>
    <xf numFmtId="37" fontId="3" fillId="0" borderId="4" xfId="0" applyNumberFormat="1" applyFont="1" applyBorder="1"/>
    <xf numFmtId="0" fontId="0" fillId="0" borderId="0" xfId="0" applyAlignment="1">
      <alignment vertical="center"/>
    </xf>
    <xf numFmtId="0" fontId="0" fillId="2" borderId="0" xfId="0" applyFill="1"/>
    <xf numFmtId="0" fontId="5" fillId="2" borderId="0" xfId="0" applyFont="1" applyFill="1" applyAlignment="1">
      <alignment horizontal="right"/>
    </xf>
    <xf numFmtId="0" fontId="4" fillId="6" borderId="0" xfId="0" applyFont="1" applyFill="1"/>
    <xf numFmtId="0" fontId="5" fillId="6" borderId="0" xfId="0" applyFont="1" applyFill="1"/>
    <xf numFmtId="0" fontId="0" fillId="6" borderId="0" xfId="0" applyFill="1"/>
    <xf numFmtId="0" fontId="5" fillId="6" borderId="0" xfId="0" applyFont="1" applyFill="1" applyAlignment="1">
      <alignment horizontal="right"/>
    </xf>
    <xf numFmtId="0" fontId="5" fillId="5" borderId="0" xfId="0" applyFont="1" applyFill="1" applyAlignment="1">
      <alignment horizontal="right"/>
    </xf>
    <xf numFmtId="0" fontId="7" fillId="0" borderId="0" xfId="0" applyFont="1"/>
    <xf numFmtId="176" fontId="0" fillId="0" borderId="0" xfId="9" applyNumberFormat="1" applyFont="1" applyFill="1" applyAlignment="1">
      <alignment horizontal="right"/>
    </xf>
    <xf numFmtId="10" fontId="28" fillId="4" borderId="0" xfId="0" applyNumberFormat="1" applyFont="1" applyFill="1"/>
    <xf numFmtId="10" fontId="32" fillId="3" borderId="0" xfId="0" applyNumberFormat="1" applyFont="1" applyFill="1"/>
    <xf numFmtId="10" fontId="0" fillId="3" borderId="24" xfId="2" applyNumberFormat="1" applyFont="1" applyFill="1" applyBorder="1"/>
    <xf numFmtId="2" fontId="0" fillId="0" borderId="0" xfId="0" applyNumberFormat="1"/>
    <xf numFmtId="3" fontId="0" fillId="3" borderId="24" xfId="0" applyNumberFormat="1" applyFill="1" applyBorder="1"/>
    <xf numFmtId="10" fontId="3" fillId="0" borderId="0" xfId="2" applyNumberFormat="1" applyFont="1"/>
    <xf numFmtId="0" fontId="13" fillId="0" borderId="0" xfId="0" applyFont="1"/>
    <xf numFmtId="0" fontId="20" fillId="0" borderId="0" xfId="0" applyFont="1"/>
    <xf numFmtId="0" fontId="6" fillId="6" borderId="0" xfId="0" applyFont="1" applyFill="1"/>
    <xf numFmtId="0" fontId="20" fillId="6" borderId="0" xfId="0" applyFont="1" applyFill="1"/>
    <xf numFmtId="0" fontId="34" fillId="0" borderId="0" xfId="0" applyFont="1"/>
    <xf numFmtId="0" fontId="12" fillId="0" borderId="0" xfId="0" applyFont="1"/>
    <xf numFmtId="0" fontId="13" fillId="0" borderId="0" xfId="0" applyFont="1" applyAlignment="1">
      <alignment wrapText="1"/>
    </xf>
    <xf numFmtId="10" fontId="13" fillId="0" borderId="0" xfId="0" applyNumberFormat="1" applyFont="1"/>
    <xf numFmtId="9" fontId="12" fillId="0" borderId="0" xfId="2" applyFont="1"/>
    <xf numFmtId="10" fontId="12" fillId="0" borderId="0" xfId="2" applyNumberFormat="1" applyFont="1" applyFill="1" applyBorder="1" applyAlignment="1">
      <alignment horizontal="center"/>
    </xf>
    <xf numFmtId="164" fontId="12" fillId="0" borderId="0" xfId="0" applyNumberFormat="1" applyFont="1"/>
    <xf numFmtId="166" fontId="6" fillId="2" borderId="0" xfId="0" applyNumberFormat="1" applyFont="1" applyFill="1"/>
    <xf numFmtId="166" fontId="6" fillId="2" borderId="26" xfId="0" applyNumberFormat="1" applyFont="1" applyFill="1" applyBorder="1"/>
    <xf numFmtId="0" fontId="13" fillId="5" borderId="26" xfId="0" applyFont="1" applyFill="1" applyBorder="1"/>
    <xf numFmtId="3" fontId="37" fillId="0" borderId="0" xfId="0" applyNumberFormat="1" applyFont="1"/>
    <xf numFmtId="3" fontId="12" fillId="0" borderId="0" xfId="0" applyNumberFormat="1" applyFont="1"/>
    <xf numFmtId="0" fontId="39" fillId="0" borderId="0" xfId="0" applyFont="1"/>
    <xf numFmtId="171" fontId="35" fillId="5" borderId="0" xfId="0" applyNumberFormat="1" applyFont="1" applyFill="1"/>
    <xf numFmtId="3" fontId="13" fillId="0" borderId="0" xfId="0" applyNumberFormat="1" applyFont="1"/>
    <xf numFmtId="0" fontId="40" fillId="0" borderId="0" xfId="0" applyFont="1"/>
    <xf numFmtId="0" fontId="13" fillId="0" borderId="26" xfId="0" applyFont="1" applyBorder="1"/>
    <xf numFmtId="0" fontId="41" fillId="0" borderId="0" xfId="0" applyFont="1"/>
    <xf numFmtId="173" fontId="37" fillId="0" borderId="0" xfId="1" applyNumberFormat="1" applyFont="1" applyFill="1"/>
    <xf numFmtId="173" fontId="12" fillId="0" borderId="0" xfId="1" applyNumberFormat="1" applyFont="1" applyFill="1"/>
    <xf numFmtId="0" fontId="42" fillId="0" borderId="0" xfId="0" applyFont="1"/>
    <xf numFmtId="171" fontId="12" fillId="0" borderId="0" xfId="2" applyNumberFormat="1" applyFont="1" applyFill="1"/>
    <xf numFmtId="171" fontId="13" fillId="0" borderId="0" xfId="2" applyNumberFormat="1" applyFont="1" applyFill="1"/>
    <xf numFmtId="171" fontId="13" fillId="0" borderId="17" xfId="2" applyNumberFormat="1" applyFont="1" applyFill="1" applyBorder="1"/>
    <xf numFmtId="171" fontId="12" fillId="0" borderId="0" xfId="2" applyNumberFormat="1" applyFont="1" applyFill="1" applyBorder="1"/>
    <xf numFmtId="173" fontId="12" fillId="0" borderId="0" xfId="1" applyNumberFormat="1" applyFont="1" applyFill="1" applyBorder="1"/>
    <xf numFmtId="0" fontId="13" fillId="0" borderId="17" xfId="0" applyFont="1" applyBorder="1"/>
    <xf numFmtId="9" fontId="12" fillId="0" borderId="0" xfId="2" applyFont="1" applyFill="1" applyBorder="1"/>
    <xf numFmtId="171" fontId="35" fillId="0" borderId="0" xfId="2" applyNumberFormat="1" applyFont="1" applyFill="1"/>
    <xf numFmtId="37" fontId="12" fillId="0" borderId="0" xfId="1" applyNumberFormat="1" applyFont="1" applyFill="1" applyAlignment="1">
      <alignment wrapText="1"/>
    </xf>
    <xf numFmtId="171" fontId="13" fillId="0" borderId="26" xfId="2" applyNumberFormat="1" applyFont="1" applyFill="1" applyBorder="1"/>
    <xf numFmtId="166" fontId="6" fillId="2" borderId="17" xfId="0" applyNumberFormat="1" applyFont="1" applyFill="1" applyBorder="1"/>
    <xf numFmtId="0" fontId="42" fillId="6" borderId="0" xfId="0" applyFont="1" applyFill="1"/>
    <xf numFmtId="0" fontId="13" fillId="6" borderId="17" xfId="0" applyFont="1" applyFill="1" applyBorder="1"/>
    <xf numFmtId="37" fontId="37" fillId="0" borderId="0" xfId="1" applyNumberFormat="1" applyFont="1" applyFill="1" applyAlignment="1">
      <alignment wrapText="1"/>
    </xf>
    <xf numFmtId="37" fontId="37" fillId="0" borderId="17" xfId="1" applyNumberFormat="1" applyFont="1" applyFill="1" applyBorder="1"/>
    <xf numFmtId="173" fontId="13" fillId="0" borderId="0" xfId="0" applyNumberFormat="1" applyFont="1"/>
    <xf numFmtId="3" fontId="35" fillId="0" borderId="0" xfId="0" applyNumberFormat="1" applyFont="1"/>
    <xf numFmtId="3" fontId="35" fillId="0" borderId="17" xfId="0" applyNumberFormat="1" applyFont="1" applyBorder="1"/>
    <xf numFmtId="171" fontId="12" fillId="0" borderId="0" xfId="0" applyNumberFormat="1" applyFont="1"/>
    <xf numFmtId="0" fontId="37" fillId="6" borderId="0" xfId="0" applyFont="1" applyFill="1"/>
    <xf numFmtId="0" fontId="37" fillId="6" borderId="17" xfId="0" applyFont="1" applyFill="1" applyBorder="1"/>
    <xf numFmtId="173" fontId="36" fillId="0" borderId="0" xfId="1" applyNumberFormat="1" applyFont="1" applyFill="1"/>
    <xf numFmtId="173" fontId="12" fillId="0" borderId="17" xfId="1" applyNumberFormat="1" applyFont="1" applyFill="1" applyBorder="1"/>
    <xf numFmtId="173" fontId="13" fillId="0" borderId="0" xfId="1" applyNumberFormat="1" applyFont="1" applyFill="1"/>
    <xf numFmtId="171" fontId="13" fillId="0" borderId="0" xfId="2" applyNumberFormat="1" applyFont="1"/>
    <xf numFmtId="0" fontId="13" fillId="0" borderId="30" xfId="0" applyFont="1" applyBorder="1"/>
    <xf numFmtId="0" fontId="13" fillId="0" borderId="31" xfId="0" applyFont="1" applyBorder="1"/>
    <xf numFmtId="173" fontId="13" fillId="0" borderId="31" xfId="0" applyNumberFormat="1" applyFont="1" applyBorder="1"/>
    <xf numFmtId="173" fontId="13" fillId="0" borderId="0" xfId="1" applyNumberFormat="1" applyFont="1" applyFill="1" applyBorder="1"/>
    <xf numFmtId="173" fontId="12" fillId="0" borderId="26" xfId="1" applyNumberFormat="1" applyFont="1" applyFill="1" applyBorder="1"/>
    <xf numFmtId="0" fontId="13" fillId="0" borderId="33" xfId="0" applyFont="1" applyBorder="1"/>
    <xf numFmtId="0" fontId="13" fillId="0" borderId="34" xfId="0" applyFont="1" applyBorder="1"/>
    <xf numFmtId="173" fontId="13" fillId="0" borderId="34" xfId="0" applyNumberFormat="1" applyFont="1" applyBorder="1"/>
    <xf numFmtId="173" fontId="13" fillId="0" borderId="35" xfId="0" applyNumberFormat="1" applyFont="1" applyBorder="1"/>
    <xf numFmtId="0" fontId="13" fillId="0" borderId="36" xfId="0" applyFont="1" applyBorder="1"/>
    <xf numFmtId="0" fontId="13" fillId="0" borderId="7" xfId="0" applyFont="1" applyBorder="1"/>
    <xf numFmtId="0" fontId="13" fillId="0" borderId="37" xfId="0" applyFont="1" applyBorder="1"/>
    <xf numFmtId="173" fontId="13" fillId="0" borderId="7" xfId="0" applyNumberFormat="1" applyFont="1" applyBorder="1"/>
    <xf numFmtId="173" fontId="13" fillId="0" borderId="38" xfId="0" applyNumberFormat="1" applyFont="1" applyBorder="1"/>
    <xf numFmtId="2" fontId="13" fillId="0" borderId="0" xfId="0" applyNumberFormat="1" applyFont="1"/>
    <xf numFmtId="14" fontId="20" fillId="0" borderId="0" xfId="0" applyNumberFormat="1" applyFont="1"/>
    <xf numFmtId="0" fontId="20" fillId="0" borderId="26" xfId="0" applyFont="1" applyBorder="1"/>
    <xf numFmtId="173" fontId="36" fillId="0" borderId="0" xfId="1" applyNumberFormat="1" applyFont="1"/>
    <xf numFmtId="14" fontId="13" fillId="0" borderId="0" xfId="0" applyNumberFormat="1" applyFont="1"/>
    <xf numFmtId="173" fontId="13" fillId="0" borderId="0" xfId="1" applyNumberFormat="1" applyFont="1"/>
    <xf numFmtId="0" fontId="36" fillId="0" borderId="0" xfId="0" applyFont="1"/>
    <xf numFmtId="0" fontId="32" fillId="0" borderId="0" xfId="0" applyFont="1"/>
    <xf numFmtId="173" fontId="13" fillId="4" borderId="0" xfId="0" applyNumberFormat="1" applyFont="1" applyFill="1"/>
    <xf numFmtId="164" fontId="13" fillId="0" borderId="0" xfId="0" applyNumberFormat="1" applyFont="1"/>
    <xf numFmtId="177" fontId="13" fillId="0" borderId="0" xfId="0" applyNumberFormat="1" applyFont="1"/>
    <xf numFmtId="0" fontId="41" fillId="0" borderId="26" xfId="0" applyFont="1" applyBorder="1"/>
    <xf numFmtId="10" fontId="41" fillId="0" borderId="0" xfId="0" applyNumberFormat="1" applyFont="1"/>
    <xf numFmtId="0" fontId="13" fillId="6" borderId="26" xfId="0" applyFont="1" applyFill="1" applyBorder="1"/>
    <xf numFmtId="173" fontId="13" fillId="0" borderId="26" xfId="0" applyNumberFormat="1" applyFont="1" applyBorder="1"/>
    <xf numFmtId="37" fontId="13" fillId="0" borderId="0" xfId="0" applyNumberFormat="1" applyFont="1"/>
    <xf numFmtId="37" fontId="13" fillId="0" borderId="26" xfId="0" applyNumberFormat="1" applyFont="1" applyBorder="1"/>
    <xf numFmtId="9" fontId="13" fillId="0" borderId="0" xfId="0" applyNumberFormat="1" applyFont="1"/>
    <xf numFmtId="9" fontId="13" fillId="0" borderId="26" xfId="0" applyNumberFormat="1" applyFont="1" applyBorder="1"/>
    <xf numFmtId="9" fontId="35" fillId="0" borderId="0" xfId="0" applyNumberFormat="1" applyFont="1"/>
    <xf numFmtId="173" fontId="13" fillId="0" borderId="0" xfId="0" applyNumberFormat="1" applyFont="1" applyAlignment="1">
      <alignment horizontal="left"/>
    </xf>
    <xf numFmtId="0" fontId="13" fillId="0" borderId="39" xfId="0" applyFont="1" applyBorder="1"/>
    <xf numFmtId="0" fontId="13" fillId="0" borderId="40" xfId="0" applyFont="1" applyBorder="1"/>
    <xf numFmtId="0" fontId="13" fillId="0" borderId="41" xfId="0" applyFont="1" applyBorder="1"/>
    <xf numFmtId="173" fontId="13" fillId="0" borderId="40" xfId="0" applyNumberFormat="1" applyFont="1" applyBorder="1"/>
    <xf numFmtId="9" fontId="41" fillId="0" borderId="0" xfId="0" applyNumberFormat="1" applyFont="1"/>
    <xf numFmtId="0" fontId="13" fillId="0" borderId="9" xfId="0" applyFont="1" applyBorder="1" applyAlignment="1">
      <alignment horizontal="right"/>
    </xf>
    <xf numFmtId="0" fontId="23" fillId="2" borderId="0" xfId="0" applyFont="1" applyFill="1"/>
    <xf numFmtId="1" fontId="6" fillId="2" borderId="0" xfId="0" applyNumberFormat="1" applyFont="1" applyFill="1" applyAlignment="1">
      <alignment horizontal="right"/>
    </xf>
    <xf numFmtId="0" fontId="13" fillId="6" borderId="0" xfId="0" applyFont="1" applyFill="1" applyAlignment="1">
      <alignment horizontal="right"/>
    </xf>
    <xf numFmtId="9" fontId="13" fillId="6" borderId="0" xfId="2" applyFont="1" applyFill="1" applyBorder="1"/>
    <xf numFmtId="9" fontId="13" fillId="6" borderId="0" xfId="2" applyFont="1" applyFill="1" applyBorder="1" applyAlignment="1">
      <alignment horizontal="right"/>
    </xf>
    <xf numFmtId="0" fontId="3" fillId="0" borderId="20" xfId="0" applyFont="1" applyBorder="1"/>
    <xf numFmtId="37" fontId="0" fillId="0" borderId="0" xfId="0" applyNumberFormat="1" applyAlignment="1">
      <alignment horizontal="right"/>
    </xf>
    <xf numFmtId="0" fontId="32" fillId="3" borderId="0" xfId="0" applyFont="1" applyFill="1" applyAlignment="1">
      <alignment horizontal="right"/>
    </xf>
    <xf numFmtId="173" fontId="0" fillId="0" borderId="0" xfId="0" applyNumberFormat="1" applyAlignment="1">
      <alignment horizontal="right"/>
    </xf>
    <xf numFmtId="0" fontId="6" fillId="2" borderId="0" xfId="0" applyFont="1" applyFill="1" applyAlignment="1">
      <alignment horizontal="right"/>
    </xf>
    <xf numFmtId="0" fontId="13" fillId="0" borderId="0" xfId="0" applyFont="1" applyAlignment="1">
      <alignment horizontal="center"/>
    </xf>
    <xf numFmtId="0" fontId="13" fillId="4" borderId="0" xfId="0" applyFont="1" applyFill="1"/>
    <xf numFmtId="0" fontId="18" fillId="0" borderId="9" xfId="10" applyFont="1" applyBorder="1" applyAlignment="1">
      <alignment horizontal="left"/>
    </xf>
    <xf numFmtId="0" fontId="30" fillId="0" borderId="9" xfId="10" applyFont="1" applyBorder="1"/>
    <xf numFmtId="0" fontId="0" fillId="0" borderId="9" xfId="10" applyFont="1" applyBorder="1" applyAlignment="1">
      <alignment horizontal="right"/>
    </xf>
    <xf numFmtId="0" fontId="13" fillId="6" borderId="0" xfId="0" applyFont="1" applyFill="1" applyAlignment="1">
      <alignment horizontal="left"/>
    </xf>
    <xf numFmtId="171" fontId="12" fillId="0" borderId="0" xfId="4" applyNumberFormat="1" applyFont="1" applyFill="1" applyBorder="1" applyAlignment="1">
      <alignment horizontal="left"/>
    </xf>
    <xf numFmtId="171" fontId="38" fillId="0" borderId="0" xfId="4" applyNumberFormat="1" applyFont="1" applyFill="1" applyBorder="1" applyAlignment="1">
      <alignment horizontal="left"/>
    </xf>
    <xf numFmtId="0" fontId="13" fillId="0" borderId="0" xfId="0" applyFont="1" applyAlignment="1">
      <alignment horizontal="right"/>
    </xf>
    <xf numFmtId="171" fontId="12" fillId="4" borderId="0" xfId="4" applyNumberFormat="1" applyFont="1" applyFill="1" applyBorder="1" applyAlignment="1">
      <alignment horizontal="left"/>
    </xf>
    <xf numFmtId="10" fontId="0" fillId="0" borderId="0" xfId="2" applyNumberFormat="1" applyFont="1" applyAlignment="1">
      <alignment horizontal="right"/>
    </xf>
    <xf numFmtId="10" fontId="13" fillId="0" borderId="0" xfId="0" applyNumberFormat="1" applyFont="1" applyAlignment="1">
      <alignment horizontal="right"/>
    </xf>
    <xf numFmtId="39" fontId="0" fillId="0" borderId="0" xfId="1" applyNumberFormat="1" applyFont="1" applyAlignment="1">
      <alignment horizontal="right"/>
    </xf>
    <xf numFmtId="0" fontId="0" fillId="0" borderId="0" xfId="0" quotePrefix="1" applyAlignment="1">
      <alignment horizontal="right"/>
    </xf>
    <xf numFmtId="37" fontId="7" fillId="0" borderId="0" xfId="0" applyNumberFormat="1" applyFont="1" applyAlignment="1">
      <alignment horizontal="right"/>
    </xf>
    <xf numFmtId="0" fontId="25" fillId="0" borderId="0" xfId="0" applyFont="1" applyAlignment="1">
      <alignment horizontal="left" indent="1"/>
    </xf>
    <xf numFmtId="0" fontId="3" fillId="0" borderId="19" xfId="0" applyFont="1" applyBorder="1"/>
    <xf numFmtId="0" fontId="3" fillId="0" borderId="47" xfId="0" applyFont="1" applyBorder="1"/>
    <xf numFmtId="173" fontId="37" fillId="0" borderId="26" xfId="1" applyNumberFormat="1" applyFont="1" applyFill="1" applyBorder="1"/>
    <xf numFmtId="0" fontId="42" fillId="4" borderId="0" xfId="0" applyFont="1" applyFill="1"/>
    <xf numFmtId="171" fontId="13" fillId="4" borderId="0" xfId="2" applyNumberFormat="1" applyFont="1" applyFill="1"/>
    <xf numFmtId="171" fontId="13" fillId="4" borderId="17" xfId="2" applyNumberFormat="1" applyFont="1" applyFill="1" applyBorder="1"/>
    <xf numFmtId="171" fontId="35" fillId="4" borderId="0" xfId="2" applyNumberFormat="1" applyFont="1" applyFill="1"/>
    <xf numFmtId="9" fontId="12" fillId="4" borderId="0" xfId="2" applyFont="1" applyFill="1" applyBorder="1"/>
    <xf numFmtId="0" fontId="13" fillId="0" borderId="0" xfId="0" applyFont="1" applyAlignment="1">
      <alignment horizontal="left" indent="1"/>
    </xf>
    <xf numFmtId="0" fontId="49" fillId="0" borderId="0" xfId="0" applyFont="1"/>
    <xf numFmtId="0" fontId="49" fillId="0" borderId="0" xfId="0" applyFont="1" applyAlignment="1">
      <alignment horizontal="left"/>
    </xf>
    <xf numFmtId="171" fontId="49" fillId="0" borderId="0" xfId="2" applyNumberFormat="1" applyFont="1" applyFill="1"/>
    <xf numFmtId="171" fontId="49" fillId="0" borderId="0" xfId="1" applyNumberFormat="1" applyFont="1" applyFill="1"/>
    <xf numFmtId="171" fontId="49" fillId="0" borderId="17" xfId="1" applyNumberFormat="1" applyFont="1" applyFill="1" applyBorder="1"/>
    <xf numFmtId="171" fontId="49" fillId="4" borderId="0" xfId="1" applyNumberFormat="1" applyFont="1" applyFill="1"/>
    <xf numFmtId="171" fontId="49" fillId="0" borderId="26" xfId="2" applyNumberFormat="1" applyFont="1" applyFill="1" applyBorder="1"/>
    <xf numFmtId="171" fontId="49" fillId="0" borderId="17" xfId="2" applyNumberFormat="1" applyFont="1" applyFill="1" applyBorder="1"/>
    <xf numFmtId="171" fontId="50" fillId="0" borderId="0" xfId="2" applyNumberFormat="1" applyFont="1" applyFill="1"/>
    <xf numFmtId="0" fontId="49" fillId="0" borderId="0" xfId="0" applyFont="1" applyAlignment="1">
      <alignment horizontal="left" indent="1"/>
    </xf>
    <xf numFmtId="0" fontId="50" fillId="0" borderId="0" xfId="0" applyFont="1"/>
    <xf numFmtId="37" fontId="37" fillId="0" borderId="17" xfId="1" applyNumberFormat="1" applyFont="1" applyBorder="1"/>
    <xf numFmtId="37" fontId="37" fillId="0" borderId="0" xfId="1" applyNumberFormat="1" applyFont="1" applyAlignment="1">
      <alignment wrapText="1"/>
    </xf>
    <xf numFmtId="171" fontId="49" fillId="0" borderId="0" xfId="2" applyNumberFormat="1" applyFont="1"/>
    <xf numFmtId="171" fontId="49" fillId="0" borderId="26" xfId="2" applyNumberFormat="1" applyFont="1" applyBorder="1"/>
    <xf numFmtId="173" fontId="37" fillId="0" borderId="0" xfId="1" applyNumberFormat="1" applyFont="1"/>
    <xf numFmtId="173" fontId="37" fillId="0" borderId="26" xfId="1" applyNumberFormat="1" applyFont="1" applyBorder="1"/>
    <xf numFmtId="171" fontId="35" fillId="0" borderId="0" xfId="0" applyNumberFormat="1" applyFont="1"/>
    <xf numFmtId="171" fontId="49" fillId="0" borderId="0" xfId="2" applyNumberFormat="1" applyFont="1" applyFill="1" applyBorder="1"/>
    <xf numFmtId="0" fontId="13" fillId="0" borderId="0" xfId="0" applyFont="1" applyAlignment="1">
      <alignment horizontal="left" indent="2"/>
    </xf>
    <xf numFmtId="0" fontId="49" fillId="0" borderId="0" xfId="0" applyFont="1" applyAlignment="1">
      <alignment horizontal="left" indent="2"/>
    </xf>
    <xf numFmtId="0" fontId="42" fillId="0" borderId="0" xfId="0" applyFont="1" applyAlignment="1">
      <alignment horizontal="left" indent="2"/>
    </xf>
    <xf numFmtId="173" fontId="51" fillId="0" borderId="0" xfId="1" applyNumberFormat="1" applyFont="1" applyFill="1"/>
    <xf numFmtId="173" fontId="51" fillId="0" borderId="26" xfId="1" applyNumberFormat="1" applyFont="1" applyFill="1" applyBorder="1"/>
    <xf numFmtId="173" fontId="39" fillId="0" borderId="0" xfId="1" applyNumberFormat="1" applyFont="1" applyFill="1"/>
    <xf numFmtId="173" fontId="20" fillId="0" borderId="0" xfId="1" applyNumberFormat="1" applyFont="1" applyFill="1"/>
    <xf numFmtId="171" fontId="48" fillId="5" borderId="0" xfId="2" applyNumberFormat="1" applyFont="1" applyFill="1"/>
    <xf numFmtId="37" fontId="12" fillId="0" borderId="0" xfId="1" applyNumberFormat="1" applyFont="1" applyAlignment="1">
      <alignment wrapText="1"/>
    </xf>
    <xf numFmtId="171" fontId="32" fillId="5" borderId="0" xfId="2" applyNumberFormat="1" applyFont="1" applyFill="1"/>
    <xf numFmtId="171" fontId="48" fillId="5" borderId="0" xfId="0" applyNumberFormat="1" applyFont="1" applyFill="1"/>
    <xf numFmtId="171" fontId="49" fillId="0" borderId="0" xfId="0" applyNumberFormat="1" applyFont="1"/>
    <xf numFmtId="171" fontId="49" fillId="0" borderId="17" xfId="0" applyNumberFormat="1" applyFont="1" applyBorder="1"/>
    <xf numFmtId="1" fontId="48" fillId="5" borderId="0" xfId="0" applyNumberFormat="1" applyFont="1" applyFill="1"/>
    <xf numFmtId="178" fontId="49" fillId="0" borderId="0" xfId="0" applyNumberFormat="1" applyFont="1"/>
    <xf numFmtId="178" fontId="49" fillId="0" borderId="17" xfId="0" applyNumberFormat="1" applyFont="1" applyBorder="1"/>
    <xf numFmtId="178" fontId="48" fillId="5" borderId="0" xfId="0" applyNumberFormat="1" applyFont="1" applyFill="1"/>
    <xf numFmtId="0" fontId="42" fillId="0" borderId="0" xfId="0" applyFont="1" applyAlignment="1">
      <alignment horizontal="left" indent="1"/>
    </xf>
    <xf numFmtId="171" fontId="50" fillId="0" borderId="17" xfId="2" applyNumberFormat="1" applyFont="1" applyFill="1" applyBorder="1"/>
    <xf numFmtId="173" fontId="51" fillId="0" borderId="0" xfId="1" applyNumberFormat="1" applyFont="1" applyFill="1" applyAlignment="1">
      <alignment horizontal="right"/>
    </xf>
    <xf numFmtId="173" fontId="51" fillId="0" borderId="26" xfId="1" applyNumberFormat="1" applyFont="1" applyBorder="1" applyAlignment="1">
      <alignment horizontal="right"/>
    </xf>
    <xf numFmtId="173" fontId="42" fillId="0" borderId="0" xfId="0" applyNumberFormat="1" applyFont="1" applyAlignment="1">
      <alignment horizontal="right"/>
    </xf>
    <xf numFmtId="173" fontId="51" fillId="0" borderId="0" xfId="1" applyNumberFormat="1" applyFont="1"/>
    <xf numFmtId="173" fontId="51" fillId="0" borderId="26" xfId="1" applyNumberFormat="1" applyFont="1" applyBorder="1"/>
    <xf numFmtId="173" fontId="42" fillId="0" borderId="0" xfId="0" applyNumberFormat="1" applyFont="1"/>
    <xf numFmtId="173" fontId="37" fillId="0" borderId="0" xfId="1" applyNumberFormat="1" applyFont="1" applyBorder="1"/>
    <xf numFmtId="173" fontId="51" fillId="0" borderId="26" xfId="1" applyNumberFormat="1" applyFont="1" applyFill="1" applyBorder="1" applyAlignment="1">
      <alignment horizontal="right"/>
    </xf>
    <xf numFmtId="0" fontId="25" fillId="0" borderId="0" xfId="0" applyFont="1" applyAlignment="1">
      <alignment horizontal="left" indent="2"/>
    </xf>
    <xf numFmtId="171" fontId="12" fillId="4" borderId="0" xfId="0" applyNumberFormat="1" applyFont="1" applyFill="1"/>
    <xf numFmtId="171" fontId="12" fillId="4" borderId="17" xfId="0" applyNumberFormat="1" applyFont="1" applyFill="1" applyBorder="1"/>
    <xf numFmtId="171" fontId="35" fillId="4" borderId="0" xfId="0" applyNumberFormat="1" applyFont="1" applyFill="1"/>
    <xf numFmtId="171" fontId="12" fillId="0" borderId="26" xfId="0" applyNumberFormat="1" applyFont="1" applyBorder="1"/>
    <xf numFmtId="0" fontId="52" fillId="0" borderId="0" xfId="0" applyFont="1"/>
    <xf numFmtId="173" fontId="13" fillId="0" borderId="32" xfId="0" applyNumberFormat="1" applyFont="1" applyBorder="1"/>
    <xf numFmtId="173" fontId="13" fillId="0" borderId="48" xfId="0" applyNumberFormat="1" applyFont="1" applyBorder="1"/>
    <xf numFmtId="173" fontId="13" fillId="0" borderId="49" xfId="0" applyNumberFormat="1" applyFont="1" applyBorder="1"/>
    <xf numFmtId="171" fontId="48" fillId="0" borderId="0" xfId="0" applyNumberFormat="1" applyFont="1"/>
    <xf numFmtId="173" fontId="35" fillId="5" borderId="0" xfId="0" applyNumberFormat="1" applyFont="1" applyFill="1"/>
    <xf numFmtId="173" fontId="51" fillId="0" borderId="0" xfId="1" applyNumberFormat="1" applyFont="1" applyBorder="1"/>
    <xf numFmtId="9" fontId="49" fillId="0" borderId="0" xfId="0" applyNumberFormat="1" applyFont="1"/>
    <xf numFmtId="9" fontId="49" fillId="0" borderId="26" xfId="0" applyNumberFormat="1" applyFont="1" applyBorder="1"/>
    <xf numFmtId="9" fontId="48" fillId="5" borderId="0" xfId="0" applyNumberFormat="1" applyFont="1" applyFill="1"/>
    <xf numFmtId="173" fontId="37" fillId="0" borderId="0" xfId="1" applyNumberFormat="1" applyFont="1" applyFill="1" applyBorder="1"/>
    <xf numFmtId="0" fontId="13" fillId="0" borderId="22" xfId="0" applyFont="1" applyBorder="1"/>
    <xf numFmtId="173" fontId="37" fillId="0" borderId="22" xfId="1" applyNumberFormat="1" applyFont="1" applyBorder="1"/>
    <xf numFmtId="173" fontId="37" fillId="0" borderId="50" xfId="1" applyNumberFormat="1" applyFont="1" applyBorder="1"/>
    <xf numFmtId="173" fontId="13" fillId="0" borderId="22" xfId="0" applyNumberFormat="1" applyFont="1" applyBorder="1"/>
    <xf numFmtId="173" fontId="44" fillId="0" borderId="0" xfId="1" applyNumberFormat="1" applyFont="1" applyBorder="1"/>
    <xf numFmtId="173" fontId="44" fillId="0" borderId="26" xfId="1" applyNumberFormat="1" applyFont="1" applyBorder="1"/>
    <xf numFmtId="173" fontId="44" fillId="0" borderId="22" xfId="1" applyNumberFormat="1" applyFont="1" applyFill="1" applyBorder="1"/>
    <xf numFmtId="173" fontId="44" fillId="0" borderId="50" xfId="1" applyNumberFormat="1" applyFont="1" applyFill="1" applyBorder="1"/>
    <xf numFmtId="173" fontId="41" fillId="0" borderId="22" xfId="0" applyNumberFormat="1" applyFont="1" applyBorder="1"/>
    <xf numFmtId="173" fontId="41" fillId="0" borderId="0" xfId="0" applyNumberFormat="1" applyFont="1"/>
    <xf numFmtId="0" fontId="35" fillId="5" borderId="0" xfId="0" applyFont="1" applyFill="1" applyAlignment="1">
      <alignment horizontal="right"/>
    </xf>
    <xf numFmtId="14" fontId="35" fillId="5" borderId="0" xfId="0" applyNumberFormat="1" applyFont="1" applyFill="1" applyAlignment="1">
      <alignment horizontal="right"/>
    </xf>
    <xf numFmtId="166" fontId="4" fillId="2" borderId="2" xfId="0" applyNumberFormat="1" applyFont="1" applyFill="1" applyBorder="1"/>
    <xf numFmtId="169" fontId="0" fillId="0" borderId="2" xfId="1" applyNumberFormat="1" applyFont="1" applyBorder="1" applyAlignment="1">
      <alignment horizontal="right"/>
    </xf>
    <xf numFmtId="0" fontId="0" fillId="0" borderId="2" xfId="0" applyBorder="1" applyAlignment="1">
      <alignment horizontal="right"/>
    </xf>
    <xf numFmtId="0" fontId="13" fillId="6" borderId="2" xfId="0" applyFont="1" applyFill="1" applyBorder="1" applyAlignment="1">
      <alignment horizontal="right"/>
    </xf>
    <xf numFmtId="0" fontId="13" fillId="0" borderId="2" xfId="0" applyFont="1" applyBorder="1" applyAlignment="1">
      <alignment horizontal="right"/>
    </xf>
    <xf numFmtId="10" fontId="0" fillId="0" borderId="2" xfId="2" applyNumberFormat="1" applyFont="1" applyBorder="1" applyAlignment="1">
      <alignment horizontal="right"/>
    </xf>
    <xf numFmtId="10" fontId="13" fillId="0" borderId="2" xfId="0" applyNumberFormat="1" applyFont="1" applyBorder="1" applyAlignment="1">
      <alignment horizontal="right"/>
    </xf>
    <xf numFmtId="39" fontId="0" fillId="0" borderId="2" xfId="1" applyNumberFormat="1" applyFont="1" applyBorder="1" applyAlignment="1">
      <alignment horizontal="right"/>
    </xf>
    <xf numFmtId="169" fontId="0" fillId="3" borderId="0" xfId="1" applyNumberFormat="1" applyFont="1" applyFill="1" applyAlignment="1">
      <alignment horizontal="right"/>
    </xf>
    <xf numFmtId="0" fontId="13" fillId="3" borderId="0" xfId="0" applyFont="1" applyFill="1" applyAlignment="1">
      <alignment horizontal="right"/>
    </xf>
    <xf numFmtId="10" fontId="0" fillId="3" borderId="0" xfId="2" applyNumberFormat="1" applyFont="1" applyFill="1" applyAlignment="1">
      <alignment horizontal="right"/>
    </xf>
    <xf numFmtId="10" fontId="13" fillId="3" borderId="0" xfId="0" applyNumberFormat="1" applyFont="1" applyFill="1" applyAlignment="1">
      <alignment horizontal="right"/>
    </xf>
    <xf numFmtId="39" fontId="0" fillId="3" borderId="0" xfId="1" applyNumberFormat="1" applyFont="1" applyFill="1" applyAlignment="1">
      <alignment horizontal="right"/>
    </xf>
    <xf numFmtId="0" fontId="0" fillId="3" borderId="0" xfId="0" applyFill="1" applyAlignment="1">
      <alignment horizontal="right"/>
    </xf>
    <xf numFmtId="37" fontId="46" fillId="0" borderId="0" xfId="1" applyNumberFormat="1" applyFont="1" applyBorder="1"/>
    <xf numFmtId="37" fontId="46" fillId="0" borderId="26" xfId="1" applyNumberFormat="1" applyFont="1" applyBorder="1"/>
    <xf numFmtId="37" fontId="46" fillId="0" borderId="0" xfId="1" applyNumberFormat="1" applyFont="1" applyFill="1" applyBorder="1"/>
    <xf numFmtId="37" fontId="46" fillId="0" borderId="17" xfId="1" applyNumberFormat="1" applyFont="1" applyFill="1" applyBorder="1"/>
    <xf numFmtId="10" fontId="0" fillId="0" borderId="0" xfId="1" applyNumberFormat="1" applyFont="1" applyAlignment="1">
      <alignment horizontal="right"/>
    </xf>
    <xf numFmtId="10" fontId="0" fillId="0" borderId="2" xfId="1" applyNumberFormat="1" applyFont="1" applyBorder="1" applyAlignment="1">
      <alignment horizontal="right"/>
    </xf>
    <xf numFmtId="10" fontId="0" fillId="3" borderId="0" xfId="1" applyNumberFormat="1" applyFont="1" applyFill="1" applyAlignment="1">
      <alignment horizontal="right"/>
    </xf>
    <xf numFmtId="167" fontId="6" fillId="2" borderId="0" xfId="0" applyNumberFormat="1" applyFont="1" applyFill="1" applyAlignment="1">
      <alignment horizontal="right"/>
    </xf>
    <xf numFmtId="166" fontId="6" fillId="2" borderId="0" xfId="0" applyNumberFormat="1" applyFont="1" applyFill="1" applyAlignment="1">
      <alignment horizontal="right"/>
    </xf>
    <xf numFmtId="166" fontId="6" fillId="2" borderId="2" xfId="0" applyNumberFormat="1" applyFont="1" applyFill="1" applyBorder="1" applyAlignment="1">
      <alignment horizontal="right"/>
    </xf>
    <xf numFmtId="169" fontId="0" fillId="0" borderId="0" xfId="1" applyNumberFormat="1" applyFont="1" applyBorder="1" applyAlignment="1">
      <alignment horizontal="right"/>
    </xf>
    <xf numFmtId="0" fontId="53" fillId="0" borderId="0" xfId="5" applyFont="1"/>
    <xf numFmtId="0" fontId="29" fillId="0" borderId="0" xfId="5" applyFont="1"/>
    <xf numFmtId="0" fontId="29" fillId="5" borderId="0" xfId="5" applyFont="1" applyFill="1"/>
    <xf numFmtId="0" fontId="53" fillId="0" borderId="0" xfId="5" applyFont="1" applyAlignment="1">
      <alignment vertical="center"/>
    </xf>
    <xf numFmtId="0" fontId="13" fillId="0" borderId="8" xfId="0" applyFont="1" applyBorder="1"/>
    <xf numFmtId="173" fontId="37" fillId="0" borderId="8" xfId="1" applyNumberFormat="1" applyFont="1" applyFill="1" applyBorder="1"/>
    <xf numFmtId="173" fontId="37" fillId="0" borderId="23" xfId="1" applyNumberFormat="1" applyFont="1" applyFill="1" applyBorder="1"/>
    <xf numFmtId="173" fontId="13" fillId="0" borderId="8" xfId="0" applyNumberFormat="1" applyFont="1" applyBorder="1"/>
    <xf numFmtId="173" fontId="42" fillId="0" borderId="8" xfId="0" applyNumberFormat="1" applyFont="1" applyBorder="1"/>
    <xf numFmtId="0" fontId="29" fillId="0" borderId="0" xfId="5" applyFont="1" applyAlignment="1">
      <alignment vertical="center"/>
    </xf>
    <xf numFmtId="0" fontId="54" fillId="2" borderId="0" xfId="5" applyFont="1" applyFill="1" applyAlignment="1">
      <alignment horizontal="center" vertical="center"/>
    </xf>
    <xf numFmtId="0" fontId="55" fillId="2" borderId="21" xfId="5" applyFont="1" applyFill="1" applyBorder="1" applyAlignment="1">
      <alignment horizontal="center" vertical="center" wrapText="1"/>
    </xf>
    <xf numFmtId="0" fontId="55" fillId="2" borderId="55" xfId="5" applyFont="1" applyFill="1" applyBorder="1" applyAlignment="1">
      <alignment horizontal="center" vertical="center" wrapText="1"/>
    </xf>
    <xf numFmtId="0" fontId="55" fillId="2" borderId="0" xfId="5" applyFont="1" applyFill="1" applyAlignment="1">
      <alignment horizontal="center" vertical="center" wrapText="1"/>
    </xf>
    <xf numFmtId="0" fontId="55" fillId="2" borderId="26" xfId="5" applyFont="1" applyFill="1" applyBorder="1" applyAlignment="1">
      <alignment horizontal="center" vertical="center" wrapText="1"/>
    </xf>
    <xf numFmtId="0" fontId="56" fillId="5" borderId="21" xfId="5" applyFont="1" applyFill="1" applyBorder="1"/>
    <xf numFmtId="0" fontId="56" fillId="5" borderId="55" xfId="5" applyFont="1" applyFill="1" applyBorder="1"/>
    <xf numFmtId="0" fontId="56" fillId="5" borderId="0" xfId="5" applyFont="1" applyFill="1"/>
    <xf numFmtId="0" fontId="56" fillId="5" borderId="26" xfId="5" applyFont="1" applyFill="1" applyBorder="1"/>
    <xf numFmtId="2" fontId="29" fillId="5" borderId="0" xfId="2" applyNumberFormat="1" applyFont="1" applyFill="1" applyBorder="1" applyAlignment="1">
      <alignment horizontal="center" vertical="center"/>
    </xf>
    <xf numFmtId="10" fontId="7" fillId="3" borderId="24" xfId="2" applyNumberFormat="1" applyFont="1" applyFill="1" applyBorder="1"/>
    <xf numFmtId="164" fontId="41" fillId="0" borderId="0" xfId="0" applyNumberFormat="1" applyFont="1"/>
    <xf numFmtId="0" fontId="31" fillId="0" borderId="0" xfId="0" applyFont="1"/>
    <xf numFmtId="166" fontId="16" fillId="0" borderId="37" xfId="0" applyNumberFormat="1" applyFont="1" applyBorder="1" applyAlignment="1">
      <alignment horizontal="center"/>
    </xf>
    <xf numFmtId="2" fontId="3" fillId="0" borderId="0" xfId="0" applyNumberFormat="1" applyFont="1" applyAlignment="1">
      <alignment horizontal="center"/>
    </xf>
    <xf numFmtId="0" fontId="10" fillId="0" borderId="0" xfId="5" applyFont="1"/>
    <xf numFmtId="0" fontId="4" fillId="4" borderId="0" xfId="5" applyFont="1" applyFill="1" applyAlignment="1">
      <alignment vertical="center" wrapText="1"/>
    </xf>
    <xf numFmtId="0" fontId="4" fillId="2" borderId="0" xfId="5" applyFont="1" applyFill="1"/>
    <xf numFmtId="0" fontId="4" fillId="2" borderId="0" xfId="5" applyFont="1" applyFill="1" applyAlignment="1">
      <alignment horizontal="center"/>
    </xf>
    <xf numFmtId="0" fontId="4" fillId="0" borderId="0" xfId="5" applyFont="1"/>
    <xf numFmtId="0" fontId="4" fillId="0" borderId="54" xfId="5" applyFont="1" applyBorder="1"/>
    <xf numFmtId="0" fontId="5" fillId="0" borderId="54" xfId="5" applyFont="1" applyBorder="1"/>
    <xf numFmtId="0" fontId="4" fillId="5" borderId="53" xfId="5" applyFont="1" applyFill="1" applyBorder="1"/>
    <xf numFmtId="0" fontId="4" fillId="0" borderId="53" xfId="5" applyFont="1" applyBorder="1"/>
    <xf numFmtId="0" fontId="10" fillId="0" borderId="0" xfId="5" applyFont="1" applyAlignment="1">
      <alignment vertical="center"/>
    </xf>
    <xf numFmtId="0" fontId="7" fillId="0" borderId="0" xfId="5" applyFont="1" applyAlignment="1">
      <alignment vertical="center"/>
    </xf>
    <xf numFmtId="0" fontId="32" fillId="0" borderId="0" xfId="5" applyFont="1" applyAlignment="1">
      <alignment vertical="center"/>
    </xf>
    <xf numFmtId="174" fontId="10" fillId="0" borderId="0" xfId="5" applyNumberFormat="1" applyFont="1" applyAlignment="1">
      <alignment vertical="center"/>
    </xf>
    <xf numFmtId="4" fontId="10" fillId="0" borderId="0" xfId="5" applyNumberFormat="1" applyFont="1" applyAlignment="1">
      <alignment vertical="center"/>
    </xf>
    <xf numFmtId="4" fontId="10" fillId="0" borderId="0" xfId="5" applyNumberFormat="1" applyFont="1" applyAlignment="1">
      <alignment horizontal="center" vertical="center"/>
    </xf>
    <xf numFmtId="2" fontId="10" fillId="0" borderId="0" xfId="2" applyNumberFormat="1" applyFont="1" applyBorder="1" applyAlignment="1">
      <alignment horizontal="center" vertical="center"/>
    </xf>
    <xf numFmtId="2" fontId="10" fillId="0" borderId="0" xfId="5" applyNumberFormat="1" applyFont="1" applyAlignment="1">
      <alignment vertical="center"/>
    </xf>
    <xf numFmtId="3" fontId="10" fillId="0" borderId="0" xfId="5" applyNumberFormat="1" applyFont="1" applyAlignment="1">
      <alignment vertical="center"/>
    </xf>
    <xf numFmtId="10" fontId="10" fillId="0" borderId="0" xfId="5" applyNumberFormat="1" applyFont="1" applyAlignment="1">
      <alignment vertical="center"/>
    </xf>
    <xf numFmtId="175" fontId="32" fillId="0" borderId="0" xfId="5" applyNumberFormat="1" applyFont="1" applyAlignment="1">
      <alignment vertical="center"/>
    </xf>
    <xf numFmtId="171" fontId="10" fillId="0" borderId="0" xfId="5" applyNumberFormat="1" applyFont="1" applyAlignment="1">
      <alignment vertical="center"/>
    </xf>
    <xf numFmtId="0" fontId="7" fillId="0" borderId="0" xfId="5" applyFont="1"/>
    <xf numFmtId="0" fontId="32" fillId="0" borderId="0" xfId="5" applyFont="1"/>
    <xf numFmtId="174" fontId="10" fillId="0" borderId="0" xfId="5" applyNumberFormat="1" applyFont="1"/>
    <xf numFmtId="4" fontId="10" fillId="0" borderId="0" xfId="5" applyNumberFormat="1" applyFont="1"/>
    <xf numFmtId="4" fontId="10" fillId="0" borderId="0" xfId="5" applyNumberFormat="1" applyFont="1" applyAlignment="1">
      <alignment horizontal="center"/>
    </xf>
    <xf numFmtId="9" fontId="10" fillId="0" borderId="0" xfId="2" applyFont="1" applyBorder="1" applyAlignment="1"/>
    <xf numFmtId="3" fontId="10" fillId="0" borderId="0" xfId="5" applyNumberFormat="1" applyFont="1"/>
    <xf numFmtId="2" fontId="10" fillId="0" borderId="0" xfId="5" applyNumberFormat="1" applyFont="1"/>
    <xf numFmtId="10" fontId="10" fillId="0" borderId="0" xfId="5" applyNumberFormat="1" applyFont="1"/>
    <xf numFmtId="175" fontId="32" fillId="0" borderId="0" xfId="5" applyNumberFormat="1" applyFont="1"/>
    <xf numFmtId="171" fontId="10" fillId="0" borderId="0" xfId="5" applyNumberFormat="1" applyFont="1"/>
    <xf numFmtId="0" fontId="7" fillId="0" borderId="0" xfId="5" applyFont="1" applyAlignment="1">
      <alignment vertical="center" wrapText="1"/>
    </xf>
    <xf numFmtId="2" fontId="10" fillId="0" borderId="0" xfId="2" applyNumberFormat="1" applyFont="1" applyFill="1" applyBorder="1" applyAlignment="1"/>
    <xf numFmtId="9" fontId="10" fillId="0" borderId="0" xfId="2" applyFont="1" applyFill="1" applyBorder="1" applyAlignment="1"/>
    <xf numFmtId="0" fontId="10" fillId="5" borderId="0" xfId="5" applyFont="1" applyFill="1"/>
    <xf numFmtId="9" fontId="10" fillId="0" borderId="0" xfId="5" applyNumberFormat="1" applyFont="1"/>
    <xf numFmtId="0" fontId="5" fillId="2" borderId="0" xfId="5" applyFont="1" applyFill="1"/>
    <xf numFmtId="0" fontId="5" fillId="0" borderId="0" xfId="5" applyFont="1"/>
    <xf numFmtId="0" fontId="4" fillId="2" borderId="0" xfId="5" applyFont="1" applyFill="1" applyAlignment="1">
      <alignment horizontal="left"/>
    </xf>
    <xf numFmtId="0" fontId="4" fillId="5" borderId="0" xfId="5" applyFont="1" applyFill="1" applyAlignment="1">
      <alignment horizontal="left"/>
    </xf>
    <xf numFmtId="0" fontId="5" fillId="5" borderId="0" xfId="5" applyFont="1" applyFill="1"/>
    <xf numFmtId="3" fontId="10" fillId="0" borderId="0" xfId="5" applyNumberFormat="1" applyFont="1" applyAlignment="1">
      <alignment horizontal="center"/>
    </xf>
    <xf numFmtId="175" fontId="10" fillId="0" borderId="0" xfId="5" applyNumberFormat="1" applyFont="1" applyAlignment="1">
      <alignment horizontal="center"/>
    </xf>
    <xf numFmtId="0" fontId="10" fillId="0" borderId="0" xfId="5" applyFont="1" applyAlignment="1">
      <alignment horizontal="center"/>
    </xf>
    <xf numFmtId="0" fontId="4" fillId="2" borderId="0" xfId="5" applyFont="1" applyFill="1" applyAlignment="1">
      <alignment horizontal="center" vertical="center"/>
    </xf>
    <xf numFmtId="0" fontId="10" fillId="5" borderId="0" xfId="5" applyFont="1" applyFill="1" applyAlignment="1">
      <alignment horizontal="center"/>
    </xf>
    <xf numFmtId="0" fontId="2" fillId="0" borderId="0" xfId="0" applyFont="1"/>
    <xf numFmtId="171" fontId="10" fillId="0" borderId="0" xfId="5" applyNumberFormat="1" applyFont="1" applyAlignment="1">
      <alignment horizontal="center"/>
    </xf>
    <xf numFmtId="169" fontId="2" fillId="0" borderId="0" xfId="1" applyNumberFormat="1" applyFont="1" applyAlignment="1">
      <alignment horizontal="center"/>
    </xf>
    <xf numFmtId="10" fontId="32" fillId="3" borderId="0" xfId="5" applyNumberFormat="1" applyFont="1" applyFill="1" applyAlignment="1">
      <alignment horizontal="center"/>
    </xf>
    <xf numFmtId="10" fontId="10" fillId="0" borderId="0" xfId="5" applyNumberFormat="1" applyFont="1" applyAlignment="1">
      <alignment horizontal="center"/>
    </xf>
    <xf numFmtId="0" fontId="5" fillId="2" borderId="0" xfId="5" applyFont="1" applyFill="1" applyAlignment="1">
      <alignment horizontal="left"/>
    </xf>
    <xf numFmtId="0" fontId="5" fillId="5" borderId="0" xfId="5" applyFont="1" applyFill="1" applyAlignment="1">
      <alignment horizontal="left"/>
    </xf>
    <xf numFmtId="1" fontId="10" fillId="4" borderId="8" xfId="8" applyNumberFormat="1" applyFont="1" applyFill="1" applyBorder="1" applyAlignment="1">
      <alignment horizontal="left" vertical="center"/>
    </xf>
    <xf numFmtId="0" fontId="10" fillId="0" borderId="8" xfId="5" applyFont="1" applyBorder="1"/>
    <xf numFmtId="37" fontId="28" fillId="0" borderId="18" xfId="8" applyNumberFormat="1" applyFont="1" applyBorder="1" applyAlignment="1">
      <alignment horizontal="center"/>
    </xf>
    <xf numFmtId="37" fontId="32" fillId="3" borderId="56" xfId="8" applyNumberFormat="1" applyFont="1" applyFill="1" applyBorder="1" applyAlignment="1">
      <alignment horizontal="center"/>
    </xf>
    <xf numFmtId="37" fontId="32" fillId="3" borderId="23" xfId="8" applyNumberFormat="1" applyFont="1" applyFill="1" applyBorder="1" applyAlignment="1">
      <alignment horizontal="center"/>
    </xf>
    <xf numFmtId="37" fontId="32" fillId="3" borderId="8" xfId="5" applyNumberFormat="1" applyFont="1" applyFill="1" applyBorder="1" applyAlignment="1">
      <alignment horizontal="center"/>
    </xf>
    <xf numFmtId="1" fontId="10" fillId="4" borderId="0" xfId="8" applyNumberFormat="1" applyFont="1" applyFill="1" applyAlignment="1">
      <alignment horizontal="left" vertical="center"/>
    </xf>
    <xf numFmtId="37" fontId="28" fillId="0" borderId="21" xfId="8" applyNumberFormat="1" applyFont="1" applyBorder="1" applyAlignment="1">
      <alignment horizontal="center"/>
    </xf>
    <xf numFmtId="37" fontId="32" fillId="3" borderId="55" xfId="8" applyNumberFormat="1" applyFont="1" applyFill="1" applyBorder="1" applyAlignment="1">
      <alignment horizontal="center"/>
    </xf>
    <xf numFmtId="37" fontId="32" fillId="3" borderId="26" xfId="8" applyNumberFormat="1" applyFont="1" applyFill="1" applyBorder="1" applyAlignment="1">
      <alignment horizontal="center"/>
    </xf>
    <xf numFmtId="37" fontId="32" fillId="3" borderId="0" xfId="5" applyNumberFormat="1" applyFont="1" applyFill="1" applyAlignment="1">
      <alignment horizontal="center"/>
    </xf>
    <xf numFmtId="37" fontId="32" fillId="3" borderId="55" xfId="8" applyNumberFormat="1" applyFont="1" applyFill="1" applyBorder="1" applyAlignment="1">
      <alignment horizontal="center" wrapText="1"/>
    </xf>
    <xf numFmtId="1" fontId="2" fillId="4" borderId="0" xfId="8" applyNumberFormat="1" applyFont="1" applyFill="1" applyAlignment="1">
      <alignment horizontal="left"/>
    </xf>
    <xf numFmtId="1" fontId="2" fillId="0" borderId="0" xfId="8" applyNumberFormat="1" applyFont="1" applyAlignment="1">
      <alignment horizontal="left"/>
    </xf>
    <xf numFmtId="37" fontId="7" fillId="0" borderId="55" xfId="8" applyNumberFormat="1" applyFont="1" applyBorder="1" applyAlignment="1">
      <alignment horizontal="center" wrapText="1"/>
    </xf>
    <xf numFmtId="37" fontId="7" fillId="0" borderId="26" xfId="8" applyNumberFormat="1" applyFont="1" applyBorder="1" applyAlignment="1">
      <alignment horizontal="center" wrapText="1"/>
    </xf>
    <xf numFmtId="37" fontId="32" fillId="3" borderId="26" xfId="8" applyNumberFormat="1" applyFont="1" applyFill="1" applyBorder="1" applyAlignment="1">
      <alignment horizontal="center" wrapText="1"/>
    </xf>
    <xf numFmtId="37" fontId="7" fillId="3" borderId="0" xfId="5" applyNumberFormat="1" applyFont="1" applyFill="1" applyAlignment="1">
      <alignment horizontal="center"/>
    </xf>
    <xf numFmtId="39" fontId="32" fillId="3" borderId="55" xfId="8" applyNumberFormat="1" applyFont="1" applyFill="1" applyBorder="1" applyAlignment="1">
      <alignment horizontal="center" wrapText="1"/>
    </xf>
    <xf numFmtId="39" fontId="32" fillId="3" borderId="26" xfId="8" applyNumberFormat="1" applyFont="1" applyFill="1" applyBorder="1" applyAlignment="1">
      <alignment horizontal="center" wrapText="1"/>
    </xf>
    <xf numFmtId="39" fontId="32" fillId="3" borderId="0" xfId="5" applyNumberFormat="1" applyFont="1" applyFill="1" applyAlignment="1">
      <alignment horizontal="center"/>
    </xf>
    <xf numFmtId="1" fontId="28" fillId="0" borderId="21" xfId="8" applyNumberFormat="1" applyFont="1" applyBorder="1" applyAlignment="1">
      <alignment horizontal="center" wrapText="1"/>
    </xf>
    <xf numFmtId="1" fontId="28" fillId="0" borderId="55" xfId="8" applyNumberFormat="1" applyFont="1" applyBorder="1" applyAlignment="1">
      <alignment horizontal="center" wrapText="1"/>
    </xf>
    <xf numFmtId="1" fontId="28" fillId="0" borderId="26" xfId="8" applyNumberFormat="1" applyFont="1" applyBorder="1" applyAlignment="1">
      <alignment horizontal="center" wrapText="1"/>
    </xf>
    <xf numFmtId="0" fontId="10" fillId="2" borderId="21" xfId="5" applyFont="1" applyFill="1" applyBorder="1"/>
    <xf numFmtId="0" fontId="10" fillId="2" borderId="55" xfId="5" applyFont="1" applyFill="1" applyBorder="1"/>
    <xf numFmtId="0" fontId="10" fillId="2" borderId="26" xfId="5" applyFont="1" applyFill="1" applyBorder="1"/>
    <xf numFmtId="0" fontId="10" fillId="2" borderId="0" xfId="5" applyFont="1" applyFill="1" applyAlignment="1">
      <alignment horizontal="center"/>
    </xf>
    <xf numFmtId="0" fontId="10" fillId="5" borderId="21" xfId="5" applyFont="1" applyFill="1" applyBorder="1"/>
    <xf numFmtId="0" fontId="10" fillId="5" borderId="55" xfId="5" applyFont="1" applyFill="1" applyBorder="1"/>
    <xf numFmtId="0" fontId="10" fillId="5" borderId="26" xfId="5" applyFont="1" applyFill="1" applyBorder="1"/>
    <xf numFmtId="0" fontId="10" fillId="0" borderId="55" xfId="5" applyFont="1" applyBorder="1"/>
    <xf numFmtId="37" fontId="28" fillId="0" borderId="55" xfId="8" applyNumberFormat="1" applyFont="1" applyBorder="1" applyAlignment="1">
      <alignment horizontal="center"/>
    </xf>
    <xf numFmtId="0" fontId="36" fillId="0" borderId="0" xfId="0" applyFont="1" applyAlignment="1">
      <alignment horizontal="left" indent="1"/>
    </xf>
    <xf numFmtId="173" fontId="31" fillId="0" borderId="0" xfId="1" applyNumberFormat="1" applyFont="1" applyBorder="1"/>
    <xf numFmtId="0" fontId="36" fillId="0" borderId="22" xfId="0" applyFont="1" applyBorder="1"/>
    <xf numFmtId="0" fontId="2" fillId="0" borderId="9" xfId="10" applyFont="1" applyBorder="1"/>
    <xf numFmtId="0" fontId="2" fillId="0" borderId="9" xfId="10" applyFont="1" applyBorder="1" applyAlignment="1">
      <alignment horizontal="right"/>
    </xf>
    <xf numFmtId="14" fontId="4" fillId="2" borderId="0" xfId="0" applyNumberFormat="1" applyFont="1" applyFill="1" applyAlignment="1">
      <alignment horizontal="right"/>
    </xf>
    <xf numFmtId="0" fontId="4" fillId="2" borderId="57" xfId="5" applyFont="1" applyFill="1" applyBorder="1" applyAlignment="1">
      <alignment horizontal="center"/>
    </xf>
    <xf numFmtId="0" fontId="4" fillId="5" borderId="59" xfId="5" applyFont="1" applyFill="1" applyBorder="1"/>
    <xf numFmtId="171" fontId="29" fillId="0" borderId="0" xfId="5" applyNumberFormat="1" applyFont="1" applyAlignment="1">
      <alignment horizontal="center" vertical="center"/>
    </xf>
    <xf numFmtId="171" fontId="29" fillId="0" borderId="57" xfId="5" applyNumberFormat="1" applyFont="1" applyBorder="1" applyAlignment="1">
      <alignment horizontal="center" vertical="center"/>
    </xf>
    <xf numFmtId="0" fontId="29" fillId="0" borderId="57" xfId="5" applyFont="1" applyBorder="1"/>
    <xf numFmtId="171" fontId="10" fillId="0" borderId="0" xfId="5" applyNumberFormat="1" applyFont="1" applyAlignment="1">
      <alignment horizontal="center" vertical="center"/>
    </xf>
    <xf numFmtId="171" fontId="10" fillId="0" borderId="57" xfId="5" applyNumberFormat="1" applyFont="1" applyBorder="1" applyAlignment="1">
      <alignment horizontal="center" vertical="center"/>
    </xf>
    <xf numFmtId="171" fontId="29" fillId="5" borderId="0" xfId="5" applyNumberFormat="1" applyFont="1" applyFill="1" applyAlignment="1">
      <alignment horizontal="center" vertical="center"/>
    </xf>
    <xf numFmtId="171" fontId="29" fillId="5" borderId="57" xfId="5" applyNumberFormat="1" applyFont="1" applyFill="1" applyBorder="1" applyAlignment="1">
      <alignment horizontal="center" vertical="center"/>
    </xf>
    <xf numFmtId="171" fontId="10" fillId="5" borderId="0" xfId="5" applyNumberFormat="1" applyFont="1" applyFill="1" applyAlignment="1">
      <alignment horizontal="center" vertical="center"/>
    </xf>
    <xf numFmtId="171" fontId="10" fillId="5" borderId="57" xfId="5" applyNumberFormat="1" applyFont="1" applyFill="1" applyBorder="1" applyAlignment="1">
      <alignment horizontal="center" vertical="center"/>
    </xf>
    <xf numFmtId="0" fontId="4" fillId="2" borderId="60" xfId="5" applyFont="1" applyFill="1" applyBorder="1" applyAlignment="1">
      <alignment horizontal="center"/>
    </xf>
    <xf numFmtId="0" fontId="4" fillId="5" borderId="62" xfId="5" applyFont="1" applyFill="1" applyBorder="1"/>
    <xf numFmtId="171" fontId="29" fillId="4" borderId="60" xfId="5" applyNumberFormat="1" applyFont="1" applyFill="1" applyBorder="1" applyAlignment="1">
      <alignment horizontal="center" vertical="center"/>
    </xf>
    <xf numFmtId="171" fontId="29" fillId="4" borderId="57" xfId="5" applyNumberFormat="1" applyFont="1" applyFill="1" applyBorder="1" applyAlignment="1">
      <alignment horizontal="center" vertical="center"/>
    </xf>
    <xf numFmtId="174" fontId="10" fillId="4" borderId="60" xfId="5" applyNumberFormat="1" applyFont="1" applyFill="1" applyBorder="1"/>
    <xf numFmtId="174" fontId="10" fillId="4" borderId="57" xfId="5" applyNumberFormat="1" applyFont="1" applyFill="1" applyBorder="1"/>
    <xf numFmtId="171" fontId="10" fillId="0" borderId="60" xfId="5" applyNumberFormat="1" applyFont="1" applyBorder="1" applyAlignment="1">
      <alignment horizontal="center" vertical="center"/>
    </xf>
    <xf numFmtId="171" fontId="29" fillId="5" borderId="60" xfId="5" applyNumberFormat="1" applyFont="1" applyFill="1" applyBorder="1" applyAlignment="1">
      <alignment horizontal="center" vertical="center"/>
    </xf>
    <xf numFmtId="171" fontId="10" fillId="5" borderId="60" xfId="5" applyNumberFormat="1" applyFont="1" applyFill="1" applyBorder="1" applyAlignment="1">
      <alignment horizontal="center" vertical="center"/>
    </xf>
    <xf numFmtId="171" fontId="29" fillId="0" borderId="60" xfId="5" applyNumberFormat="1" applyFont="1" applyBorder="1" applyAlignment="1">
      <alignment horizontal="center" vertical="center"/>
    </xf>
    <xf numFmtId="174" fontId="10" fillId="0" borderId="60" xfId="5" applyNumberFormat="1" applyFont="1" applyBorder="1"/>
    <xf numFmtId="174" fontId="10" fillId="0" borderId="57" xfId="5" applyNumberFormat="1" applyFont="1" applyBorder="1"/>
    <xf numFmtId="171" fontId="10" fillId="0" borderId="60" xfId="2" applyNumberFormat="1" applyFont="1" applyBorder="1" applyAlignment="1">
      <alignment horizontal="center" vertical="center"/>
    </xf>
    <xf numFmtId="9" fontId="29" fillId="5" borderId="60" xfId="2" applyFont="1" applyFill="1" applyBorder="1" applyAlignment="1">
      <alignment horizontal="center" vertical="center"/>
    </xf>
    <xf numFmtId="9" fontId="29" fillId="5" borderId="57" xfId="2" applyFont="1" applyFill="1" applyBorder="1" applyAlignment="1">
      <alignment horizontal="center" vertical="center"/>
    </xf>
    <xf numFmtId="0" fontId="4" fillId="2" borderId="57" xfId="5" applyFont="1" applyFill="1" applyBorder="1"/>
    <xf numFmtId="2" fontId="10" fillId="0" borderId="60" xfId="5" applyNumberFormat="1" applyFont="1" applyBorder="1" applyAlignment="1">
      <alignment horizontal="center" vertical="center"/>
    </xf>
    <xf numFmtId="2" fontId="10" fillId="0" borderId="57" xfId="5" applyNumberFormat="1" applyFont="1" applyBorder="1" applyAlignment="1">
      <alignment horizontal="center" vertical="center"/>
    </xf>
    <xf numFmtId="2" fontId="29" fillId="5" borderId="60" xfId="2" applyNumberFormat="1" applyFont="1" applyFill="1" applyBorder="1" applyAlignment="1">
      <alignment horizontal="center" vertical="center"/>
    </xf>
    <xf numFmtId="2" fontId="29" fillId="5" borderId="57" xfId="2" applyNumberFormat="1" applyFont="1" applyFill="1" applyBorder="1" applyAlignment="1">
      <alignment horizontal="center" vertical="center"/>
    </xf>
    <xf numFmtId="2" fontId="10" fillId="5" borderId="57" xfId="5" applyNumberFormat="1" applyFont="1" applyFill="1" applyBorder="1" applyAlignment="1">
      <alignment horizontal="center" vertical="center"/>
    </xf>
    <xf numFmtId="0" fontId="4" fillId="2" borderId="60" xfId="5" applyFont="1" applyFill="1" applyBorder="1"/>
    <xf numFmtId="4" fontId="10" fillId="0" borderId="60" xfId="5" applyNumberFormat="1" applyFont="1" applyBorder="1" applyAlignment="1">
      <alignment horizontal="center" vertical="center"/>
    </xf>
    <xf numFmtId="2" fontId="10" fillId="0" borderId="57" xfId="2" applyNumberFormat="1" applyFont="1" applyBorder="1" applyAlignment="1">
      <alignment horizontal="center" vertical="center"/>
    </xf>
    <xf numFmtId="4" fontId="10" fillId="0" borderId="60" xfId="5" applyNumberFormat="1" applyFont="1" applyBorder="1" applyAlignment="1">
      <alignment horizontal="center"/>
    </xf>
    <xf numFmtId="2" fontId="10" fillId="0" borderId="57" xfId="2" applyNumberFormat="1" applyFont="1" applyBorder="1" applyAlignment="1">
      <alignment horizontal="center"/>
    </xf>
    <xf numFmtId="0" fontId="5" fillId="5" borderId="4" xfId="5" applyFont="1" applyFill="1" applyBorder="1"/>
    <xf numFmtId="2" fontId="10" fillId="0" borderId="4" xfId="5" applyNumberFormat="1" applyFont="1" applyBorder="1" applyAlignment="1">
      <alignment horizontal="center"/>
    </xf>
    <xf numFmtId="3" fontId="10" fillId="0" borderId="4" xfId="5" applyNumberFormat="1" applyFont="1" applyBorder="1" applyAlignment="1">
      <alignment horizontal="center"/>
    </xf>
    <xf numFmtId="0" fontId="5" fillId="5" borderId="1" xfId="5" applyFont="1" applyFill="1" applyBorder="1"/>
    <xf numFmtId="2" fontId="10" fillId="0" borderId="1" xfId="5" applyNumberFormat="1" applyFont="1" applyBorder="1" applyAlignment="1">
      <alignment horizontal="center"/>
    </xf>
    <xf numFmtId="0" fontId="5" fillId="5" borderId="63" xfId="5" applyFont="1" applyFill="1" applyBorder="1"/>
    <xf numFmtId="2" fontId="10" fillId="0" borderId="63" xfId="5" applyNumberFormat="1" applyFont="1" applyBorder="1" applyAlignment="1">
      <alignment horizontal="center"/>
    </xf>
    <xf numFmtId="171" fontId="10" fillId="0" borderId="0" xfId="2" applyNumberFormat="1" applyFont="1" applyAlignment="1">
      <alignment horizontal="center"/>
    </xf>
    <xf numFmtId="0" fontId="4" fillId="0" borderId="0" xfId="5" applyFont="1" applyAlignment="1">
      <alignment horizontal="center"/>
    </xf>
    <xf numFmtId="0" fontId="5" fillId="0" borderId="0" xfId="5" applyFont="1" applyAlignment="1">
      <alignment horizontal="center"/>
    </xf>
    <xf numFmtId="2" fontId="5" fillId="0" borderId="0" xfId="2" applyNumberFormat="1" applyFont="1" applyFill="1" applyBorder="1" applyAlignment="1"/>
    <xf numFmtId="2" fontId="5" fillId="0" borderId="0" xfId="5" applyNumberFormat="1" applyFont="1"/>
    <xf numFmtId="175" fontId="5" fillId="0" borderId="0" xfId="5" applyNumberFormat="1" applyFont="1" applyAlignment="1">
      <alignment horizontal="center"/>
    </xf>
    <xf numFmtId="2" fontId="29" fillId="0" borderId="60" xfId="5" applyNumberFormat="1" applyFont="1" applyBorder="1" applyAlignment="1">
      <alignment horizontal="center" vertical="center"/>
    </xf>
    <xf numFmtId="2" fontId="29" fillId="0" borderId="57" xfId="5" applyNumberFormat="1" applyFont="1" applyBorder="1" applyAlignment="1">
      <alignment horizontal="center" vertical="center"/>
    </xf>
    <xf numFmtId="4" fontId="29" fillId="0" borderId="60" xfId="5" applyNumberFormat="1" applyFont="1" applyBorder="1" applyAlignment="1">
      <alignment horizontal="center" vertical="center"/>
    </xf>
    <xf numFmtId="2" fontId="29" fillId="0" borderId="57" xfId="2" applyNumberFormat="1" applyFont="1" applyBorder="1" applyAlignment="1">
      <alignment horizontal="center" vertical="center"/>
    </xf>
    <xf numFmtId="2" fontId="29" fillId="0" borderId="0" xfId="2" applyNumberFormat="1" applyFont="1" applyBorder="1" applyAlignment="1">
      <alignment horizontal="center" vertical="center"/>
    </xf>
    <xf numFmtId="4" fontId="29" fillId="0" borderId="0" xfId="5" applyNumberFormat="1" applyFont="1" applyAlignment="1">
      <alignment horizontal="center" vertical="center"/>
    </xf>
    <xf numFmtId="2" fontId="10" fillId="5" borderId="0" xfId="5" applyNumberFormat="1" applyFont="1" applyFill="1" applyAlignment="1">
      <alignment horizontal="center" vertical="center"/>
    </xf>
    <xf numFmtId="0" fontId="7" fillId="0" borderId="54" xfId="5" applyFont="1" applyBorder="1" applyAlignment="1">
      <alignment vertical="center"/>
    </xf>
    <xf numFmtId="0" fontId="32" fillId="0" borderId="54" xfId="5" applyFont="1" applyBorder="1" applyAlignment="1">
      <alignment vertical="center"/>
    </xf>
    <xf numFmtId="171" fontId="10" fillId="0" borderId="54" xfId="5" applyNumberFormat="1" applyFont="1" applyBorder="1" applyAlignment="1">
      <alignment horizontal="center" vertical="center"/>
    </xf>
    <xf numFmtId="171" fontId="10" fillId="0" borderId="58" xfId="5" applyNumberFormat="1" applyFont="1" applyBorder="1" applyAlignment="1">
      <alignment horizontal="center" vertical="center"/>
    </xf>
    <xf numFmtId="171" fontId="10" fillId="0" borderId="61" xfId="5" applyNumberFormat="1" applyFont="1" applyBorder="1" applyAlignment="1">
      <alignment horizontal="center" vertical="center"/>
    </xf>
    <xf numFmtId="171" fontId="10" fillId="0" borderId="61" xfId="2" applyNumberFormat="1" applyFont="1" applyBorder="1" applyAlignment="1">
      <alignment horizontal="center" vertical="center"/>
    </xf>
    <xf numFmtId="2" fontId="10" fillId="0" borderId="61" xfId="5" applyNumberFormat="1" applyFont="1" applyBorder="1" applyAlignment="1">
      <alignment horizontal="center" vertical="center"/>
    </xf>
    <xf numFmtId="2" fontId="10" fillId="0" borderId="58" xfId="5" applyNumberFormat="1" applyFont="1" applyBorder="1" applyAlignment="1">
      <alignment horizontal="center" vertical="center"/>
    </xf>
    <xf numFmtId="4" fontId="10" fillId="0" borderId="61" xfId="5" applyNumberFormat="1" applyFont="1" applyBorder="1" applyAlignment="1">
      <alignment horizontal="center" vertical="center"/>
    </xf>
    <xf numFmtId="2" fontId="10" fillId="0" borderId="58" xfId="2" applyNumberFormat="1" applyFont="1" applyBorder="1" applyAlignment="1">
      <alignment horizontal="center" vertical="center"/>
    </xf>
    <xf numFmtId="2" fontId="10" fillId="0" borderId="54" xfId="2" applyNumberFormat="1" applyFont="1" applyBorder="1" applyAlignment="1">
      <alignment horizontal="center" vertical="center"/>
    </xf>
    <xf numFmtId="4" fontId="10" fillId="0" borderId="54" xfId="5" applyNumberFormat="1" applyFont="1" applyBorder="1" applyAlignment="1">
      <alignment horizontal="center" vertical="center"/>
    </xf>
    <xf numFmtId="10" fontId="11" fillId="3" borderId="0" xfId="1" applyNumberFormat="1" applyFont="1" applyFill="1" applyAlignment="1">
      <alignment horizontal="right"/>
    </xf>
    <xf numFmtId="10" fontId="11" fillId="0" borderId="2" xfId="1" applyNumberFormat="1" applyFont="1" applyBorder="1" applyAlignment="1">
      <alignment horizontal="right"/>
    </xf>
    <xf numFmtId="10" fontId="11" fillId="0" borderId="0" xfId="1" applyNumberFormat="1" applyFont="1" applyBorder="1" applyAlignment="1">
      <alignment horizontal="right"/>
    </xf>
    <xf numFmtId="0" fontId="59" fillId="0" borderId="0" xfId="0" applyFont="1"/>
    <xf numFmtId="0" fontId="60" fillId="0" borderId="0" xfId="0" applyFont="1"/>
    <xf numFmtId="0" fontId="59" fillId="5" borderId="0" xfId="0" applyFont="1" applyFill="1"/>
    <xf numFmtId="0" fontId="61" fillId="0" borderId="0" xfId="0" applyFont="1" applyAlignment="1">
      <alignment horizontal="left" indent="2"/>
    </xf>
    <xf numFmtId="0" fontId="59" fillId="2" borderId="0" xfId="0" applyFont="1" applyFill="1"/>
    <xf numFmtId="0" fontId="60" fillId="2" borderId="0" xfId="0" applyFont="1" applyFill="1"/>
    <xf numFmtId="0" fontId="60" fillId="5" borderId="0" xfId="0" applyFont="1" applyFill="1"/>
    <xf numFmtId="0" fontId="62" fillId="0" borderId="0" xfId="0" applyFont="1"/>
    <xf numFmtId="0" fontId="63" fillId="0" borderId="0" xfId="0" applyFont="1"/>
    <xf numFmtId="0" fontId="4" fillId="2" borderId="0" xfId="0" applyFont="1" applyFill="1" applyAlignment="1">
      <alignment horizontal="right"/>
    </xf>
    <xf numFmtId="0" fontId="4" fillId="2" borderId="5" xfId="0" applyFont="1" applyFill="1" applyBorder="1" applyAlignment="1">
      <alignment horizontal="right"/>
    </xf>
    <xf numFmtId="167" fontId="4" fillId="2" borderId="5" xfId="0" applyNumberFormat="1" applyFont="1" applyFill="1" applyBorder="1" applyAlignment="1">
      <alignment horizontal="right"/>
    </xf>
    <xf numFmtId="172" fontId="11" fillId="0" borderId="0" xfId="0" applyNumberFormat="1" applyFont="1" applyAlignment="1">
      <alignment horizontal="right"/>
    </xf>
    <xf numFmtId="171" fontId="11" fillId="0" borderId="5" xfId="2" applyNumberFormat="1" applyFont="1" applyBorder="1" applyAlignment="1">
      <alignment horizontal="right"/>
    </xf>
    <xf numFmtId="172" fontId="11" fillId="0" borderId="5" xfId="2" applyNumberFormat="1" applyFont="1" applyBorder="1" applyAlignment="1">
      <alignment horizontal="right"/>
    </xf>
    <xf numFmtId="172" fontId="11" fillId="0" borderId="5" xfId="1" applyNumberFormat="1" applyFont="1" applyBorder="1" applyAlignment="1">
      <alignment horizontal="right"/>
    </xf>
    <xf numFmtId="3" fontId="11" fillId="0" borderId="5" xfId="0" applyNumberFormat="1" applyFont="1" applyBorder="1" applyAlignment="1">
      <alignment horizontal="right"/>
    </xf>
    <xf numFmtId="171" fontId="11" fillId="0" borderId="64" xfId="2" applyNumberFormat="1" applyFont="1" applyBorder="1" applyAlignment="1">
      <alignment horizontal="right"/>
    </xf>
    <xf numFmtId="3" fontId="11" fillId="0" borderId="4" xfId="2" applyNumberFormat="1" applyFont="1" applyBorder="1" applyAlignment="1">
      <alignment horizontal="right"/>
    </xf>
    <xf numFmtId="3" fontId="11" fillId="0" borderId="0" xfId="2" applyNumberFormat="1" applyFont="1" applyBorder="1" applyAlignment="1">
      <alignment horizontal="right"/>
    </xf>
    <xf numFmtId="3" fontId="11" fillId="0" borderId="52" xfId="0" applyNumberFormat="1" applyFont="1" applyBorder="1" applyAlignment="1">
      <alignment horizontal="right"/>
    </xf>
    <xf numFmtId="171" fontId="11" fillId="0" borderId="6" xfId="2" applyNumberFormat="1" applyFont="1" applyBorder="1" applyAlignment="1">
      <alignment horizontal="right"/>
    </xf>
    <xf numFmtId="3" fontId="11" fillId="0" borderId="52" xfId="2" applyNumberFormat="1" applyFont="1" applyBorder="1" applyAlignment="1">
      <alignment horizontal="right"/>
    </xf>
    <xf numFmtId="3" fontId="11" fillId="0" borderId="7" xfId="2" applyNumberFormat="1" applyFont="1" applyBorder="1" applyAlignment="1">
      <alignment horizontal="right"/>
    </xf>
    <xf numFmtId="3" fontId="11" fillId="3" borderId="0" xfId="0" applyNumberFormat="1" applyFont="1" applyFill="1" applyAlignment="1">
      <alignment horizontal="right"/>
    </xf>
    <xf numFmtId="171" fontId="11" fillId="3" borderId="64" xfId="2" applyNumberFormat="1" applyFont="1" applyFill="1" applyBorder="1" applyAlignment="1">
      <alignment horizontal="right"/>
    </xf>
    <xf numFmtId="3" fontId="11" fillId="3" borderId="4" xfId="2" applyNumberFormat="1" applyFont="1" applyFill="1" applyBorder="1" applyAlignment="1">
      <alignment horizontal="right"/>
    </xf>
    <xf numFmtId="179" fontId="0" fillId="0" borderId="0" xfId="0" applyNumberFormat="1"/>
    <xf numFmtId="0" fontId="17" fillId="5" borderId="65" xfId="0" applyFont="1" applyFill="1" applyBorder="1"/>
    <xf numFmtId="0" fontId="17" fillId="5" borderId="66" xfId="0" applyFont="1" applyFill="1" applyBorder="1"/>
    <xf numFmtId="0" fontId="4" fillId="2" borderId="0" xfId="0" applyFont="1" applyFill="1" applyAlignment="1">
      <alignment horizontal="left"/>
    </xf>
    <xf numFmtId="0" fontId="7" fillId="0" borderId="0" xfId="0" applyFont="1" applyAlignment="1">
      <alignment vertical="center" wrapText="1"/>
    </xf>
    <xf numFmtId="10" fontId="0" fillId="0" borderId="8" xfId="0" applyNumberFormat="1" applyBorder="1"/>
    <xf numFmtId="170" fontId="5" fillId="0" borderId="0" xfId="0" applyNumberFormat="1" applyFont="1"/>
    <xf numFmtId="171" fontId="13" fillId="5" borderId="27" xfId="2" applyNumberFormat="1" applyFont="1" applyFill="1" applyBorder="1"/>
    <xf numFmtId="171" fontId="12" fillId="5" borderId="28" xfId="2" applyNumberFormat="1" applyFont="1" applyFill="1" applyBorder="1"/>
    <xf numFmtId="171" fontId="12" fillId="5" borderId="29" xfId="2" applyNumberFormat="1" applyFont="1" applyFill="1" applyBorder="1"/>
    <xf numFmtId="171" fontId="13" fillId="5" borderId="28" xfId="2" applyNumberFormat="1" applyFont="1" applyFill="1" applyBorder="1"/>
    <xf numFmtId="1" fontId="35" fillId="5" borderId="25" xfId="0" applyNumberFormat="1" applyFont="1" applyFill="1" applyBorder="1" applyAlignment="1">
      <alignment horizontal="center"/>
    </xf>
    <xf numFmtId="10" fontId="12" fillId="5" borderId="25" xfId="2" applyNumberFormat="1" applyFont="1" applyFill="1" applyBorder="1" applyAlignment="1">
      <alignment horizontal="center"/>
    </xf>
    <xf numFmtId="10" fontId="36" fillId="5" borderId="25" xfId="0" applyNumberFormat="1" applyFont="1" applyFill="1" applyBorder="1" applyAlignment="1">
      <alignment horizontal="center"/>
    </xf>
    <xf numFmtId="10" fontId="37" fillId="5" borderId="25" xfId="0" applyNumberFormat="1" applyFont="1" applyFill="1" applyBorder="1" applyAlignment="1">
      <alignment horizontal="center"/>
    </xf>
    <xf numFmtId="10" fontId="35" fillId="5" borderId="25" xfId="0" applyNumberFormat="1" applyFont="1" applyFill="1" applyBorder="1" applyAlignment="1">
      <alignment horizontal="center"/>
    </xf>
    <xf numFmtId="10" fontId="36" fillId="5" borderId="25" xfId="2" applyNumberFormat="1" applyFont="1" applyFill="1" applyBorder="1" applyAlignment="1">
      <alignment horizontal="center"/>
    </xf>
    <xf numFmtId="10" fontId="0" fillId="0" borderId="8" xfId="2" applyNumberFormat="1" applyFont="1" applyBorder="1"/>
    <xf numFmtId="0" fontId="64" fillId="0" borderId="0" xfId="0" applyFont="1" applyAlignment="1">
      <alignment horizontal="left" vertical="top" indent="1"/>
    </xf>
    <xf numFmtId="0" fontId="8" fillId="0" borderId="0" xfId="5" applyFont="1"/>
    <xf numFmtId="172" fontId="11" fillId="0" borderId="51" xfId="1" applyNumberFormat="1" applyFont="1" applyBorder="1" applyAlignment="1">
      <alignment horizontal="right"/>
    </xf>
    <xf numFmtId="0" fontId="4" fillId="2" borderId="0" xfId="5" applyFont="1" applyFill="1" applyAlignment="1">
      <alignment horizontal="left" vertical="center"/>
    </xf>
    <xf numFmtId="0" fontId="4" fillId="2" borderId="0" xfId="5" applyFont="1" applyFill="1" applyAlignment="1">
      <alignment vertical="center"/>
    </xf>
    <xf numFmtId="0" fontId="2" fillId="0" borderId="0" xfId="0" applyFont="1" applyAlignment="1">
      <alignment vertical="center"/>
    </xf>
    <xf numFmtId="0" fontId="4" fillId="2" borderId="0" xfId="5" applyFont="1" applyFill="1" applyAlignment="1">
      <alignment horizontal="center" wrapText="1"/>
    </xf>
    <xf numFmtId="0" fontId="12" fillId="0" borderId="0" xfId="0" applyFont="1" applyAlignment="1">
      <alignment horizontal="left" indent="1"/>
    </xf>
    <xf numFmtId="0" fontId="59" fillId="0" borderId="10" xfId="0" applyFont="1" applyBorder="1"/>
    <xf numFmtId="167" fontId="4" fillId="0" borderId="10" xfId="0" applyNumberFormat="1" applyFont="1" applyBorder="1"/>
    <xf numFmtId="169" fontId="0" fillId="0" borderId="10" xfId="1" applyNumberFormat="1" applyFont="1" applyFill="1" applyBorder="1" applyAlignment="1">
      <alignment horizontal="right"/>
    </xf>
    <xf numFmtId="0" fontId="0" fillId="0" borderId="10" xfId="0" applyBorder="1"/>
    <xf numFmtId="166" fontId="4" fillId="0" borderId="10" xfId="0" applyNumberFormat="1" applyFont="1" applyBorder="1"/>
    <xf numFmtId="0" fontId="65" fillId="0" borderId="0" xfId="3" applyFont="1" applyBorder="1" applyAlignment="1"/>
    <xf numFmtId="49" fontId="58" fillId="0" borderId="0" xfId="0" applyNumberFormat="1" applyFont="1"/>
    <xf numFmtId="0" fontId="0" fillId="0" borderId="46" xfId="0" applyBorder="1"/>
    <xf numFmtId="0" fontId="0" fillId="0" borderId="42" xfId="0" applyBorder="1"/>
    <xf numFmtId="0" fontId="0" fillId="0" borderId="13" xfId="0" applyBorder="1"/>
    <xf numFmtId="0" fontId="0" fillId="0" borderId="15" xfId="0" applyBorder="1"/>
    <xf numFmtId="173" fontId="13" fillId="0" borderId="72" xfId="0" applyNumberFormat="1" applyFont="1" applyBorder="1"/>
    <xf numFmtId="173" fontId="13" fillId="0" borderId="73" xfId="0" applyNumberFormat="1" applyFont="1" applyBorder="1"/>
    <xf numFmtId="9" fontId="12" fillId="0" borderId="0" xfId="0" applyNumberFormat="1" applyFont="1"/>
    <xf numFmtId="10" fontId="0" fillId="0" borderId="14" xfId="2" applyNumberFormat="1" applyFont="1" applyBorder="1"/>
    <xf numFmtId="10" fontId="0" fillId="0" borderId="16" xfId="2" applyNumberFormat="1" applyFont="1" applyBorder="1"/>
    <xf numFmtId="0" fontId="0" fillId="0" borderId="16" xfId="0" applyBorder="1"/>
    <xf numFmtId="0" fontId="0" fillId="0" borderId="12" xfId="0" applyBorder="1"/>
    <xf numFmtId="0" fontId="0" fillId="0" borderId="74" xfId="0" applyBorder="1"/>
    <xf numFmtId="0" fontId="17" fillId="0" borderId="0" xfId="0" applyFont="1"/>
    <xf numFmtId="2" fontId="0" fillId="0" borderId="0" xfId="0" applyNumberFormat="1" applyAlignment="1">
      <alignment horizontal="center"/>
    </xf>
    <xf numFmtId="2" fontId="0" fillId="0" borderId="15" xfId="0" applyNumberFormat="1" applyBorder="1" applyAlignment="1">
      <alignment horizontal="center"/>
    </xf>
    <xf numFmtId="10" fontId="0" fillId="0" borderId="15" xfId="2" applyNumberFormat="1" applyFont="1" applyBorder="1"/>
    <xf numFmtId="0" fontId="3" fillId="0" borderId="12" xfId="0" applyFont="1" applyBorder="1"/>
    <xf numFmtId="10" fontId="2" fillId="0" borderId="14" xfId="2" applyNumberFormat="1" applyFont="1" applyBorder="1"/>
    <xf numFmtId="10" fontId="2" fillId="0" borderId="16" xfId="2" applyNumberFormat="1" applyFont="1" applyBorder="1"/>
    <xf numFmtId="180" fontId="0" fillId="0" borderId="0" xfId="0" applyNumberFormat="1"/>
    <xf numFmtId="0" fontId="17" fillId="0" borderId="9" xfId="0" applyFont="1" applyBorder="1"/>
    <xf numFmtId="0" fontId="0" fillId="0" borderId="0" xfId="0" applyAlignment="1">
      <alignment horizontal="left" vertical="top" wrapText="1"/>
    </xf>
    <xf numFmtId="0" fontId="18" fillId="0" borderId="8" xfId="0" applyFont="1" applyBorder="1"/>
    <xf numFmtId="9" fontId="13" fillId="6" borderId="0" xfId="0" applyNumberFormat="1" applyFont="1" applyFill="1"/>
    <xf numFmtId="9" fontId="13" fillId="6" borderId="0" xfId="0" applyNumberFormat="1" applyFont="1" applyFill="1" applyAlignment="1">
      <alignment horizontal="right"/>
    </xf>
    <xf numFmtId="9" fontId="13" fillId="6" borderId="0" xfId="0" applyNumberFormat="1" applyFont="1" applyFill="1" applyAlignment="1">
      <alignment horizontal="center"/>
    </xf>
    <xf numFmtId="4" fontId="32" fillId="0" borderId="0" xfId="0" applyNumberFormat="1" applyFont="1"/>
    <xf numFmtId="0" fontId="0" fillId="3" borderId="0" xfId="0" applyFill="1"/>
    <xf numFmtId="0" fontId="32" fillId="3" borderId="0" xfId="0" applyFont="1" applyFill="1"/>
    <xf numFmtId="4" fontId="32" fillId="3" borderId="0" xfId="0" applyNumberFormat="1" applyFont="1" applyFill="1"/>
    <xf numFmtId="9" fontId="0" fillId="3" borderId="0" xfId="2" applyFont="1" applyFill="1"/>
    <xf numFmtId="0" fontId="0" fillId="0" borderId="0" xfId="0" applyAlignment="1">
      <alignment vertical="top"/>
    </xf>
    <xf numFmtId="37" fontId="28" fillId="0" borderId="0" xfId="8" applyNumberFormat="1" applyFont="1" applyAlignment="1">
      <alignment horizontal="center"/>
    </xf>
    <xf numFmtId="37" fontId="32" fillId="0" borderId="0" xfId="8" applyNumberFormat="1" applyFont="1" applyAlignment="1">
      <alignment horizontal="center" wrapText="1"/>
    </xf>
    <xf numFmtId="37" fontId="32" fillId="0" borderId="0" xfId="5" applyNumberFormat="1" applyFont="1" applyAlignment="1">
      <alignment horizontal="center"/>
    </xf>
    <xf numFmtId="37" fontId="28" fillId="0" borderId="17" xfId="8" applyNumberFormat="1" applyFont="1" applyBorder="1" applyAlignment="1">
      <alignment horizontal="center"/>
    </xf>
    <xf numFmtId="0" fontId="10" fillId="2" borderId="45" xfId="5" applyFont="1" applyFill="1" applyBorder="1"/>
    <xf numFmtId="0" fontId="10" fillId="5" borderId="17" xfId="5" applyFont="1" applyFill="1" applyBorder="1"/>
    <xf numFmtId="37" fontId="32" fillId="3" borderId="44" xfId="8" applyNumberFormat="1" applyFont="1" applyFill="1" applyBorder="1" applyAlignment="1">
      <alignment horizontal="center" wrapText="1"/>
    </xf>
    <xf numFmtId="0" fontId="10" fillId="2" borderId="44" xfId="5" applyFont="1" applyFill="1" applyBorder="1"/>
    <xf numFmtId="0" fontId="10" fillId="5" borderId="44" xfId="5" applyFont="1" applyFill="1" applyBorder="1"/>
    <xf numFmtId="0" fontId="55" fillId="2" borderId="17" xfId="5" applyFont="1" applyFill="1" applyBorder="1" applyAlignment="1">
      <alignment horizontal="center" vertical="center" wrapText="1"/>
    </xf>
    <xf numFmtId="0" fontId="56" fillId="5" borderId="17" xfId="5" applyFont="1" applyFill="1" applyBorder="1"/>
    <xf numFmtId="37" fontId="32" fillId="3" borderId="75" xfId="8" applyNumberFormat="1" applyFont="1" applyFill="1" applyBorder="1" applyAlignment="1">
      <alignment horizontal="center"/>
    </xf>
    <xf numFmtId="37" fontId="32" fillId="3" borderId="17" xfId="8" applyNumberFormat="1" applyFont="1" applyFill="1" applyBorder="1" applyAlignment="1">
      <alignment horizontal="center"/>
    </xf>
    <xf numFmtId="37" fontId="32" fillId="3" borderId="17" xfId="8" applyNumberFormat="1" applyFont="1" applyFill="1" applyBorder="1" applyAlignment="1">
      <alignment horizontal="center" wrapText="1"/>
    </xf>
    <xf numFmtId="39" fontId="32" fillId="3" borderId="17" xfId="8" applyNumberFormat="1" applyFont="1" applyFill="1" applyBorder="1" applyAlignment="1">
      <alignment horizontal="center" wrapText="1"/>
    </xf>
    <xf numFmtId="1" fontId="28" fillId="0" borderId="17" xfId="8" applyNumberFormat="1" applyFont="1" applyBorder="1" applyAlignment="1">
      <alignment horizontal="center" wrapText="1"/>
    </xf>
    <xf numFmtId="0" fontId="10" fillId="2" borderId="17" xfId="5" applyFont="1" applyFill="1" applyBorder="1"/>
    <xf numFmtId="0" fontId="55" fillId="2" borderId="44" xfId="5" applyFont="1" applyFill="1" applyBorder="1" applyAlignment="1">
      <alignment horizontal="center" vertical="center" wrapText="1"/>
    </xf>
    <xf numFmtId="0" fontId="56" fillId="5" borderId="44" xfId="5" applyFont="1" applyFill="1" applyBorder="1"/>
    <xf numFmtId="37" fontId="32" fillId="3" borderId="76" xfId="8" applyNumberFormat="1" applyFont="1" applyFill="1" applyBorder="1" applyAlignment="1">
      <alignment horizontal="center"/>
    </xf>
    <xf numFmtId="37" fontId="32" fillId="3" borderId="44" xfId="8" applyNumberFormat="1" applyFont="1" applyFill="1" applyBorder="1" applyAlignment="1">
      <alignment horizontal="center"/>
    </xf>
    <xf numFmtId="39" fontId="32" fillId="3" borderId="44" xfId="8" applyNumberFormat="1" applyFont="1" applyFill="1" applyBorder="1" applyAlignment="1">
      <alignment horizontal="center" wrapText="1"/>
    </xf>
    <xf numFmtId="1" fontId="28" fillId="0" borderId="44" xfId="8" applyNumberFormat="1" applyFont="1" applyBorder="1" applyAlignment="1">
      <alignment horizontal="center" wrapText="1"/>
    </xf>
    <xf numFmtId="37" fontId="7" fillId="3" borderId="44" xfId="8" applyNumberFormat="1" applyFont="1" applyFill="1" applyBorder="1" applyAlignment="1">
      <alignment horizontal="center" wrapText="1"/>
    </xf>
    <xf numFmtId="169" fontId="10" fillId="0" borderId="0" xfId="5" applyNumberFormat="1" applyFont="1" applyAlignment="1">
      <alignment horizontal="center"/>
    </xf>
    <xf numFmtId="10" fontId="10" fillId="0" borderId="0" xfId="2" applyNumberFormat="1" applyFont="1" applyAlignment="1">
      <alignment horizontal="center"/>
    </xf>
    <xf numFmtId="2" fontId="10" fillId="0" borderId="0" xfId="2" applyNumberFormat="1" applyFont="1" applyAlignment="1">
      <alignment horizontal="center"/>
    </xf>
    <xf numFmtId="0" fontId="10" fillId="3" borderId="0" xfId="0" applyFont="1" applyFill="1"/>
    <xf numFmtId="0" fontId="0" fillId="0" borderId="8" xfId="0" applyBorder="1" applyAlignment="1">
      <alignment horizontal="center"/>
    </xf>
    <xf numFmtId="9" fontId="0" fillId="0" borderId="0" xfId="2" applyFont="1" applyAlignment="1">
      <alignment horizontal="center"/>
    </xf>
    <xf numFmtId="9" fontId="0" fillId="3" borderId="0" xfId="2" applyFont="1" applyFill="1" applyAlignment="1">
      <alignment horizontal="center"/>
    </xf>
    <xf numFmtId="173" fontId="20" fillId="0" borderId="0" xfId="0" applyNumberFormat="1" applyFont="1"/>
    <xf numFmtId="0" fontId="66" fillId="8" borderId="0" xfId="0" applyFont="1" applyFill="1"/>
    <xf numFmtId="0" fontId="67" fillId="8" borderId="0" xfId="0" applyFont="1" applyFill="1"/>
    <xf numFmtId="0" fontId="67" fillId="9" borderId="0" xfId="0" applyFont="1" applyFill="1"/>
    <xf numFmtId="0" fontId="8" fillId="0" borderId="0" xfId="0" applyFont="1"/>
    <xf numFmtId="4" fontId="0" fillId="0" borderId="0" xfId="0" applyNumberFormat="1"/>
    <xf numFmtId="4" fontId="8" fillId="0" borderId="0" xfId="0" applyNumberFormat="1" applyFont="1"/>
    <xf numFmtId="0" fontId="2" fillId="2" borderId="0" xfId="0" applyFont="1" applyFill="1"/>
    <xf numFmtId="0" fontId="2" fillId="5" borderId="0" xfId="0" applyFont="1" applyFill="1"/>
    <xf numFmtId="0" fontId="2" fillId="0" borderId="10" xfId="0" applyFont="1" applyBorder="1"/>
    <xf numFmtId="0" fontId="2" fillId="0" borderId="10" xfId="0" applyFont="1" applyBorder="1" applyAlignment="1">
      <alignment horizontal="left" vertical="top" wrapText="1"/>
    </xf>
    <xf numFmtId="0" fontId="8" fillId="0" borderId="0" xfId="3" applyFont="1" applyBorder="1"/>
    <xf numFmtId="0" fontId="2" fillId="0" borderId="0" xfId="0" applyFont="1" applyAlignment="1">
      <alignment vertical="top" wrapText="1"/>
    </xf>
    <xf numFmtId="0" fontId="2" fillId="0" borderId="10" xfId="0" applyFont="1" applyBorder="1" applyAlignment="1">
      <alignment vertical="top" wrapText="1"/>
    </xf>
    <xf numFmtId="0" fontId="16" fillId="5" borderId="0" xfId="0" applyFont="1" applyFill="1"/>
    <xf numFmtId="0" fontId="2" fillId="0" borderId="0" xfId="0" applyFont="1" applyAlignment="1">
      <alignment wrapText="1"/>
    </xf>
    <xf numFmtId="0" fontId="8" fillId="0" borderId="0" xfId="0" applyFont="1" applyAlignment="1">
      <alignment horizontal="left" indent="1"/>
    </xf>
    <xf numFmtId="0" fontId="2" fillId="0" borderId="8" xfId="0" applyFont="1" applyBorder="1"/>
    <xf numFmtId="10" fontId="2" fillId="0" borderId="0" xfId="0" applyNumberFormat="1" applyFont="1"/>
    <xf numFmtId="0" fontId="2" fillId="0" borderId="0" xfId="0" applyFont="1" applyAlignment="1">
      <alignment indent="1"/>
    </xf>
    <xf numFmtId="3" fontId="2" fillId="0" borderId="0" xfId="0" applyNumberFormat="1" applyFont="1"/>
    <xf numFmtId="0" fontId="2" fillId="0" borderId="0" xfId="0" applyFont="1" applyAlignment="1">
      <alignment horizontal="left" indent="1"/>
    </xf>
    <xf numFmtId="3" fontId="11" fillId="0" borderId="0" xfId="1" applyNumberFormat="1" applyFont="1" applyFill="1" applyBorder="1" applyAlignment="1">
      <alignment horizontal="right"/>
    </xf>
    <xf numFmtId="0" fontId="4" fillId="0" borderId="0" xfId="0" applyFont="1"/>
    <xf numFmtId="0" fontId="5" fillId="0" borderId="0" xfId="0" applyFont="1"/>
    <xf numFmtId="166" fontId="4" fillId="0" borderId="0" xfId="0" applyNumberFormat="1" applyFont="1"/>
    <xf numFmtId="0" fontId="3" fillId="0" borderId="0" xfId="0" applyFont="1" applyAlignment="1">
      <alignment vertical="center"/>
    </xf>
    <xf numFmtId="171" fontId="12" fillId="0" borderId="0" xfId="4" applyNumberFormat="1" applyFont="1" applyAlignment="1"/>
    <xf numFmtId="0" fontId="29" fillId="2" borderId="0" xfId="5" applyFont="1" applyFill="1"/>
    <xf numFmtId="0" fontId="68" fillId="0" borderId="0" xfId="0" applyFont="1"/>
    <xf numFmtId="0" fontId="69" fillId="0" borderId="9" xfId="0" applyFont="1" applyBorder="1"/>
    <xf numFmtId="0" fontId="0" fillId="0" borderId="77" xfId="0" applyBorder="1"/>
    <xf numFmtId="0" fontId="3" fillId="0" borderId="12" xfId="0" applyFont="1" applyBorder="1" applyAlignment="1">
      <alignment horizontal="center"/>
    </xf>
    <xf numFmtId="1" fontId="0" fillId="0" borderId="15" xfId="2" applyNumberFormat="1" applyFont="1" applyBorder="1"/>
    <xf numFmtId="1" fontId="2" fillId="0" borderId="14" xfId="2" applyNumberFormat="1" applyFont="1" applyBorder="1"/>
    <xf numFmtId="1" fontId="2" fillId="0" borderId="16" xfId="2" applyNumberFormat="1" applyFont="1" applyBorder="1"/>
    <xf numFmtId="1" fontId="2" fillId="0" borderId="14" xfId="2" applyNumberFormat="1" applyFont="1" applyFill="1" applyBorder="1"/>
    <xf numFmtId="0" fontId="16" fillId="5" borderId="0" xfId="0" applyFont="1" applyFill="1" applyAlignment="1">
      <alignment vertical="center"/>
    </xf>
    <xf numFmtId="0" fontId="70" fillId="0" borderId="0" xfId="0" applyFont="1"/>
    <xf numFmtId="177" fontId="0" fillId="0" borderId="16" xfId="0" applyNumberFormat="1" applyBorder="1"/>
    <xf numFmtId="0" fontId="17" fillId="5" borderId="0" xfId="0" applyFont="1" applyFill="1"/>
    <xf numFmtId="10" fontId="0" fillId="0" borderId="14" xfId="2" applyNumberFormat="1" applyFont="1" applyFill="1" applyBorder="1"/>
    <xf numFmtId="171" fontId="0" fillId="0" borderId="0" xfId="2" applyNumberFormat="1" applyFont="1" applyAlignment="1">
      <alignment horizontal="center"/>
    </xf>
    <xf numFmtId="171" fontId="0" fillId="0" borderId="15" xfId="2" applyNumberFormat="1" applyFont="1" applyBorder="1" applyAlignment="1">
      <alignment horizontal="center"/>
    </xf>
    <xf numFmtId="171" fontId="0" fillId="0" borderId="15" xfId="2" applyNumberFormat="1" applyFont="1" applyBorder="1"/>
    <xf numFmtId="172" fontId="11" fillId="3" borderId="5" xfId="1" applyNumberFormat="1" applyFont="1" applyFill="1" applyBorder="1" applyAlignment="1">
      <alignment horizontal="right"/>
    </xf>
    <xf numFmtId="2" fontId="2" fillId="0" borderId="0" xfId="1" applyNumberFormat="1" applyFont="1" applyAlignment="1">
      <alignment horizontal="center"/>
    </xf>
    <xf numFmtId="2" fontId="10" fillId="0" borderId="0" xfId="5" applyNumberFormat="1" applyFont="1" applyAlignment="1">
      <alignment horizontal="center"/>
    </xf>
    <xf numFmtId="2" fontId="32" fillId="3" borderId="0" xfId="0" applyNumberFormat="1" applyFont="1" applyFill="1" applyAlignment="1">
      <alignment horizontal="right"/>
    </xf>
    <xf numFmtId="181" fontId="6" fillId="2" borderId="0" xfId="0" applyNumberFormat="1" applyFont="1" applyFill="1" applyAlignment="1">
      <alignment horizontal="right"/>
    </xf>
    <xf numFmtId="0" fontId="2" fillId="0" borderId="0" xfId="0" applyFont="1" applyAlignment="1">
      <alignment horizontal="center"/>
    </xf>
    <xf numFmtId="177" fontId="0" fillId="0" borderId="0" xfId="0" applyNumberFormat="1"/>
    <xf numFmtId="0" fontId="3" fillId="0" borderId="13" xfId="0" applyFont="1" applyBorder="1"/>
    <xf numFmtId="10" fontId="0" fillId="0" borderId="0" xfId="2" applyNumberFormat="1" applyFont="1" applyBorder="1"/>
    <xf numFmtId="0" fontId="0" fillId="0" borderId="14" xfId="0" applyBorder="1"/>
    <xf numFmtId="177" fontId="0" fillId="0" borderId="15" xfId="0" applyNumberFormat="1" applyBorder="1"/>
    <xf numFmtId="0" fontId="3" fillId="0" borderId="14" xfId="0" applyFont="1" applyBorder="1"/>
    <xf numFmtId="177" fontId="3" fillId="0" borderId="0" xfId="0" applyNumberFormat="1" applyFont="1"/>
    <xf numFmtId="171" fontId="2" fillId="0" borderId="0" xfId="2" applyNumberFormat="1" applyFont="1"/>
    <xf numFmtId="3" fontId="10" fillId="0" borderId="0" xfId="0" applyNumberFormat="1" applyFont="1"/>
    <xf numFmtId="0" fontId="0" fillId="3" borderId="24" xfId="2" applyNumberFormat="1" applyFont="1" applyFill="1" applyBorder="1"/>
    <xf numFmtId="0" fontId="58" fillId="0" borderId="0" xfId="0" applyFont="1" applyAlignment="1">
      <alignment horizontal="left" indent="1"/>
    </xf>
    <xf numFmtId="0" fontId="64" fillId="0" borderId="8" xfId="0" applyFont="1" applyBorder="1" applyAlignment="1">
      <alignment horizontal="left" vertical="top" indent="1"/>
    </xf>
    <xf numFmtId="4" fontId="3" fillId="3" borderId="8" xfId="0" applyNumberFormat="1" applyFont="1" applyFill="1" applyBorder="1" applyAlignment="1">
      <alignment horizontal="center"/>
    </xf>
    <xf numFmtId="0" fontId="0" fillId="0" borderId="0" xfId="0" applyAlignment="1">
      <alignment wrapText="1"/>
    </xf>
    <xf numFmtId="183" fontId="0" fillId="0" borderId="0" xfId="0" applyNumberFormat="1" applyAlignment="1">
      <alignment horizontal="right"/>
    </xf>
    <xf numFmtId="183" fontId="0" fillId="0" borderId="0" xfId="2" applyNumberFormat="1" applyFont="1" applyAlignment="1">
      <alignment horizontal="right"/>
    </xf>
    <xf numFmtId="183" fontId="7" fillId="0" borderId="0" xfId="0" applyNumberFormat="1" applyFont="1" applyAlignment="1">
      <alignment horizontal="right"/>
    </xf>
    <xf numFmtId="0" fontId="0" fillId="0" borderId="0" xfId="0" applyAlignment="1">
      <alignment horizontal="right" wrapText="1"/>
    </xf>
    <xf numFmtId="0" fontId="0" fillId="0" borderId="47" xfId="0" applyBorder="1" applyAlignment="1">
      <alignment wrapText="1"/>
    </xf>
    <xf numFmtId="37" fontId="28" fillId="3" borderId="23" xfId="0" applyNumberFormat="1" applyFont="1" applyFill="1" applyBorder="1" applyAlignment="1">
      <alignment horizontal="center"/>
    </xf>
    <xf numFmtId="37" fontId="28" fillId="3" borderId="18" xfId="0" applyNumberFormat="1" applyFont="1" applyFill="1" applyBorder="1" applyAlignment="1">
      <alignment horizontal="center"/>
    </xf>
    <xf numFmtId="37" fontId="28" fillId="3" borderId="80" xfId="0" applyNumberFormat="1" applyFont="1" applyFill="1" applyBorder="1" applyAlignment="1">
      <alignment horizontal="center"/>
    </xf>
    <xf numFmtId="37" fontId="28" fillId="3" borderId="81" xfId="0" applyNumberFormat="1" applyFont="1" applyFill="1" applyBorder="1" applyAlignment="1">
      <alignment horizontal="center"/>
    </xf>
    <xf numFmtId="37" fontId="28" fillId="3" borderId="50" xfId="0" applyNumberFormat="1" applyFont="1" applyFill="1" applyBorder="1" applyAlignment="1">
      <alignment horizontal="center"/>
    </xf>
    <xf numFmtId="37" fontId="28" fillId="3" borderId="83" xfId="0" applyNumberFormat="1" applyFont="1" applyFill="1" applyBorder="1" applyAlignment="1">
      <alignment horizontal="center"/>
    </xf>
    <xf numFmtId="37" fontId="7" fillId="3" borderId="23" xfId="0" applyNumberFormat="1" applyFont="1" applyFill="1" applyBorder="1" applyAlignment="1">
      <alignment horizontal="right"/>
    </xf>
    <xf numFmtId="37" fontId="7" fillId="3" borderId="18" xfId="0" applyNumberFormat="1" applyFont="1" applyFill="1" applyBorder="1" applyAlignment="1">
      <alignment horizontal="right"/>
    </xf>
    <xf numFmtId="37" fontId="7" fillId="3" borderId="80" xfId="0" applyNumberFormat="1" applyFont="1" applyFill="1" applyBorder="1" applyAlignment="1">
      <alignment horizontal="right"/>
    </xf>
    <xf numFmtId="37" fontId="7" fillId="3" borderId="81" xfId="0" applyNumberFormat="1" applyFont="1" applyFill="1" applyBorder="1" applyAlignment="1">
      <alignment horizontal="right"/>
    </xf>
    <xf numFmtId="182" fontId="7" fillId="0" borderId="81" xfId="0" applyNumberFormat="1" applyFont="1" applyBorder="1" applyAlignment="1">
      <alignment horizontal="right"/>
    </xf>
    <xf numFmtId="182" fontId="7" fillId="0" borderId="82" xfId="0" applyNumberFormat="1" applyFont="1" applyBorder="1" applyAlignment="1">
      <alignment horizontal="right"/>
    </xf>
    <xf numFmtId="37" fontId="7" fillId="3" borderId="50" xfId="0" applyNumberFormat="1" applyFont="1" applyFill="1" applyBorder="1" applyAlignment="1">
      <alignment horizontal="right"/>
    </xf>
    <xf numFmtId="37" fontId="7" fillId="3" borderId="83" xfId="0" applyNumberFormat="1" applyFont="1" applyFill="1" applyBorder="1" applyAlignment="1">
      <alignment horizontal="right"/>
    </xf>
    <xf numFmtId="37" fontId="0" fillId="0" borderId="23" xfId="0" applyNumberFormat="1" applyBorder="1" applyAlignment="1">
      <alignment horizontal="right"/>
    </xf>
    <xf numFmtId="37" fontId="0" fillId="0" borderId="18" xfId="0" applyNumberFormat="1" applyBorder="1" applyAlignment="1">
      <alignment horizontal="right"/>
    </xf>
    <xf numFmtId="37" fontId="7" fillId="4" borderId="80" xfId="0" applyNumberFormat="1" applyFont="1" applyFill="1" applyBorder="1" applyAlignment="1">
      <alignment horizontal="right"/>
    </xf>
    <xf numFmtId="37" fontId="7" fillId="4" borderId="81" xfId="0" applyNumberFormat="1" applyFont="1" applyFill="1" applyBorder="1" applyAlignment="1">
      <alignment horizontal="right"/>
    </xf>
    <xf numFmtId="182" fontId="7" fillId="4" borderId="81" xfId="0" applyNumberFormat="1" applyFont="1" applyFill="1" applyBorder="1" applyAlignment="1">
      <alignment horizontal="right"/>
    </xf>
    <xf numFmtId="182" fontId="7" fillId="4" borderId="82" xfId="0" applyNumberFormat="1" applyFont="1" applyFill="1" applyBorder="1" applyAlignment="1">
      <alignment horizontal="right"/>
    </xf>
    <xf numFmtId="37" fontId="7" fillId="0" borderId="80" xfId="0" applyNumberFormat="1" applyFont="1" applyBorder="1" applyAlignment="1">
      <alignment horizontal="right"/>
    </xf>
    <xf numFmtId="37" fontId="7" fillId="0" borderId="81" xfId="0" applyNumberFormat="1" applyFont="1" applyBorder="1" applyAlignment="1">
      <alignment horizontal="right"/>
    </xf>
    <xf numFmtId="37" fontId="28" fillId="3" borderId="80" xfId="0" applyNumberFormat="1" applyFont="1" applyFill="1" applyBorder="1" applyAlignment="1">
      <alignment horizontal="right"/>
    </xf>
    <xf numFmtId="37" fontId="28" fillId="3" borderId="81" xfId="0" applyNumberFormat="1" applyFont="1" applyFill="1" applyBorder="1" applyAlignment="1">
      <alignment horizontal="right"/>
    </xf>
    <xf numFmtId="182" fontId="28" fillId="3" borderId="81" xfId="0" applyNumberFormat="1" applyFont="1" applyFill="1" applyBorder="1" applyAlignment="1">
      <alignment horizontal="right"/>
    </xf>
    <xf numFmtId="182" fontId="28" fillId="3" borderId="82" xfId="0" applyNumberFormat="1" applyFont="1" applyFill="1" applyBorder="1" applyAlignment="1">
      <alignment horizontal="right"/>
    </xf>
    <xf numFmtId="37" fontId="43" fillId="3" borderId="80" xfId="0" applyNumberFormat="1" applyFont="1" applyFill="1" applyBorder="1" applyAlignment="1">
      <alignment horizontal="right"/>
    </xf>
    <xf numFmtId="37" fontId="43" fillId="3" borderId="81" xfId="0" applyNumberFormat="1" applyFont="1" applyFill="1" applyBorder="1" applyAlignment="1">
      <alignment horizontal="right"/>
    </xf>
    <xf numFmtId="182" fontId="43" fillId="3" borderId="81" xfId="0" applyNumberFormat="1" applyFont="1" applyFill="1" applyBorder="1" applyAlignment="1">
      <alignment horizontal="right"/>
    </xf>
    <xf numFmtId="182" fontId="43" fillId="3" borderId="82" xfId="0" applyNumberFormat="1" applyFont="1" applyFill="1" applyBorder="1" applyAlignment="1">
      <alignment horizontal="right"/>
    </xf>
    <xf numFmtId="37" fontId="46" fillId="3" borderId="80" xfId="0" applyNumberFormat="1" applyFont="1" applyFill="1" applyBorder="1" applyAlignment="1">
      <alignment horizontal="right"/>
    </xf>
    <xf numFmtId="37" fontId="46" fillId="3" borderId="81" xfId="0" applyNumberFormat="1" applyFont="1" applyFill="1" applyBorder="1" applyAlignment="1">
      <alignment horizontal="right"/>
    </xf>
    <xf numFmtId="182" fontId="46" fillId="3" borderId="81" xfId="0" applyNumberFormat="1" applyFont="1" applyFill="1" applyBorder="1" applyAlignment="1">
      <alignment horizontal="right"/>
    </xf>
    <xf numFmtId="182" fontId="46" fillId="3" borderId="82" xfId="0" applyNumberFormat="1" applyFont="1" applyFill="1" applyBorder="1" applyAlignment="1">
      <alignment horizontal="right"/>
    </xf>
    <xf numFmtId="182" fontId="43" fillId="0" borderId="81" xfId="0" applyNumberFormat="1" applyFont="1" applyBorder="1" applyAlignment="1">
      <alignment horizontal="right"/>
    </xf>
    <xf numFmtId="182" fontId="43" fillId="0" borderId="82" xfId="0" applyNumberFormat="1" applyFont="1" applyBorder="1" applyAlignment="1">
      <alignment horizontal="right"/>
    </xf>
    <xf numFmtId="37" fontId="43" fillId="3" borderId="84" xfId="0" applyNumberFormat="1" applyFont="1" applyFill="1" applyBorder="1" applyAlignment="1">
      <alignment horizontal="right"/>
    </xf>
    <xf numFmtId="37" fontId="43" fillId="3" borderId="85" xfId="0" applyNumberFormat="1" applyFont="1" applyFill="1" applyBorder="1" applyAlignment="1">
      <alignment horizontal="right"/>
    </xf>
    <xf numFmtId="1" fontId="3" fillId="4" borderId="11" xfId="0" applyNumberFormat="1" applyFont="1" applyFill="1" applyBorder="1"/>
    <xf numFmtId="1" fontId="14" fillId="4" borderId="0" xfId="5" applyNumberFormat="1" applyFill="1" applyAlignment="1">
      <alignment vertical="center"/>
    </xf>
    <xf numFmtId="0" fontId="3" fillId="4" borderId="0" xfId="0" applyFont="1" applyFill="1"/>
    <xf numFmtId="0" fontId="14" fillId="4" borderId="0" xfId="5" applyFill="1" applyAlignment="1">
      <alignment vertical="center"/>
    </xf>
    <xf numFmtId="174" fontId="3" fillId="4" borderId="0" xfId="0" applyNumberFormat="1" applyFont="1" applyFill="1"/>
    <xf numFmtId="0" fontId="3" fillId="4" borderId="0" xfId="0" applyFont="1" applyFill="1" applyAlignment="1">
      <alignment horizontal="right"/>
    </xf>
    <xf numFmtId="0" fontId="19" fillId="4" borderId="0" xfId="5" applyFont="1" applyFill="1" applyAlignment="1">
      <alignment vertical="center"/>
    </xf>
    <xf numFmtId="9" fontId="3" fillId="4" borderId="0" xfId="0" applyNumberFormat="1" applyFont="1" applyFill="1" applyAlignment="1">
      <alignment horizontal="right"/>
    </xf>
    <xf numFmtId="178" fontId="0" fillId="3" borderId="0" xfId="0" applyNumberFormat="1" applyFill="1" applyAlignment="1">
      <alignment horizontal="center"/>
    </xf>
    <xf numFmtId="0" fontId="0" fillId="0" borderId="0" xfId="2" applyNumberFormat="1" applyFont="1" applyFill="1"/>
    <xf numFmtId="0" fontId="0" fillId="0" borderId="0" xfId="2" applyNumberFormat="1" applyFont="1"/>
    <xf numFmtId="174" fontId="10" fillId="0" borderId="60" xfId="5" applyNumberFormat="1" applyFont="1" applyBorder="1" applyAlignment="1">
      <alignment horizontal="center" vertical="center"/>
    </xf>
    <xf numFmtId="0" fontId="13" fillId="0" borderId="22" xfId="0" applyFont="1" applyBorder="1" applyAlignment="1">
      <alignment vertical="center"/>
    </xf>
    <xf numFmtId="0" fontId="19" fillId="4" borderId="0" xfId="5" applyFont="1" applyFill="1" applyAlignment="1">
      <alignment horizontal="center" vertical="center"/>
    </xf>
    <xf numFmtId="37" fontId="2" fillId="0" borderId="17" xfId="8" applyNumberFormat="1" applyFont="1" applyBorder="1" applyAlignment="1">
      <alignment horizontal="center" wrapText="1"/>
    </xf>
    <xf numFmtId="184" fontId="32" fillId="3" borderId="17" xfId="8" applyNumberFormat="1" applyFont="1" applyFill="1" applyBorder="1" applyAlignment="1">
      <alignment horizontal="center" wrapText="1"/>
    </xf>
    <xf numFmtId="0" fontId="0" fillId="0" borderId="0" xfId="0" applyAlignment="1">
      <alignment vertical="top" wrapText="1"/>
    </xf>
    <xf numFmtId="177" fontId="10" fillId="0" borderId="0" xfId="5" applyNumberFormat="1" applyFont="1"/>
    <xf numFmtId="0" fontId="0" fillId="0" borderId="11" xfId="0" applyBorder="1" applyAlignment="1">
      <alignment vertical="top" wrapText="1"/>
    </xf>
    <xf numFmtId="185" fontId="28" fillId="11" borderId="18" xfId="0" applyNumberFormat="1" applyFont="1" applyFill="1" applyBorder="1" applyAlignment="1">
      <alignment horizontal="right"/>
    </xf>
    <xf numFmtId="185" fontId="28" fillId="11" borderId="23" xfId="0" applyNumberFormat="1" applyFont="1" applyFill="1" applyBorder="1" applyAlignment="1">
      <alignment horizontal="right"/>
    </xf>
    <xf numFmtId="185" fontId="28" fillId="11" borderId="8" xfId="0" applyNumberFormat="1" applyFont="1" applyFill="1" applyBorder="1" applyAlignment="1">
      <alignment horizontal="right"/>
    </xf>
    <xf numFmtId="185" fontId="8" fillId="11" borderId="18" xfId="0" applyNumberFormat="1" applyFont="1" applyFill="1" applyBorder="1" applyAlignment="1">
      <alignment horizontal="right"/>
    </xf>
    <xf numFmtId="185" fontId="8" fillId="11" borderId="23" xfId="0" applyNumberFormat="1" applyFont="1" applyFill="1" applyBorder="1" applyAlignment="1">
      <alignment horizontal="right"/>
    </xf>
    <xf numFmtId="185" fontId="8" fillId="11" borderId="8" xfId="0" applyNumberFormat="1" applyFont="1" applyFill="1" applyBorder="1" applyAlignment="1">
      <alignment horizontal="right"/>
    </xf>
    <xf numFmtId="185" fontId="72" fillId="11" borderId="23" xfId="0" applyNumberFormat="1" applyFont="1" applyFill="1" applyBorder="1" applyAlignment="1">
      <alignment horizontal="right"/>
    </xf>
    <xf numFmtId="185" fontId="72" fillId="11" borderId="8" xfId="0" applyNumberFormat="1" applyFont="1" applyFill="1" applyBorder="1" applyAlignment="1">
      <alignment horizontal="right"/>
    </xf>
    <xf numFmtId="185" fontId="73" fillId="11" borderId="18" xfId="0" applyNumberFormat="1" applyFont="1" applyFill="1" applyBorder="1" applyAlignment="1">
      <alignment horizontal="right"/>
    </xf>
    <xf numFmtId="185" fontId="73" fillId="11" borderId="23" xfId="0" applyNumberFormat="1" applyFont="1" applyFill="1" applyBorder="1" applyAlignment="1">
      <alignment horizontal="right"/>
    </xf>
    <xf numFmtId="185" fontId="73" fillId="11" borderId="8" xfId="0" applyNumberFormat="1" applyFont="1" applyFill="1" applyBorder="1" applyAlignment="1">
      <alignment horizontal="right"/>
    </xf>
    <xf numFmtId="185" fontId="74" fillId="11" borderId="44" xfId="0" applyNumberFormat="1" applyFont="1" applyFill="1" applyBorder="1" applyAlignment="1">
      <alignment horizontal="right"/>
    </xf>
    <xf numFmtId="185" fontId="74" fillId="11" borderId="17" xfId="0" applyNumberFormat="1" applyFont="1" applyFill="1" applyBorder="1" applyAlignment="1">
      <alignment horizontal="right"/>
    </xf>
    <xf numFmtId="185" fontId="46" fillId="11" borderId="81" xfId="0" applyNumberFormat="1" applyFont="1" applyFill="1" applyBorder="1" applyAlignment="1">
      <alignment horizontal="right"/>
    </xf>
    <xf numFmtId="185" fontId="46" fillId="11" borderId="80" xfId="0" applyNumberFormat="1" applyFont="1" applyFill="1" applyBorder="1" applyAlignment="1">
      <alignment horizontal="right"/>
    </xf>
    <xf numFmtId="185" fontId="46" fillId="11" borderId="19" xfId="0" applyNumberFormat="1" applyFont="1" applyFill="1" applyBorder="1" applyAlignment="1">
      <alignment horizontal="right"/>
    </xf>
    <xf numFmtId="185" fontId="48" fillId="11" borderId="18" xfId="0" applyNumberFormat="1" applyFont="1" applyFill="1" applyBorder="1" applyAlignment="1">
      <alignment horizontal="right"/>
    </xf>
    <xf numFmtId="185" fontId="75" fillId="11" borderId="44" xfId="0" applyNumberFormat="1" applyFont="1" applyFill="1" applyBorder="1" applyAlignment="1">
      <alignment horizontal="right"/>
    </xf>
    <xf numFmtId="185" fontId="75" fillId="11" borderId="17" xfId="0" applyNumberFormat="1" applyFont="1" applyFill="1" applyBorder="1" applyAlignment="1">
      <alignment horizontal="right"/>
    </xf>
    <xf numFmtId="185" fontId="7" fillId="11" borderId="81" xfId="0" applyNumberFormat="1" applyFont="1" applyFill="1" applyBorder="1" applyAlignment="1">
      <alignment horizontal="right"/>
    </xf>
    <xf numFmtId="185" fontId="7" fillId="11" borderId="80" xfId="0" applyNumberFormat="1" applyFont="1" applyFill="1" applyBorder="1" applyAlignment="1">
      <alignment horizontal="right"/>
    </xf>
    <xf numFmtId="185" fontId="7" fillId="11" borderId="19" xfId="0" applyNumberFormat="1" applyFont="1" applyFill="1" applyBorder="1" applyAlignment="1">
      <alignment horizontal="right"/>
    </xf>
    <xf numFmtId="185" fontId="47" fillId="11" borderId="44" xfId="0" applyNumberFormat="1" applyFont="1" applyFill="1" applyBorder="1" applyAlignment="1">
      <alignment horizontal="right"/>
    </xf>
    <xf numFmtId="185" fontId="47" fillId="11" borderId="17" xfId="0" applyNumberFormat="1" applyFont="1" applyFill="1" applyBorder="1" applyAlignment="1">
      <alignment horizontal="right"/>
    </xf>
    <xf numFmtId="185" fontId="7" fillId="11" borderId="44" xfId="0" applyNumberFormat="1" applyFont="1" applyFill="1" applyBorder="1" applyAlignment="1">
      <alignment horizontal="right"/>
    </xf>
    <xf numFmtId="185" fontId="7" fillId="11" borderId="17" xfId="0" applyNumberFormat="1" applyFont="1" applyFill="1" applyBorder="1" applyAlignment="1">
      <alignment horizontal="right"/>
    </xf>
    <xf numFmtId="185" fontId="73" fillId="11" borderId="81" xfId="0" applyNumberFormat="1" applyFont="1" applyFill="1" applyBorder="1" applyAlignment="1">
      <alignment horizontal="right"/>
    </xf>
    <xf numFmtId="185" fontId="73" fillId="11" borderId="80" xfId="0" applyNumberFormat="1" applyFont="1" applyFill="1" applyBorder="1" applyAlignment="1">
      <alignment horizontal="right"/>
    </xf>
    <xf numFmtId="185" fontId="73" fillId="11" borderId="19" xfId="0" applyNumberFormat="1" applyFont="1" applyFill="1" applyBorder="1" applyAlignment="1">
      <alignment horizontal="right"/>
    </xf>
    <xf numFmtId="185" fontId="73" fillId="11" borderId="18" xfId="0" applyNumberFormat="1" applyFont="1" applyFill="1" applyBorder="1" applyAlignment="1">
      <alignment horizontal="right" wrapText="1"/>
    </xf>
    <xf numFmtId="185" fontId="73" fillId="11" borderId="8" xfId="0" applyNumberFormat="1" applyFont="1" applyFill="1" applyBorder="1" applyAlignment="1">
      <alignment horizontal="right" wrapText="1"/>
    </xf>
    <xf numFmtId="185" fontId="28" fillId="11" borderId="18" xfId="0" applyNumberFormat="1" applyFont="1" applyFill="1" applyBorder="1" applyAlignment="1">
      <alignment horizontal="right" wrapText="1"/>
    </xf>
    <xf numFmtId="185" fontId="28" fillId="11" borderId="21" xfId="0" applyNumberFormat="1" applyFont="1" applyFill="1" applyBorder="1" applyAlignment="1">
      <alignment horizontal="right" wrapText="1"/>
    </xf>
    <xf numFmtId="185" fontId="28" fillId="11" borderId="26" xfId="0" applyNumberFormat="1" applyFont="1" applyFill="1" applyBorder="1" applyAlignment="1">
      <alignment horizontal="right"/>
    </xf>
    <xf numFmtId="185" fontId="28" fillId="11" borderId="0" xfId="0" applyNumberFormat="1" applyFont="1" applyFill="1" applyAlignment="1">
      <alignment horizontal="right"/>
    </xf>
    <xf numFmtId="185" fontId="7" fillId="11" borderId="18" xfId="0" applyNumberFormat="1" applyFont="1" applyFill="1" applyBorder="1" applyAlignment="1">
      <alignment horizontal="right"/>
    </xf>
    <xf numFmtId="185" fontId="7" fillId="4" borderId="18" xfId="0" applyNumberFormat="1" applyFont="1" applyFill="1" applyBorder="1" applyAlignment="1">
      <alignment horizontal="right"/>
    </xf>
    <xf numFmtId="185" fontId="7" fillId="4" borderId="79" xfId="0" applyNumberFormat="1" applyFont="1" applyFill="1" applyBorder="1" applyAlignment="1">
      <alignment horizontal="right"/>
    </xf>
    <xf numFmtId="185" fontId="46" fillId="11" borderId="81" xfId="0" applyNumberFormat="1" applyFont="1" applyFill="1" applyBorder="1" applyAlignment="1">
      <alignment horizontal="right" wrapText="1"/>
    </xf>
    <xf numFmtId="185" fontId="46" fillId="11" borderId="80" xfId="0" applyNumberFormat="1" applyFont="1" applyFill="1" applyBorder="1" applyAlignment="1">
      <alignment horizontal="right" wrapText="1"/>
    </xf>
    <xf numFmtId="185" fontId="7" fillId="11" borderId="18" xfId="0" quotePrefix="1" applyNumberFormat="1" applyFont="1" applyFill="1" applyBorder="1" applyAlignment="1">
      <alignment horizontal="right"/>
    </xf>
    <xf numFmtId="185" fontId="46" fillId="11" borderId="18" xfId="0" applyNumberFormat="1" applyFont="1" applyFill="1" applyBorder="1" applyAlignment="1">
      <alignment horizontal="right"/>
    </xf>
    <xf numFmtId="185" fontId="46" fillId="11" borderId="23" xfId="0" applyNumberFormat="1" applyFont="1" applyFill="1" applyBorder="1" applyAlignment="1">
      <alignment horizontal="right"/>
    </xf>
    <xf numFmtId="185" fontId="46" fillId="11" borderId="8" xfId="0" applyNumberFormat="1" applyFont="1" applyFill="1" applyBorder="1" applyAlignment="1">
      <alignment horizontal="right"/>
    </xf>
    <xf numFmtId="185" fontId="7" fillId="12" borderId="18" xfId="0" applyNumberFormat="1" applyFont="1" applyFill="1" applyBorder="1" applyAlignment="1">
      <alignment horizontal="right"/>
    </xf>
    <xf numFmtId="185" fontId="7" fillId="12" borderId="23" xfId="0" applyNumberFormat="1" applyFont="1" applyFill="1" applyBorder="1" applyAlignment="1">
      <alignment horizontal="right"/>
    </xf>
    <xf numFmtId="185" fontId="7" fillId="12" borderId="8" xfId="0" applyNumberFormat="1" applyFont="1" applyFill="1" applyBorder="1" applyAlignment="1">
      <alignment horizontal="right"/>
    </xf>
    <xf numFmtId="185" fontId="43" fillId="11" borderId="81" xfId="0" applyNumberFormat="1" applyFont="1" applyFill="1" applyBorder="1" applyAlignment="1">
      <alignment horizontal="right"/>
    </xf>
    <xf numFmtId="185" fontId="43" fillId="11" borderId="82" xfId="0" applyNumberFormat="1" applyFont="1" applyFill="1" applyBorder="1" applyAlignment="1">
      <alignment horizontal="right"/>
    </xf>
    <xf numFmtId="185" fontId="7" fillId="0" borderId="81" xfId="0" applyNumberFormat="1" applyFont="1" applyBorder="1" applyAlignment="1">
      <alignment horizontal="right"/>
    </xf>
    <xf numFmtId="185" fontId="7" fillId="0" borderId="82" xfId="0" applyNumberFormat="1" applyFont="1" applyBorder="1" applyAlignment="1">
      <alignment horizontal="right"/>
    </xf>
    <xf numFmtId="185" fontId="46" fillId="11" borderId="82" xfId="0" applyNumberFormat="1" applyFont="1" applyFill="1" applyBorder="1" applyAlignment="1">
      <alignment horizontal="right"/>
    </xf>
    <xf numFmtId="185" fontId="32" fillId="11" borderId="81" xfId="0" applyNumberFormat="1" applyFont="1" applyFill="1" applyBorder="1" applyAlignment="1">
      <alignment horizontal="right"/>
    </xf>
    <xf numFmtId="185" fontId="32" fillId="11" borderId="82" xfId="0" applyNumberFormat="1" applyFont="1" applyFill="1" applyBorder="1" applyAlignment="1">
      <alignment horizontal="right"/>
    </xf>
    <xf numFmtId="185" fontId="28" fillId="11" borderId="81" xfId="0" applyNumberFormat="1" applyFont="1" applyFill="1" applyBorder="1" applyAlignment="1">
      <alignment horizontal="right"/>
    </xf>
    <xf numFmtId="185" fontId="28" fillId="11" borderId="82" xfId="0" applyNumberFormat="1" applyFont="1" applyFill="1" applyBorder="1" applyAlignment="1">
      <alignment horizontal="right"/>
    </xf>
    <xf numFmtId="185" fontId="47" fillId="12" borderId="81" xfId="0" applyNumberFormat="1" applyFont="1" applyFill="1" applyBorder="1" applyAlignment="1">
      <alignment horizontal="right"/>
    </xf>
    <xf numFmtId="185" fontId="47" fillId="12" borderId="82" xfId="0" applyNumberFormat="1" applyFont="1" applyFill="1" applyBorder="1" applyAlignment="1">
      <alignment horizontal="right"/>
    </xf>
    <xf numFmtId="185" fontId="7" fillId="12" borderId="81" xfId="0" applyNumberFormat="1" applyFont="1" applyFill="1" applyBorder="1" applyAlignment="1">
      <alignment horizontal="right"/>
    </xf>
    <xf numFmtId="185" fontId="7" fillId="12" borderId="82" xfId="0" applyNumberFormat="1" applyFont="1" applyFill="1" applyBorder="1" applyAlignment="1">
      <alignment horizontal="right"/>
    </xf>
    <xf numFmtId="185" fontId="8" fillId="0" borderId="81" xfId="0" applyNumberFormat="1" applyFont="1" applyBorder="1" applyAlignment="1">
      <alignment horizontal="right"/>
    </xf>
    <xf numFmtId="185" fontId="8" fillId="0" borderId="82" xfId="0" applyNumberFormat="1" applyFont="1" applyBorder="1" applyAlignment="1">
      <alignment horizontal="right"/>
    </xf>
    <xf numFmtId="185" fontId="7" fillId="11" borderId="21" xfId="0" applyNumberFormat="1" applyFont="1" applyFill="1" applyBorder="1" applyAlignment="1">
      <alignment horizontal="right"/>
    </xf>
    <xf numFmtId="185" fontId="7" fillId="3" borderId="83" xfId="0" applyNumberFormat="1" applyFont="1" applyFill="1" applyBorder="1" applyAlignment="1">
      <alignment horizontal="right"/>
    </xf>
    <xf numFmtId="182" fontId="0" fillId="0" borderId="18" xfId="0" applyNumberFormat="1" applyBorder="1" applyAlignment="1">
      <alignment horizontal="right"/>
    </xf>
    <xf numFmtId="182" fontId="0" fillId="0" borderId="79" xfId="0" applyNumberFormat="1" applyBorder="1" applyAlignment="1">
      <alignment horizontal="right"/>
    </xf>
    <xf numFmtId="182" fontId="43" fillId="3" borderId="85" xfId="0" applyNumberFormat="1" applyFont="1" applyFill="1" applyBorder="1" applyAlignment="1">
      <alignment horizontal="right"/>
    </xf>
    <xf numFmtId="182" fontId="43" fillId="3" borderId="86" xfId="0" applyNumberFormat="1" applyFont="1" applyFill="1" applyBorder="1" applyAlignment="1">
      <alignment horizontal="right"/>
    </xf>
    <xf numFmtId="0" fontId="80" fillId="0" borderId="0" xfId="0" applyFont="1"/>
    <xf numFmtId="167" fontId="6" fillId="4" borderId="0" xfId="0" applyNumberFormat="1" applyFont="1" applyFill="1" applyAlignment="1">
      <alignment horizontal="right"/>
    </xf>
    <xf numFmtId="173" fontId="12" fillId="4" borderId="0" xfId="1" applyNumberFormat="1" applyFont="1" applyFill="1"/>
    <xf numFmtId="173" fontId="12" fillId="4" borderId="0" xfId="1" applyNumberFormat="1" applyFont="1" applyFill="1" applyBorder="1"/>
    <xf numFmtId="171" fontId="48" fillId="4" borderId="0" xfId="2" applyNumberFormat="1" applyFont="1" applyFill="1"/>
    <xf numFmtId="171" fontId="49" fillId="4" borderId="0" xfId="2" applyNumberFormat="1" applyFont="1" applyFill="1"/>
    <xf numFmtId="173" fontId="36" fillId="4" borderId="0" xfId="1" applyNumberFormat="1" applyFont="1" applyFill="1"/>
    <xf numFmtId="173" fontId="39" fillId="4" borderId="0" xfId="1" applyNumberFormat="1" applyFont="1" applyFill="1"/>
    <xf numFmtId="37" fontId="12" fillId="4" borderId="0" xfId="1" applyNumberFormat="1" applyFont="1" applyFill="1" applyAlignment="1">
      <alignment wrapText="1"/>
    </xf>
    <xf numFmtId="171" fontId="49" fillId="4" borderId="0" xfId="2" applyNumberFormat="1" applyFont="1" applyFill="1" applyBorder="1"/>
    <xf numFmtId="171" fontId="32" fillId="4" borderId="0" xfId="2" applyNumberFormat="1" applyFont="1" applyFill="1"/>
    <xf numFmtId="0" fontId="50" fillId="4" borderId="0" xfId="0" applyFont="1" applyFill="1"/>
    <xf numFmtId="0" fontId="49" fillId="4" borderId="0" xfId="0" applyFont="1" applyFill="1"/>
    <xf numFmtId="178" fontId="48" fillId="4" borderId="0" xfId="0" applyNumberFormat="1" applyFont="1" applyFill="1"/>
    <xf numFmtId="171" fontId="49" fillId="4" borderId="0" xfId="0" applyNumberFormat="1" applyFont="1" applyFill="1"/>
    <xf numFmtId="173" fontId="42" fillId="4" borderId="0" xfId="0" applyNumberFormat="1" applyFont="1" applyFill="1"/>
    <xf numFmtId="171" fontId="48" fillId="4" borderId="0" xfId="0" applyNumberFormat="1" applyFont="1" applyFill="1"/>
    <xf numFmtId="173" fontId="42" fillId="4" borderId="0" xfId="0" applyNumberFormat="1" applyFont="1" applyFill="1" applyAlignment="1">
      <alignment horizontal="right"/>
    </xf>
    <xf numFmtId="0" fontId="25" fillId="4" borderId="0" xfId="0" applyFont="1" applyFill="1"/>
    <xf numFmtId="1" fontId="48" fillId="4" borderId="0" xfId="0" applyNumberFormat="1" applyFont="1" applyFill="1"/>
    <xf numFmtId="173" fontId="31" fillId="4" borderId="0" xfId="1" applyNumberFormat="1" applyFont="1" applyFill="1" applyBorder="1"/>
    <xf numFmtId="173" fontId="13" fillId="4" borderId="0" xfId="1" applyNumberFormat="1" applyFont="1" applyFill="1" applyBorder="1"/>
    <xf numFmtId="173" fontId="35" fillId="4" borderId="0" xfId="0" applyNumberFormat="1" applyFont="1" applyFill="1"/>
    <xf numFmtId="173" fontId="41" fillId="4" borderId="0" xfId="0" applyNumberFormat="1" applyFont="1" applyFill="1"/>
    <xf numFmtId="9" fontId="48" fillId="4" borderId="0" xfId="0" applyNumberFormat="1" applyFont="1" applyFill="1"/>
    <xf numFmtId="173" fontId="36" fillId="4" borderId="0" xfId="1" applyNumberFormat="1" applyFont="1" applyFill="1" applyBorder="1"/>
    <xf numFmtId="171" fontId="12" fillId="5" borderId="87" xfId="2" applyNumberFormat="1" applyFont="1" applyFill="1" applyBorder="1"/>
    <xf numFmtId="171" fontId="13" fillId="5" borderId="87" xfId="2" applyNumberFormat="1" applyFont="1" applyFill="1" applyBorder="1"/>
    <xf numFmtId="171" fontId="13" fillId="4" borderId="0" xfId="2" applyNumberFormat="1" applyFont="1" applyFill="1" applyBorder="1"/>
    <xf numFmtId="171" fontId="12" fillId="4" borderId="0" xfId="2" applyNumberFormat="1" applyFont="1" applyFill="1" applyBorder="1"/>
    <xf numFmtId="2" fontId="13" fillId="4" borderId="0" xfId="0" applyNumberFormat="1" applyFont="1" applyFill="1"/>
    <xf numFmtId="9" fontId="13" fillId="4" borderId="0" xfId="0" applyNumberFormat="1" applyFont="1" applyFill="1"/>
    <xf numFmtId="173" fontId="35" fillId="4" borderId="0" xfId="1" applyNumberFormat="1" applyFont="1" applyFill="1"/>
    <xf numFmtId="3" fontId="12" fillId="4" borderId="0" xfId="0" applyNumberFormat="1" applyFont="1" applyFill="1"/>
    <xf numFmtId="3" fontId="35" fillId="4" borderId="0" xfId="0" applyNumberFormat="1" applyFont="1" applyFill="1"/>
    <xf numFmtId="4" fontId="35" fillId="4" borderId="0" xfId="0" applyNumberFormat="1" applyFont="1" applyFill="1"/>
    <xf numFmtId="0" fontId="12" fillId="4" borderId="0" xfId="0" applyFont="1" applyFill="1"/>
    <xf numFmtId="2" fontId="12" fillId="4" borderId="0" xfId="0" applyNumberFormat="1" applyFont="1" applyFill="1"/>
    <xf numFmtId="173" fontId="35" fillId="18" borderId="0" xfId="1" applyNumberFormat="1" applyFont="1" applyFill="1"/>
    <xf numFmtId="0" fontId="20" fillId="4" borderId="0" xfId="0" applyFont="1" applyFill="1"/>
    <xf numFmtId="173" fontId="35" fillId="4" borderId="0" xfId="1" applyNumberFormat="1" applyFont="1" applyFill="1" applyBorder="1"/>
    <xf numFmtId="177" fontId="13" fillId="4" borderId="0" xfId="0" applyNumberFormat="1" applyFont="1" applyFill="1"/>
    <xf numFmtId="10" fontId="41" fillId="4" borderId="0" xfId="0" applyNumberFormat="1" applyFont="1" applyFill="1"/>
    <xf numFmtId="0" fontId="13" fillId="6" borderId="7" xfId="0" applyFont="1" applyFill="1" applyBorder="1"/>
    <xf numFmtId="0" fontId="13" fillId="0" borderId="1" xfId="0" applyFont="1" applyBorder="1"/>
    <xf numFmtId="173" fontId="37" fillId="0" borderId="23" xfId="1" applyNumberFormat="1" applyFont="1" applyBorder="1"/>
    <xf numFmtId="173" fontId="37" fillId="0" borderId="8" xfId="1" applyNumberFormat="1" applyFont="1" applyBorder="1"/>
    <xf numFmtId="3" fontId="37" fillId="0" borderId="0" xfId="0" applyNumberFormat="1" applyFont="1" applyAlignment="1">
      <alignment horizontal="right" vertical="center"/>
    </xf>
    <xf numFmtId="3" fontId="37" fillId="0" borderId="26" xfId="0" applyNumberFormat="1" applyFont="1" applyBorder="1" applyAlignment="1">
      <alignment horizontal="right" vertical="center"/>
    </xf>
    <xf numFmtId="3" fontId="12" fillId="0" borderId="0" xfId="0" applyNumberFormat="1" applyFont="1" applyAlignment="1">
      <alignment horizontal="right" vertical="center"/>
    </xf>
    <xf numFmtId="10" fontId="36" fillId="0" borderId="0" xfId="0" applyNumberFormat="1" applyFont="1"/>
    <xf numFmtId="10" fontId="35" fillId="5" borderId="88" xfId="0" applyNumberFormat="1" applyFont="1" applyFill="1" applyBorder="1"/>
    <xf numFmtId="10" fontId="35" fillId="5" borderId="0" xfId="0" applyNumberFormat="1" applyFont="1" applyFill="1"/>
    <xf numFmtId="3" fontId="36" fillId="0" borderId="0" xfId="0" applyNumberFormat="1" applyFont="1" applyAlignment="1">
      <alignment horizontal="right"/>
    </xf>
    <xf numFmtId="3" fontId="81" fillId="0" borderId="0" xfId="0" applyNumberFormat="1" applyFont="1" applyAlignment="1">
      <alignment horizontal="right"/>
    </xf>
    <xf numFmtId="3" fontId="12" fillId="0" borderId="88" xfId="0" applyNumberFormat="1" applyFont="1" applyBorder="1" applyAlignment="1">
      <alignment horizontal="right" vertical="center"/>
    </xf>
    <xf numFmtId="10" fontId="35" fillId="5" borderId="0" xfId="2" applyNumberFormat="1" applyFont="1" applyFill="1"/>
    <xf numFmtId="10" fontId="35" fillId="5" borderId="88" xfId="2" applyNumberFormat="1" applyFont="1" applyFill="1" applyBorder="1"/>
    <xf numFmtId="3" fontId="12" fillId="0" borderId="88" xfId="0" applyNumberFormat="1" applyFont="1" applyBorder="1"/>
    <xf numFmtId="10" fontId="12" fillId="4" borderId="0" xfId="0" applyNumberFormat="1" applyFont="1" applyFill="1"/>
    <xf numFmtId="186" fontId="46" fillId="0" borderId="0" xfId="0" applyNumberFormat="1" applyFont="1"/>
    <xf numFmtId="186" fontId="46" fillId="0" borderId="88" xfId="0" applyNumberFormat="1" applyFont="1" applyBorder="1"/>
    <xf numFmtId="4" fontId="12" fillId="0" borderId="0" xfId="0" applyNumberFormat="1" applyFont="1" applyAlignment="1">
      <alignment horizontal="right"/>
    </xf>
    <xf numFmtId="171" fontId="48" fillId="5" borderId="88" xfId="0" applyNumberFormat="1" applyFont="1" applyFill="1" applyBorder="1"/>
    <xf numFmtId="37" fontId="12" fillId="0" borderId="0" xfId="1" applyNumberFormat="1" applyFont="1" applyFill="1" applyAlignment="1">
      <alignment horizontal="right" wrapText="1"/>
    </xf>
    <xf numFmtId="0" fontId="13" fillId="4" borderId="0" xfId="0" applyFont="1" applyFill="1" applyAlignment="1">
      <alignment horizontal="center"/>
    </xf>
    <xf numFmtId="10" fontId="12" fillId="4" borderId="17" xfId="0" applyNumberFormat="1" applyFont="1" applyFill="1" applyBorder="1"/>
    <xf numFmtId="171" fontId="49" fillId="0" borderId="0" xfId="2" applyNumberFormat="1" applyFont="1" applyBorder="1"/>
    <xf numFmtId="10" fontId="3" fillId="0" borderId="0" xfId="0" applyNumberFormat="1" applyFont="1"/>
    <xf numFmtId="171" fontId="49" fillId="19" borderId="0" xfId="1" applyNumberFormat="1" applyFont="1" applyFill="1"/>
    <xf numFmtId="164" fontId="51" fillId="0" borderId="0" xfId="1" applyNumberFormat="1" applyFont="1" applyFill="1"/>
    <xf numFmtId="164" fontId="51" fillId="0" borderId="26" xfId="1" applyNumberFormat="1" applyFont="1" applyFill="1" applyBorder="1"/>
    <xf numFmtId="164" fontId="37" fillId="0" borderId="0" xfId="1" applyNumberFormat="1" applyFont="1" applyFill="1"/>
    <xf numFmtId="164" fontId="37" fillId="0" borderId="26" xfId="1" applyNumberFormat="1" applyFont="1" applyFill="1" applyBorder="1"/>
    <xf numFmtId="164" fontId="37" fillId="0" borderId="0" xfId="1" applyNumberFormat="1" applyFont="1"/>
    <xf numFmtId="164" fontId="37" fillId="0" borderId="26" xfId="1" applyNumberFormat="1" applyFont="1" applyBorder="1"/>
    <xf numFmtId="171" fontId="49" fillId="0" borderId="0" xfId="1" applyNumberFormat="1" applyFont="1"/>
    <xf numFmtId="171" fontId="49" fillId="0" borderId="17" xfId="1" applyNumberFormat="1" applyFont="1" applyBorder="1"/>
    <xf numFmtId="9" fontId="49" fillId="0" borderId="0" xfId="2" applyFont="1" applyFill="1"/>
    <xf numFmtId="9" fontId="49" fillId="0" borderId="26" xfId="2" applyFont="1" applyFill="1" applyBorder="1"/>
    <xf numFmtId="9" fontId="49" fillId="0" borderId="0" xfId="2" applyFont="1"/>
    <xf numFmtId="9" fontId="49" fillId="0" borderId="26" xfId="2" applyFont="1" applyBorder="1"/>
    <xf numFmtId="164" fontId="37" fillId="0" borderId="22" xfId="1" applyNumberFormat="1" applyFont="1" applyBorder="1"/>
    <xf numFmtId="164" fontId="37" fillId="0" borderId="50" xfId="1" applyNumberFormat="1" applyFont="1" applyBorder="1"/>
    <xf numFmtId="0" fontId="7" fillId="10" borderId="0" xfId="0" applyFont="1" applyFill="1" applyAlignment="1">
      <alignment horizontal="left" vertical="top" wrapText="1"/>
    </xf>
    <xf numFmtId="0" fontId="7" fillId="0" borderId="0" xfId="0" applyFont="1" applyAlignment="1">
      <alignment horizontal="center" vertical="center" wrapText="1"/>
    </xf>
    <xf numFmtId="0" fontId="7" fillId="0" borderId="8" xfId="0" applyFont="1" applyBorder="1" applyAlignment="1">
      <alignment horizontal="center" vertical="center" wrapText="1"/>
    </xf>
    <xf numFmtId="0" fontId="78" fillId="0" borderId="68" xfId="0" applyFont="1" applyBorder="1" applyAlignment="1">
      <alignment horizontal="left" vertical="center" wrapText="1"/>
    </xf>
    <xf numFmtId="0" fontId="78" fillId="0" borderId="69" xfId="0" applyFont="1" applyBorder="1" applyAlignment="1">
      <alignment horizontal="left" vertical="center" wrapText="1"/>
    </xf>
    <xf numFmtId="0" fontId="78" fillId="0" borderId="0" xfId="0" applyFont="1" applyAlignment="1">
      <alignment horizontal="left" vertical="center" wrapText="1"/>
    </xf>
    <xf numFmtId="0" fontId="78" fillId="0" borderId="67" xfId="0" applyFont="1" applyBorder="1" applyAlignment="1">
      <alignment horizontal="left" vertical="center" wrapText="1"/>
    </xf>
    <xf numFmtId="0" fontId="79" fillId="0" borderId="70" xfId="0" applyFont="1" applyBorder="1" applyAlignment="1">
      <alignment horizontal="left" vertical="center" wrapText="1"/>
    </xf>
    <xf numFmtId="0" fontId="78" fillId="0" borderId="71" xfId="0" applyFont="1" applyBorder="1" applyAlignment="1">
      <alignment horizontal="left" vertical="center" wrapText="1"/>
    </xf>
    <xf numFmtId="0" fontId="2" fillId="0" borderId="0" xfId="0" applyFont="1" applyAlignment="1">
      <alignment horizontal="left" vertical="top" wrapText="1"/>
    </xf>
    <xf numFmtId="0" fontId="2" fillId="0" borderId="78" xfId="0" applyFont="1" applyBorder="1" applyAlignment="1">
      <alignment horizontal="center"/>
    </xf>
    <xf numFmtId="0" fontId="2" fillId="0" borderId="0" xfId="0" applyFont="1" applyAlignment="1">
      <alignment horizontal="center"/>
    </xf>
    <xf numFmtId="0" fontId="0" fillId="0" borderId="0" xfId="0" applyAlignment="1">
      <alignment horizontal="left" vertical="center"/>
    </xf>
    <xf numFmtId="0" fontId="0" fillId="0" borderId="0" xfId="0" applyAlignment="1">
      <alignment horizontal="center" vertical="center" wrapText="1"/>
    </xf>
    <xf numFmtId="0" fontId="0" fillId="0" borderId="0" xfId="0" applyAlignment="1">
      <alignment vertical="top" wrapText="1"/>
    </xf>
    <xf numFmtId="0" fontId="0" fillId="0" borderId="0" xfId="0" applyAlignment="1">
      <alignment horizontal="center" wrapText="1"/>
    </xf>
    <xf numFmtId="0" fontId="6" fillId="2" borderId="0" xfId="0" applyFont="1" applyFill="1" applyAlignment="1">
      <alignment horizontal="center"/>
    </xf>
    <xf numFmtId="0" fontId="29" fillId="0" borderId="0" xfId="5" applyFont="1" applyAlignment="1">
      <alignment horizontal="center" vertical="center" wrapText="1"/>
    </xf>
    <xf numFmtId="0" fontId="4" fillId="2" borderId="0" xfId="5" applyFont="1" applyFill="1" applyAlignment="1">
      <alignment horizontal="center" wrapText="1"/>
    </xf>
    <xf numFmtId="0" fontId="4" fillId="2" borderId="0" xfId="5" applyFont="1" applyFill="1" applyAlignment="1">
      <alignment horizontal="center"/>
    </xf>
    <xf numFmtId="0" fontId="4" fillId="2" borderId="57" xfId="5" applyFont="1" applyFill="1" applyBorder="1" applyAlignment="1">
      <alignment horizontal="center"/>
    </xf>
    <xf numFmtId="0" fontId="4" fillId="2" borderId="61" xfId="5" applyFont="1" applyFill="1" applyBorder="1" applyAlignment="1">
      <alignment horizontal="center"/>
    </xf>
    <xf numFmtId="0" fontId="4" fillId="2" borderId="58" xfId="5" applyFont="1" applyFill="1" applyBorder="1" applyAlignment="1">
      <alignment horizontal="center"/>
    </xf>
    <xf numFmtId="0" fontId="4" fillId="2" borderId="54" xfId="5" applyFont="1" applyFill="1" applyBorder="1" applyAlignment="1">
      <alignment horizontal="center"/>
    </xf>
    <xf numFmtId="0" fontId="0" fillId="0" borderId="11" xfId="0" applyBorder="1" applyAlignment="1">
      <alignment horizontal="left" vertical="top" wrapText="1"/>
    </xf>
    <xf numFmtId="0" fontId="0" fillId="0" borderId="0" xfId="0" applyAlignment="1">
      <alignment horizontal="left" vertical="top" wrapText="1"/>
    </xf>
    <xf numFmtId="0" fontId="3" fillId="0" borderId="11" xfId="0" applyFont="1" applyBorder="1" applyAlignment="1">
      <alignment horizontal="center" vertical="center" wrapText="1"/>
    </xf>
    <xf numFmtId="0" fontId="3" fillId="0" borderId="0" xfId="0" applyFont="1" applyAlignment="1">
      <alignment horizontal="center" vertical="center" wrapText="1"/>
    </xf>
    <xf numFmtId="0" fontId="0" fillId="0" borderId="11" xfId="0" applyBorder="1" applyAlignment="1">
      <alignment horizontal="center" vertical="center" wrapText="1"/>
    </xf>
    <xf numFmtId="0" fontId="14" fillId="0" borderId="0" xfId="5" applyAlignment="1">
      <alignment horizontal="center" vertical="center"/>
    </xf>
    <xf numFmtId="0" fontId="14" fillId="0" borderId="0" xfId="5" applyAlignment="1">
      <alignment horizontal="center" vertical="center" wrapText="1"/>
    </xf>
    <xf numFmtId="0" fontId="14" fillId="15" borderId="0" xfId="5" applyFill="1" applyAlignment="1">
      <alignment horizontal="center" vertical="center"/>
    </xf>
    <xf numFmtId="0" fontId="14" fillId="13" borderId="12" xfId="5" applyFill="1" applyBorder="1" applyAlignment="1">
      <alignment horizontal="center" vertical="center"/>
    </xf>
    <xf numFmtId="0" fontId="14" fillId="13" borderId="0" xfId="5" applyFill="1" applyAlignment="1">
      <alignment horizontal="center" vertical="center"/>
    </xf>
    <xf numFmtId="0" fontId="14" fillId="0" borderId="12" xfId="5" applyBorder="1" applyAlignment="1">
      <alignment horizontal="center" vertical="center" wrapText="1"/>
    </xf>
    <xf numFmtId="0" fontId="14" fillId="14" borderId="0" xfId="5" applyFill="1" applyAlignment="1">
      <alignment horizontal="center" vertical="center"/>
    </xf>
    <xf numFmtId="0" fontId="14" fillId="16" borderId="0" xfId="5" applyFill="1" applyAlignment="1">
      <alignment horizontal="center" vertical="center"/>
    </xf>
    <xf numFmtId="0" fontId="57" fillId="15" borderId="0" xfId="5" applyFont="1" applyFill="1" applyAlignment="1">
      <alignment horizontal="center" vertical="center"/>
    </xf>
    <xf numFmtId="0" fontId="14" fillId="17" borderId="0" xfId="5" applyFill="1" applyAlignment="1">
      <alignment horizontal="center" vertical="center"/>
    </xf>
    <xf numFmtId="0" fontId="3" fillId="0" borderId="0" xfId="0" applyFont="1" applyAlignment="1">
      <alignment horizontal="left" vertical="center"/>
    </xf>
    <xf numFmtId="0" fontId="0" fillId="0" borderId="0" xfId="0" applyAlignment="1">
      <alignment horizontal="left" vertical="center" wrapText="1"/>
    </xf>
  </cellXfs>
  <cellStyles count="13">
    <cellStyle name="blp_column_header" xfId="12" xr:uid="{00000000-0005-0000-0000-000000000000}"/>
    <cellStyle name="Comma" xfId="1" builtinId="3"/>
    <cellStyle name="Currency 2" xfId="9" xr:uid="{00000000-0005-0000-0000-000002000000}"/>
    <cellStyle name="fa_column_header_bottom" xfId="11" xr:uid="{00000000-0005-0000-0000-000003000000}"/>
    <cellStyle name="Hyperlink" xfId="3" xr:uid="{00000000-0005-0000-0000-000010000000}"/>
    <cellStyle name="Normal" xfId="0" builtinId="0"/>
    <cellStyle name="Normal 2" xfId="8" xr:uid="{00000000-0005-0000-0000-000012000000}"/>
    <cellStyle name="Normal 2 2" xfId="5" xr:uid="{00000000-0005-0000-0000-000013000000}"/>
    <cellStyle name="Normal 3 2" xfId="6" xr:uid="{00000000-0005-0000-0000-000014000000}"/>
    <cellStyle name="Normal 6" xfId="10" xr:uid="{00000000-0005-0000-0000-000015000000}"/>
    <cellStyle name="Percent" xfId="2" builtinId="5"/>
    <cellStyle name="Percent 2" xfId="4" xr:uid="{00000000-0005-0000-0000-000017000000}"/>
    <cellStyle name="Porcentaje 3" xfId="7" xr:uid="{00000000-0005-0000-0000-000018000000}"/>
  </cellStyles>
  <dxfs count="5">
    <dxf>
      <font>
        <color rgb="FF92D050"/>
      </font>
      <fill>
        <patternFill patternType="none">
          <bgColor auto="1"/>
        </patternFill>
      </fill>
    </dxf>
    <dxf>
      <font>
        <color rgb="FF00B050"/>
      </font>
    </dxf>
    <dxf>
      <font>
        <color rgb="FFFF0000"/>
      </font>
    </dxf>
    <dxf>
      <font>
        <color rgb="FFC00000"/>
      </font>
    </dxf>
    <dxf>
      <font>
        <color rgb="FFFFC000"/>
      </font>
      <fill>
        <patternFill patternType="none">
          <bgColor auto="1"/>
        </patternFill>
      </fill>
    </dxf>
  </dxfs>
  <tableStyles count="0" defaultTableStyle="TableStyleMedium2" defaultPivotStyle="PivotStyleLight16"/>
  <colors>
    <mruColors>
      <color rgb="FF7B1314"/>
      <color rgb="FF5A5A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Array" Target="richData/rdarray.xml"/><Relationship Id="rId26" Type="http://schemas.openxmlformats.org/officeDocument/2006/relationships/customXml" Target="../customXml/item2.xml"/><Relationship Id="rId3" Type="http://schemas.openxmlformats.org/officeDocument/2006/relationships/worksheet" Target="worksheets/sheet3.xml"/><Relationship Id="rId21" Type="http://schemas.microsoft.com/office/2017/06/relationships/rdSupportingPropertyBag" Target="richData/rdsupportingpropertybag.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Structure" Target="richData/rdrichvaluestructure.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17/06/relationships/rdRichValue" Target="richData/rdrichvalue.xml"/><Relationship Id="rId20" Type="http://schemas.microsoft.com/office/2017/06/relationships/rdSupportingPropertyBagStructure" Target="richData/rdsupportingpropertybag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sheetMetadata" Target="metadata.xml"/><Relationship Id="rId23" Type="http://schemas.microsoft.com/office/2017/10/relationships/person" Target="persons/person.xml"/><Relationship Id="rId10" Type="http://schemas.openxmlformats.org/officeDocument/2006/relationships/worksheet" Target="worksheets/sheet10.xml"/><Relationship Id="rId19" Type="http://schemas.microsoft.com/office/2017/06/relationships/richStyles" Target="richData/rich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microsoft.com/office/2017/06/relationships/rdRichValueTypes" Target="richData/rdRichValueTypes.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Revenue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N"/>
        </a:p>
      </c:txPr>
    </c:title>
    <c:autoTitleDeleted val="0"/>
    <c:plotArea>
      <c:layout>
        <c:manualLayout>
          <c:layoutTarget val="inner"/>
          <c:xMode val="edge"/>
          <c:yMode val="edge"/>
          <c:x val="0.22360939219902246"/>
          <c:y val="0.17591863442987773"/>
          <c:w val="0.48073010599060412"/>
          <c:h val="0.58797911667734915"/>
        </c:manualLayout>
      </c:layout>
      <c:doughnutChart>
        <c:varyColors val="1"/>
        <c:dLbls>
          <c:showLegendKey val="0"/>
          <c:showVal val="0"/>
          <c:showCatName val="0"/>
          <c:showSerName val="0"/>
          <c:showPercent val="0"/>
          <c:showBubbleSize val="0"/>
          <c:showLeaderLines val="0"/>
        </c:dLbls>
        <c:firstSliceAng val="0"/>
        <c:holeSize val="50"/>
      </c:doughnutChart>
      <c:spPr>
        <a:noFill/>
        <a:ln>
          <a:noFill/>
        </a:ln>
        <a:effectLst/>
      </c:spPr>
    </c:plotArea>
    <c:legend>
      <c:legendPos val="b"/>
      <c:layout>
        <c:manualLayout>
          <c:xMode val="edge"/>
          <c:yMode val="edge"/>
          <c:x val="0"/>
          <c:y val="0.78547593616803535"/>
          <c:w val="0.91193917042870754"/>
          <c:h val="0.214524063831964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Revenue by Region</a:t>
            </a:r>
          </a:p>
        </c:rich>
      </c:tx>
      <c:layout>
        <c:manualLayout>
          <c:xMode val="edge"/>
          <c:yMode val="edge"/>
          <c:x val="0.196181861759879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N"/>
        </a:p>
      </c:txPr>
    </c:title>
    <c:autoTitleDeleted val="0"/>
    <c:plotArea>
      <c:layout>
        <c:manualLayout>
          <c:layoutTarget val="inner"/>
          <c:xMode val="edge"/>
          <c:yMode val="edge"/>
          <c:x val="0.20546549027666"/>
          <c:y val="0.16130487604074661"/>
          <c:w val="0.58000814797057032"/>
          <c:h val="0.63288566647294286"/>
        </c:manualLayout>
      </c:layout>
      <c:pieChart>
        <c:varyColors val="1"/>
        <c:ser>
          <c:idx val="0"/>
          <c:order val="0"/>
          <c:tx>
            <c:v>Weights</c:v>
          </c:tx>
          <c:spPr>
            <a:solidFill>
              <a:srgbClr val="C00000"/>
            </a:solidFill>
          </c:spPr>
          <c:dPt>
            <c:idx val="0"/>
            <c:bubble3D val="0"/>
            <c:spPr>
              <a:solidFill>
                <a:srgbClr val="7B1314"/>
              </a:solidFill>
              <a:ln w="19050">
                <a:solidFill>
                  <a:schemeClr val="lt1"/>
                </a:solidFill>
              </a:ln>
              <a:effectLst/>
            </c:spPr>
            <c:extLst>
              <c:ext xmlns:c16="http://schemas.microsoft.com/office/drawing/2014/chart" uri="{C3380CC4-5D6E-409C-BE32-E72D297353CC}">
                <c16:uniqueId val="{00000001-754B-4D0D-8F39-7DF89882A85B}"/>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754B-4D0D-8F39-7DF89882A85B}"/>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5-754B-4D0D-8F39-7DF89882A85B}"/>
              </c:ext>
            </c:extLst>
          </c:dPt>
          <c:dPt>
            <c:idx val="3"/>
            <c:bubble3D val="0"/>
            <c:spPr>
              <a:solidFill>
                <a:srgbClr val="C00000"/>
              </a:solidFill>
              <a:ln w="19050">
                <a:solidFill>
                  <a:schemeClr val="lt1"/>
                </a:solidFill>
              </a:ln>
              <a:effectLst/>
            </c:spPr>
            <c:extLst>
              <c:ext xmlns:c16="http://schemas.microsoft.com/office/drawing/2014/chart" uri="{C3380CC4-5D6E-409C-BE32-E72D297353CC}">
                <c16:uniqueId val="{00000007-754B-4D0D-8F39-7DF89882A85B}"/>
              </c:ext>
            </c:extLst>
          </c:dPt>
          <c:dPt>
            <c:idx val="4"/>
            <c:bubble3D val="0"/>
            <c:spPr>
              <a:solidFill>
                <a:srgbClr val="C00000"/>
              </a:solidFill>
              <a:ln w="19050">
                <a:solidFill>
                  <a:schemeClr val="lt1"/>
                </a:solidFill>
              </a:ln>
              <a:effectLst/>
            </c:spPr>
            <c:extLst>
              <c:ext xmlns:c16="http://schemas.microsoft.com/office/drawing/2014/chart" uri="{C3380CC4-5D6E-409C-BE32-E72D297353CC}">
                <c16:uniqueId val="{00000009-754B-4D0D-8F39-7DF89882A85B}"/>
              </c:ext>
            </c:extLst>
          </c:dPt>
          <c:cat>
            <c:strRef>
              <c:f>Segments!$B$6:$B$10</c:f>
              <c:strCache>
                <c:ptCount val="5"/>
                <c:pt idx="0">
                  <c:v>United States</c:v>
                </c:pt>
                <c:pt idx="1">
                  <c:v>Germany</c:v>
                </c:pt>
                <c:pt idx="2">
                  <c:v>Japan</c:v>
                </c:pt>
                <c:pt idx="3">
                  <c:v>Canada</c:v>
                </c:pt>
                <c:pt idx="4">
                  <c:v>Other</c:v>
                </c:pt>
              </c:strCache>
            </c:strRef>
          </c:cat>
          <c:val>
            <c:numRef>
              <c:f>Segments!$D$6:$D$10</c:f>
              <c:numCache>
                <c:formatCode>0.0%</c:formatCode>
                <c:ptCount val="5"/>
                <c:pt idx="0">
                  <c:v>0.24368415090064574</c:v>
                </c:pt>
                <c:pt idx="1">
                  <c:v>0.21456893621842074</c:v>
                </c:pt>
                <c:pt idx="2">
                  <c:v>0.12835617990257164</c:v>
                </c:pt>
                <c:pt idx="3">
                  <c:v>0.12473093916392886</c:v>
                </c:pt>
                <c:pt idx="4">
                  <c:v>0.28865979381443296</c:v>
                </c:pt>
              </c:numCache>
            </c:numRef>
          </c:val>
          <c:extLst>
            <c:ext xmlns:c16="http://schemas.microsoft.com/office/drawing/2014/chart" uri="{C3380CC4-5D6E-409C-BE32-E72D297353CC}">
              <c16:uniqueId val="{0000000A-754B-4D0D-8F39-7DF89882A85B}"/>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
          <c:y val="0.84039414564704851"/>
          <c:w val="1"/>
          <c:h val="0.125707549268205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Revenue by Segment</a:t>
            </a:r>
          </a:p>
        </c:rich>
      </c:tx>
      <c:layout>
        <c:manualLayout>
          <c:xMode val="edge"/>
          <c:yMode val="edge"/>
          <c:x val="0.2088019160724208"/>
          <c:y val="1.46108325946116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N"/>
        </a:p>
      </c:txPr>
    </c:title>
    <c:autoTitleDeleted val="0"/>
    <c:plotArea>
      <c:layout>
        <c:manualLayout>
          <c:layoutTarget val="inner"/>
          <c:xMode val="edge"/>
          <c:yMode val="edge"/>
          <c:x val="0.22360939219902246"/>
          <c:y val="0.17591863442987773"/>
          <c:w val="0.56636184889669605"/>
          <c:h val="0.61848911753405766"/>
        </c:manualLayout>
      </c:layout>
      <c:pieChart>
        <c:varyColors val="1"/>
        <c:ser>
          <c:idx val="0"/>
          <c:order val="0"/>
          <c:tx>
            <c:v>Weights</c:v>
          </c:tx>
          <c:spPr>
            <a:solidFill>
              <a:srgbClr val="FF0000"/>
            </a:solidFill>
          </c:spPr>
          <c:dPt>
            <c:idx val="0"/>
            <c:bubble3D val="0"/>
            <c:spPr>
              <a:solidFill>
                <a:srgbClr val="7B1314"/>
              </a:solidFill>
              <a:ln w="19050">
                <a:solidFill>
                  <a:schemeClr val="lt1"/>
                </a:solidFill>
              </a:ln>
              <a:effectLst/>
            </c:spPr>
            <c:extLst>
              <c:ext xmlns:c16="http://schemas.microsoft.com/office/drawing/2014/chart" uri="{C3380CC4-5D6E-409C-BE32-E72D297353CC}">
                <c16:uniqueId val="{00000001-10C3-4C5F-A171-DCB9992FEBC7}"/>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10C3-4C5F-A171-DCB9992FEBC7}"/>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5-10C3-4C5F-A171-DCB9992FEBC7}"/>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7-10C3-4C5F-A171-DCB9992FEBC7}"/>
              </c:ext>
            </c:extLst>
          </c:dPt>
          <c:dPt>
            <c:idx val="4"/>
            <c:bubble3D val="0"/>
            <c:spPr>
              <a:solidFill>
                <a:srgbClr val="FF0000"/>
              </a:solidFill>
              <a:ln w="19050">
                <a:solidFill>
                  <a:schemeClr val="lt1"/>
                </a:solidFill>
              </a:ln>
              <a:effectLst/>
            </c:spPr>
            <c:extLst>
              <c:ext xmlns:c16="http://schemas.microsoft.com/office/drawing/2014/chart" uri="{C3380CC4-5D6E-409C-BE32-E72D297353CC}">
                <c16:uniqueId val="{00000009-10C3-4C5F-A171-DCB9992FEBC7}"/>
              </c:ext>
            </c:extLst>
          </c:dPt>
          <c:cat>
            <c:strRef>
              <c:f>Segments!$B$17:$B$21</c:f>
              <c:strCache>
                <c:ptCount val="3"/>
                <c:pt idx="0">
                  <c:v>QCaaS</c:v>
                </c:pt>
                <c:pt idx="1">
                  <c:v>Professional services</c:v>
                </c:pt>
                <c:pt idx="2">
                  <c:v>Other</c:v>
                </c:pt>
              </c:strCache>
            </c:strRef>
          </c:cat>
          <c:val>
            <c:numRef>
              <c:f>Segments!$D$17:$D$21</c:f>
              <c:numCache>
                <c:formatCode>0.0%</c:formatCode>
                <c:ptCount val="5"/>
                <c:pt idx="0">
                  <c:v>0.76413277444205274</c:v>
                </c:pt>
                <c:pt idx="1">
                  <c:v>0.2195536422340546</c:v>
                </c:pt>
                <c:pt idx="2">
                  <c:v>1.6313583323892603E-2</c:v>
                </c:pt>
                <c:pt idx="3">
                  <c:v>0</c:v>
                </c:pt>
                <c:pt idx="4">
                  <c:v>0</c:v>
                </c:pt>
              </c:numCache>
            </c:numRef>
          </c:val>
          <c:extLst>
            <c:ext xmlns:c16="http://schemas.microsoft.com/office/drawing/2014/chart" uri="{C3380CC4-5D6E-409C-BE32-E72D297353CC}">
              <c16:uniqueId val="{0000000A-10C3-4C5F-A171-DCB9992FEBC7}"/>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
          <c:y val="0.84039414564704851"/>
          <c:w val="1"/>
          <c:h val="0.125707549268205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Revenue by Region</a:t>
            </a:r>
          </a:p>
        </c:rich>
      </c:tx>
      <c:layout>
        <c:manualLayout>
          <c:xMode val="edge"/>
          <c:yMode val="edge"/>
          <c:x val="0.196181861759879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N"/>
        </a:p>
      </c:txPr>
    </c:title>
    <c:autoTitleDeleted val="0"/>
    <c:plotArea>
      <c:layout>
        <c:manualLayout>
          <c:layoutTarget val="inner"/>
          <c:xMode val="edge"/>
          <c:yMode val="edge"/>
          <c:x val="0.20546549027666"/>
          <c:y val="0.16130487604074661"/>
          <c:w val="0.58000814797057032"/>
          <c:h val="0.63288566647294286"/>
        </c:manualLayout>
      </c:layout>
      <c:pieChart>
        <c:varyColors val="1"/>
        <c:ser>
          <c:idx val="0"/>
          <c:order val="0"/>
          <c:tx>
            <c:v>Weights</c:v>
          </c:tx>
          <c:spPr>
            <a:solidFill>
              <a:srgbClr val="C00000"/>
            </a:solidFill>
          </c:spPr>
          <c:dPt>
            <c:idx val="0"/>
            <c:bubble3D val="0"/>
            <c:spPr>
              <a:solidFill>
                <a:srgbClr val="7B1314"/>
              </a:solidFill>
              <a:ln w="19050">
                <a:solidFill>
                  <a:schemeClr val="lt1"/>
                </a:solidFill>
              </a:ln>
              <a:effectLst/>
            </c:spPr>
            <c:extLst>
              <c:ext xmlns:c16="http://schemas.microsoft.com/office/drawing/2014/chart" uri="{C3380CC4-5D6E-409C-BE32-E72D297353CC}">
                <c16:uniqueId val="{00000001-5EA9-4D7B-8219-529372BAB690}"/>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5EA9-4D7B-8219-529372BAB690}"/>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5-6F0B-4B5E-82ED-0B9DC81D228A}"/>
              </c:ext>
            </c:extLst>
          </c:dPt>
          <c:dPt>
            <c:idx val="3"/>
            <c:bubble3D val="0"/>
            <c:spPr>
              <a:solidFill>
                <a:srgbClr val="C00000"/>
              </a:solidFill>
              <a:ln w="19050">
                <a:solidFill>
                  <a:schemeClr val="lt1"/>
                </a:solidFill>
              </a:ln>
              <a:effectLst/>
            </c:spPr>
            <c:extLst>
              <c:ext xmlns:c16="http://schemas.microsoft.com/office/drawing/2014/chart" uri="{C3380CC4-5D6E-409C-BE32-E72D297353CC}">
                <c16:uniqueId val="{00000007-6F0B-4B5E-82ED-0B9DC81D228A}"/>
              </c:ext>
            </c:extLst>
          </c:dPt>
          <c:dPt>
            <c:idx val="4"/>
            <c:bubble3D val="0"/>
            <c:spPr>
              <a:solidFill>
                <a:srgbClr val="C00000"/>
              </a:solidFill>
              <a:ln w="19050">
                <a:solidFill>
                  <a:schemeClr val="lt1"/>
                </a:solidFill>
              </a:ln>
              <a:effectLst/>
            </c:spPr>
            <c:extLst>
              <c:ext xmlns:c16="http://schemas.microsoft.com/office/drawing/2014/chart" uri="{C3380CC4-5D6E-409C-BE32-E72D297353CC}">
                <c16:uniqueId val="{00000009-6F0B-4B5E-82ED-0B9DC81D228A}"/>
              </c:ext>
            </c:extLst>
          </c:dPt>
          <c:cat>
            <c:strRef>
              <c:f>Segments!$B$6:$B$10</c:f>
              <c:strCache>
                <c:ptCount val="5"/>
                <c:pt idx="0">
                  <c:v>United States</c:v>
                </c:pt>
                <c:pt idx="1">
                  <c:v>Germany</c:v>
                </c:pt>
                <c:pt idx="2">
                  <c:v>Japan</c:v>
                </c:pt>
                <c:pt idx="3">
                  <c:v>Canada</c:v>
                </c:pt>
                <c:pt idx="4">
                  <c:v>Other</c:v>
                </c:pt>
              </c:strCache>
            </c:strRef>
          </c:cat>
          <c:val>
            <c:numRef>
              <c:f>Segments!$D$6:$D$10</c:f>
              <c:numCache>
                <c:formatCode>0.0%</c:formatCode>
                <c:ptCount val="5"/>
                <c:pt idx="0">
                  <c:v>0.24368415090064574</c:v>
                </c:pt>
                <c:pt idx="1">
                  <c:v>0.21456893621842074</c:v>
                </c:pt>
                <c:pt idx="2">
                  <c:v>0.12835617990257164</c:v>
                </c:pt>
                <c:pt idx="3">
                  <c:v>0.12473093916392886</c:v>
                </c:pt>
                <c:pt idx="4">
                  <c:v>0.28865979381443296</c:v>
                </c:pt>
              </c:numCache>
            </c:numRef>
          </c:val>
          <c:extLst>
            <c:ext xmlns:c16="http://schemas.microsoft.com/office/drawing/2014/chart" uri="{C3380CC4-5D6E-409C-BE32-E72D297353CC}">
              <c16:uniqueId val="{00000004-5EA9-4D7B-8219-529372BAB690}"/>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
          <c:y val="0.84039414564704851"/>
          <c:w val="1"/>
          <c:h val="0.125707549268205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CN"/>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Revenue by Segment</a:t>
            </a:r>
          </a:p>
        </c:rich>
      </c:tx>
      <c:layout>
        <c:manualLayout>
          <c:xMode val="edge"/>
          <c:yMode val="edge"/>
          <c:x val="0.2088019160724208"/>
          <c:y val="1.46108325946116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N"/>
        </a:p>
      </c:txPr>
    </c:title>
    <c:autoTitleDeleted val="0"/>
    <c:plotArea>
      <c:layout>
        <c:manualLayout>
          <c:layoutTarget val="inner"/>
          <c:xMode val="edge"/>
          <c:yMode val="edge"/>
          <c:x val="0.22360939219902246"/>
          <c:y val="0.17591863442987773"/>
          <c:w val="0.56636184889669605"/>
          <c:h val="0.61848911753405766"/>
        </c:manualLayout>
      </c:layout>
      <c:pieChart>
        <c:varyColors val="1"/>
        <c:ser>
          <c:idx val="0"/>
          <c:order val="0"/>
          <c:tx>
            <c:v>Weights</c:v>
          </c:tx>
          <c:spPr>
            <a:solidFill>
              <a:srgbClr val="FF0000"/>
            </a:solidFill>
          </c:spPr>
          <c:dPt>
            <c:idx val="0"/>
            <c:bubble3D val="0"/>
            <c:spPr>
              <a:solidFill>
                <a:srgbClr val="7B1314"/>
              </a:solidFill>
              <a:ln w="19050">
                <a:solidFill>
                  <a:schemeClr val="lt1"/>
                </a:solidFill>
              </a:ln>
              <a:effectLst/>
            </c:spPr>
            <c:extLst>
              <c:ext xmlns:c16="http://schemas.microsoft.com/office/drawing/2014/chart" uri="{C3380CC4-5D6E-409C-BE32-E72D297353CC}">
                <c16:uniqueId val="{00000001-0160-4D8E-A35D-11187DFD9877}"/>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0160-4D8E-A35D-11187DFD9877}"/>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5-0160-4D8E-A35D-11187DFD9877}"/>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7-B458-4C4D-847F-D2D86AAD1B71}"/>
              </c:ext>
            </c:extLst>
          </c:dPt>
          <c:dPt>
            <c:idx val="4"/>
            <c:bubble3D val="0"/>
            <c:spPr>
              <a:solidFill>
                <a:srgbClr val="FF0000"/>
              </a:solidFill>
              <a:ln w="19050">
                <a:solidFill>
                  <a:schemeClr val="lt1"/>
                </a:solidFill>
              </a:ln>
              <a:effectLst/>
            </c:spPr>
            <c:extLst>
              <c:ext xmlns:c16="http://schemas.microsoft.com/office/drawing/2014/chart" uri="{C3380CC4-5D6E-409C-BE32-E72D297353CC}">
                <c16:uniqueId val="{00000009-B458-4C4D-847F-D2D86AAD1B71}"/>
              </c:ext>
            </c:extLst>
          </c:dPt>
          <c:cat>
            <c:strRef>
              <c:f>Segments!$B$17:$B$21</c:f>
              <c:strCache>
                <c:ptCount val="3"/>
                <c:pt idx="0">
                  <c:v>QCaaS</c:v>
                </c:pt>
                <c:pt idx="1">
                  <c:v>Professional services</c:v>
                </c:pt>
                <c:pt idx="2">
                  <c:v>Other</c:v>
                </c:pt>
              </c:strCache>
            </c:strRef>
          </c:cat>
          <c:val>
            <c:numRef>
              <c:f>Segments!$D$17:$D$21</c:f>
              <c:numCache>
                <c:formatCode>0.0%</c:formatCode>
                <c:ptCount val="5"/>
                <c:pt idx="0">
                  <c:v>0.76413277444205274</c:v>
                </c:pt>
                <c:pt idx="1">
                  <c:v>0.2195536422340546</c:v>
                </c:pt>
                <c:pt idx="2">
                  <c:v>1.6313583323892603E-2</c:v>
                </c:pt>
                <c:pt idx="3">
                  <c:v>0</c:v>
                </c:pt>
                <c:pt idx="4">
                  <c:v>0</c:v>
                </c:pt>
              </c:numCache>
            </c:numRef>
          </c:val>
          <c:extLst>
            <c:ext xmlns:c16="http://schemas.microsoft.com/office/drawing/2014/chart" uri="{C3380CC4-5D6E-409C-BE32-E72D297353CC}">
              <c16:uniqueId val="{00000006-0160-4D8E-A35D-11187DFD9877}"/>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
          <c:y val="0.84039414564704851"/>
          <c:w val="1"/>
          <c:h val="0.125707549268205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CN"/>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Porter's Five Forcers</a:t>
            </a:r>
          </a:p>
        </c:rich>
      </c:tx>
      <c:overlay val="0"/>
      <c:spPr>
        <a:noFill/>
        <a:ln>
          <a:solidFill>
            <a:schemeClr val="bg1"/>
          </a:solidFill>
          <a:prstDash val="solid"/>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N"/>
        </a:p>
      </c:txPr>
    </c:title>
    <c:autoTitleDeleted val="0"/>
    <c:plotArea>
      <c:layout>
        <c:manualLayout>
          <c:layoutTarget val="inner"/>
          <c:xMode val="edge"/>
          <c:yMode val="edge"/>
          <c:x val="0.17832189991630368"/>
          <c:y val="0.22634019121604149"/>
          <c:w val="0.64222360273486778"/>
          <c:h val="0.69328331344335592"/>
        </c:manualLayout>
      </c:layout>
      <c:radarChart>
        <c:radarStyle val="filled"/>
        <c:varyColors val="0"/>
        <c:ser>
          <c:idx val="0"/>
          <c:order val="0"/>
          <c:spPr>
            <a:solidFill>
              <a:schemeClr val="accent1"/>
            </a:solidFill>
            <a:ln>
              <a:noFill/>
            </a:ln>
            <a:effectLst/>
          </c:spPr>
          <c:cat>
            <c:strRef>
              <c:f>(Industry!$B$44,Industry!$B$51,Industry!$B$57,Industry!$B$63,Industry!$B$69)</c:f>
              <c:strCache>
                <c:ptCount val="5"/>
                <c:pt idx="0">
                  <c:v>Threat of New Entrants</c:v>
                </c:pt>
                <c:pt idx="1">
                  <c:v>Bargaining Power of Suppliers</c:v>
                </c:pt>
                <c:pt idx="2">
                  <c:v>Bargaining Power of Customers</c:v>
                </c:pt>
                <c:pt idx="3">
                  <c:v>Competitive Rivalry</c:v>
                </c:pt>
                <c:pt idx="4">
                  <c:v>Threat of Substitutes</c:v>
                </c:pt>
              </c:strCache>
            </c:strRef>
          </c:cat>
          <c:val>
            <c:numRef>
              <c:f>(Industry!$C$44,Industry!$C$51,Industry!$C$57,Industry!$C$63,Industry!$C$69)</c:f>
              <c:numCache>
                <c:formatCode>General</c:formatCode>
                <c:ptCount val="5"/>
              </c:numCache>
            </c:numRef>
          </c:val>
          <c:extLst>
            <c:ext xmlns:c16="http://schemas.microsoft.com/office/drawing/2014/chart" uri="{C3380CC4-5D6E-409C-BE32-E72D297353CC}">
              <c16:uniqueId val="{00000000-131C-436F-9A35-697B2AD2FA69}"/>
            </c:ext>
          </c:extLst>
        </c:ser>
        <c:ser>
          <c:idx val="1"/>
          <c:order val="1"/>
          <c:spPr>
            <a:solidFill>
              <a:schemeClr val="accent2"/>
            </a:solidFill>
            <a:ln>
              <a:noFill/>
            </a:ln>
            <a:effectLst/>
          </c:spPr>
          <c:cat>
            <c:strRef>
              <c:f>(Industry!$B$44,Industry!$B$51,Industry!$B$57,Industry!$B$63,Industry!$B$69)</c:f>
              <c:strCache>
                <c:ptCount val="5"/>
                <c:pt idx="0">
                  <c:v>Threat of New Entrants</c:v>
                </c:pt>
                <c:pt idx="1">
                  <c:v>Bargaining Power of Suppliers</c:v>
                </c:pt>
                <c:pt idx="2">
                  <c:v>Bargaining Power of Customers</c:v>
                </c:pt>
                <c:pt idx="3">
                  <c:v>Competitive Rivalry</c:v>
                </c:pt>
                <c:pt idx="4">
                  <c:v>Threat of Substitutes</c:v>
                </c:pt>
              </c:strCache>
            </c:strRef>
          </c:cat>
          <c:val>
            <c:numRef>
              <c:f>(Industry!$D$44,Industry!$D$51,Industry!$D$57,Industry!$D$63,Industry!$D$69)</c:f>
              <c:numCache>
                <c:formatCode>General</c:formatCode>
                <c:ptCount val="5"/>
              </c:numCache>
            </c:numRef>
          </c:val>
          <c:extLst>
            <c:ext xmlns:c16="http://schemas.microsoft.com/office/drawing/2014/chart" uri="{C3380CC4-5D6E-409C-BE32-E72D297353CC}">
              <c16:uniqueId val="{00000001-131C-436F-9A35-697B2AD2FA69}"/>
            </c:ext>
          </c:extLst>
        </c:ser>
        <c:ser>
          <c:idx val="2"/>
          <c:order val="2"/>
          <c:spPr>
            <a:solidFill>
              <a:srgbClr val="7B1314"/>
            </a:solidFill>
            <a:ln>
              <a:noFill/>
            </a:ln>
            <a:effectLst/>
          </c:spPr>
          <c:cat>
            <c:strRef>
              <c:f>(Industry!$B$44,Industry!$B$51,Industry!$B$57,Industry!$B$63,Industry!$B$69)</c:f>
              <c:strCache>
                <c:ptCount val="5"/>
                <c:pt idx="0">
                  <c:v>Threat of New Entrants</c:v>
                </c:pt>
                <c:pt idx="1">
                  <c:v>Bargaining Power of Suppliers</c:v>
                </c:pt>
                <c:pt idx="2">
                  <c:v>Bargaining Power of Customers</c:v>
                </c:pt>
                <c:pt idx="3">
                  <c:v>Competitive Rivalry</c:v>
                </c:pt>
                <c:pt idx="4">
                  <c:v>Threat of Substitutes</c:v>
                </c:pt>
              </c:strCache>
            </c:strRef>
          </c:cat>
          <c:val>
            <c:numRef>
              <c:f>(Industry!$E$44,Industry!$E$51,Industry!$E$57,Industry!$E$63,Industry!$E$69)</c:f>
              <c:numCache>
                <c:formatCode>General</c:formatCode>
                <c:ptCount val="5"/>
                <c:pt idx="0" formatCode="0.00">
                  <c:v>3.8</c:v>
                </c:pt>
                <c:pt idx="1">
                  <c:v>3.25</c:v>
                </c:pt>
                <c:pt idx="2">
                  <c:v>3.6</c:v>
                </c:pt>
                <c:pt idx="3">
                  <c:v>4.5</c:v>
                </c:pt>
                <c:pt idx="4">
                  <c:v>3.75</c:v>
                </c:pt>
              </c:numCache>
            </c:numRef>
          </c:val>
          <c:extLst>
            <c:ext xmlns:c16="http://schemas.microsoft.com/office/drawing/2014/chart" uri="{C3380CC4-5D6E-409C-BE32-E72D297353CC}">
              <c16:uniqueId val="{00000002-131C-436F-9A35-697B2AD2FA69}"/>
            </c:ext>
          </c:extLst>
        </c:ser>
        <c:dLbls>
          <c:showLegendKey val="0"/>
          <c:showVal val="0"/>
          <c:showCatName val="0"/>
          <c:showSerName val="0"/>
          <c:showPercent val="0"/>
          <c:showBubbleSize val="0"/>
        </c:dLbls>
        <c:axId val="187338759"/>
        <c:axId val="192312327"/>
      </c:radarChart>
      <c:catAx>
        <c:axId val="187338759"/>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CN"/>
          </a:p>
        </c:txPr>
        <c:crossAx val="192312327"/>
        <c:crosses val="autoZero"/>
        <c:auto val="1"/>
        <c:lblAlgn val="ctr"/>
        <c:lblOffset val="100"/>
        <c:noMultiLvlLbl val="0"/>
      </c:catAx>
      <c:valAx>
        <c:axId val="192312327"/>
        <c:scaling>
          <c:orientation val="minMax"/>
          <c:max val="5"/>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733875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CN"/>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1489495687747911E-3"/>
          <c:y val="2.2093019039313346E-2"/>
          <c:w val="0.3654215408474436"/>
          <c:h val="0.97790698096068662"/>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B0-439D-8074-43EAB194AB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FB0-439D-8074-43EAB194AB3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FB0-439D-8074-43EAB194AB3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FB0-439D-8074-43EAB194AB3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FB0-439D-8074-43EAB194AB3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FB0-439D-8074-43EAB194AB3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FB0-439D-8074-43EAB194AB3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FB0-439D-8074-43EAB194AB3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FB0-439D-8074-43EAB194AB3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FB0-439D-8074-43EAB194AB3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BFB0-439D-8074-43EAB194AB3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BFB0-439D-8074-43EAB194AB32}"/>
              </c:ext>
            </c:extLst>
          </c:dPt>
          <c:cat>
            <c:strRef>
              <c:f>Industry!$B$28:$B$39</c:f>
              <c:strCache>
                <c:ptCount val="12"/>
                <c:pt idx="0">
                  <c:v>D-WAVE QUANTUM INC.</c:v>
                </c:pt>
                <c:pt idx="1">
                  <c:v>IONQ INC.</c:v>
                </c:pt>
                <c:pt idx="2">
                  <c:v>RIGETTI COMPUTING INC.</c:v>
                </c:pt>
                <c:pt idx="3">
                  <c:v>QUANTUM COMPUTING INC.</c:v>
                </c:pt>
                <c:pt idx="11">
                  <c:v>Others</c:v>
                </c:pt>
              </c:strCache>
            </c:strRef>
          </c:cat>
          <c:val>
            <c:numRef>
              <c:f>Industry!$I$28:$I$39</c:f>
              <c:numCache>
                <c:formatCode>0%</c:formatCode>
                <c:ptCount val="12"/>
                <c:pt idx="0">
                  <c:v>0.20325203252032523</c:v>
                </c:pt>
                <c:pt idx="1">
                  <c:v>0.51196283391405339</c:v>
                </c:pt>
                <c:pt idx="2">
                  <c:v>0.27874564459930318</c:v>
                </c:pt>
                <c:pt idx="3">
                  <c:v>6.9686411149825784E-3</c:v>
                </c:pt>
                <c:pt idx="4">
                  <c:v>0</c:v>
                </c:pt>
                <c:pt idx="5">
                  <c:v>0</c:v>
                </c:pt>
                <c:pt idx="6">
                  <c:v>0</c:v>
                </c:pt>
                <c:pt idx="7">
                  <c:v>0</c:v>
                </c:pt>
                <c:pt idx="8">
                  <c:v>0</c:v>
                </c:pt>
                <c:pt idx="9" formatCode="0.00%">
                  <c:v>0</c:v>
                </c:pt>
                <c:pt idx="10" formatCode="0.00%">
                  <c:v>0</c:v>
                </c:pt>
                <c:pt idx="11">
                  <c:v>-9.2915214866432405E-4</c:v>
                </c:pt>
              </c:numCache>
            </c:numRef>
          </c:val>
          <c:extLst>
            <c:ext xmlns:c16="http://schemas.microsoft.com/office/drawing/2014/chart" uri="{C3380CC4-5D6E-409C-BE32-E72D297353CC}">
              <c16:uniqueId val="{00000000-ADD4-4ADF-8131-93513DF06778}"/>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40474198403554451"/>
          <c:y val="5.4839785837187675E-2"/>
          <c:w val="0.50344530231438234"/>
          <c:h val="0.9160518762816316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CN"/>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8343120286631479E-2"/>
          <c:y val="5.2908089143123768E-2"/>
          <c:w val="0.93558591437983274"/>
          <c:h val="0.73811215454464207"/>
        </c:manualLayout>
      </c:layout>
      <c:lineChart>
        <c:grouping val="standard"/>
        <c:varyColors val="0"/>
        <c:ser>
          <c:idx val="4"/>
          <c:order val="0"/>
          <c:tx>
            <c:strRef>
              <c:f>'ESG Inputs'!$B$76</c:f>
              <c:strCache>
                <c:ptCount val="1"/>
                <c:pt idx="0">
                  <c:v>D-WAVE QUANTUM INC.</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numRef>
              <c:f>'ESG Inputs'!$G$74:$Q$74</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Inputs'!$G$76:$Q$76</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A33D-44A1-A7C1-FB656FA5A222}"/>
            </c:ext>
          </c:extLst>
        </c:ser>
        <c:ser>
          <c:idx val="0"/>
          <c:order val="1"/>
          <c:tx>
            <c:strRef>
              <c:f>'ESG Inputs'!$B$77</c:f>
              <c:strCache>
                <c:ptCount val="1"/>
                <c:pt idx="0">
                  <c:v>IONQ INC.</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 Inputs'!$G$74:$Q$74</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Inputs'!$G$77:$Q$77</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A33D-44A1-A7C1-FB656FA5A222}"/>
            </c:ext>
          </c:extLst>
        </c:ser>
        <c:ser>
          <c:idx val="1"/>
          <c:order val="2"/>
          <c:tx>
            <c:strRef>
              <c:f>'ESG Inputs'!$B$78</c:f>
              <c:strCache>
                <c:ptCount val="1"/>
                <c:pt idx="0">
                  <c:v>RIGETTI COMPUTING INC.</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'ESG Inputs'!$G$74:$Q$74</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Inputs'!$G$78:$Q$78</c:f>
              <c:numCache>
                <c:formatCode>General</c:formatCode>
                <c:ptCount val="11"/>
                <c:pt idx="0" formatCode="#,##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2-A33D-44A1-A7C1-FB656FA5A222}"/>
            </c:ext>
          </c:extLst>
        </c:ser>
        <c:ser>
          <c:idx val="2"/>
          <c:order val="3"/>
          <c:tx>
            <c:strRef>
              <c:f>'ESG Inputs'!$B$79</c:f>
              <c:strCache>
                <c:ptCount val="1"/>
                <c:pt idx="0">
                  <c:v>QUANTUM COMPUTING INC.</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 Inputs'!$G$74:$Q$74</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Inputs'!$G$79:$Q$79</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3-A33D-44A1-A7C1-FB656FA5A222}"/>
            </c:ext>
          </c:extLst>
        </c:ser>
        <c:ser>
          <c:idx val="3"/>
          <c:order val="4"/>
          <c:tx>
            <c:strRef>
              <c:f>'ESG Inputs'!$B$80</c:f>
              <c:strCache>
                <c:ptCount val="1"/>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f>'ESG Inputs'!$G$74:$Q$74</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Inputs'!$G$80:$Q$80</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4-A33D-44A1-A7C1-FB656FA5A222}"/>
            </c:ext>
          </c:extLst>
        </c:ser>
        <c:dLbls>
          <c:showLegendKey val="0"/>
          <c:showVal val="0"/>
          <c:showCatName val="0"/>
          <c:showSerName val="0"/>
          <c:showPercent val="0"/>
          <c:showBubbleSize val="0"/>
        </c:dLbls>
        <c:marker val="1"/>
        <c:smooth val="0"/>
        <c:axId val="1086075584"/>
        <c:axId val="1086077504"/>
      </c:lineChart>
      <c:catAx>
        <c:axId val="1086075584"/>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crossAx val="1086077504"/>
        <c:crosses val="autoZero"/>
        <c:auto val="1"/>
        <c:lblAlgn val="ctr"/>
        <c:lblOffset val="100"/>
        <c:noMultiLvlLbl val="0"/>
      </c:catAx>
      <c:valAx>
        <c:axId val="108607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crossAx val="1086075584"/>
        <c:crosses val="autoZero"/>
        <c:crossBetween val="between"/>
      </c:valAx>
      <c:spPr>
        <a:noFill/>
        <a:ln>
          <a:noFill/>
        </a:ln>
        <a:effectLst/>
      </c:spPr>
    </c:plotArea>
    <c:legend>
      <c:legendPos val="b"/>
      <c:layout>
        <c:manualLayout>
          <c:xMode val="edge"/>
          <c:yMode val="edge"/>
          <c:x val="1.2949953955591448E-2"/>
          <c:y val="0.84488196610549504"/>
          <c:w val="0.97702197074670194"/>
          <c:h val="0.155118033894504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CN"/>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5"/>
          <c:order val="0"/>
          <c:tx>
            <c:strRef>
              <c:f>'ESG Inputs'!$B$48</c:f>
              <c:strCache>
                <c:ptCount val="1"/>
                <c:pt idx="0">
                  <c:v>D-WAVE QUANTUM INC.</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numRef>
              <c:f>'ESG Inputs'!$G$46:$Q$46</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Inputs'!$G$48:$Q$48</c:f>
              <c:numCache>
                <c:formatCode>General</c:formatCode>
                <c:ptCount val="11"/>
              </c:numCache>
            </c:numRef>
          </c:val>
          <c:smooth val="0"/>
          <c:extLst>
            <c:ext xmlns:c16="http://schemas.microsoft.com/office/drawing/2014/chart" uri="{C3380CC4-5D6E-409C-BE32-E72D297353CC}">
              <c16:uniqueId val="{00000000-E980-4DF7-896B-DD4FDA36ADD3}"/>
            </c:ext>
          </c:extLst>
        </c:ser>
        <c:ser>
          <c:idx val="2"/>
          <c:order val="2"/>
          <c:tx>
            <c:strRef>
              <c:f>'ESG Inputs'!$B$51</c:f>
              <c:strCache>
                <c:ptCount val="1"/>
                <c:pt idx="0">
                  <c:v>QUANTUM COMPUTING INC.</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 Inputs'!$G$46:$Q$46</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Inputs'!$G$51:$Q$51</c:f>
              <c:numCache>
                <c:formatCode>General</c:formatCode>
                <c:ptCount val="11"/>
              </c:numCache>
            </c:numRef>
          </c:val>
          <c:smooth val="0"/>
          <c:extLst>
            <c:ext xmlns:c16="http://schemas.microsoft.com/office/drawing/2014/chart" uri="{C3380CC4-5D6E-409C-BE32-E72D297353CC}">
              <c16:uniqueId val="{00000001-E980-4DF7-896B-DD4FDA36ADD3}"/>
            </c:ext>
          </c:extLst>
        </c:ser>
        <c:ser>
          <c:idx val="3"/>
          <c:order val="3"/>
          <c:tx>
            <c:strRef>
              <c:f>'ESG Inputs'!$B$52</c:f>
              <c:strCache>
                <c:ptCount val="1"/>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f>'ESG Inputs'!$G$46:$Q$46</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Inputs'!$G$52:$Q$52</c:f>
              <c:numCache>
                <c:formatCode>General</c:formatCode>
                <c:ptCount val="11"/>
              </c:numCache>
            </c:numRef>
          </c:val>
          <c:smooth val="0"/>
          <c:extLst>
            <c:ext xmlns:c16="http://schemas.microsoft.com/office/drawing/2014/chart" uri="{C3380CC4-5D6E-409C-BE32-E72D297353CC}">
              <c16:uniqueId val="{00000002-E980-4DF7-896B-DD4FDA36ADD3}"/>
            </c:ext>
          </c:extLst>
        </c:ser>
        <c:ser>
          <c:idx val="1"/>
          <c:order val="4"/>
          <c:tx>
            <c:strRef>
              <c:f>'ESG Inputs'!$B$50</c:f>
              <c:strCache>
                <c:ptCount val="1"/>
                <c:pt idx="0">
                  <c:v>RIGETTI COMPUTING INC.</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'ESG Inputs'!$G$46:$Q$46</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Inputs'!$G$50:$Q$50</c:f>
              <c:numCache>
                <c:formatCode>General</c:formatCode>
                <c:ptCount val="11"/>
              </c:numCache>
            </c:numRef>
          </c:val>
          <c:smooth val="0"/>
          <c:extLst>
            <c:ext xmlns:c16="http://schemas.microsoft.com/office/drawing/2014/chart" uri="{C3380CC4-5D6E-409C-BE32-E72D297353CC}">
              <c16:uniqueId val="{00000003-E980-4DF7-896B-DD4FDA36ADD3}"/>
            </c:ext>
          </c:extLst>
        </c:ser>
        <c:dLbls>
          <c:showLegendKey val="0"/>
          <c:showVal val="0"/>
          <c:showCatName val="0"/>
          <c:showSerName val="0"/>
          <c:showPercent val="0"/>
          <c:showBubbleSize val="0"/>
        </c:dLbls>
        <c:marker val="1"/>
        <c:smooth val="0"/>
        <c:axId val="1086075584"/>
        <c:axId val="1086077504"/>
        <c:extLst>
          <c:ext xmlns:c15="http://schemas.microsoft.com/office/drawing/2012/chart" uri="{02D57815-91ED-43cb-92C2-25804820EDAC}">
            <c15:filteredLineSeries>
              <c15:ser>
                <c:idx val="0"/>
                <c:order val="1"/>
                <c:tx>
                  <c:strRef>
                    <c:extLst>
                      <c:ext uri="{02D57815-91ED-43cb-92C2-25804820EDAC}">
                        <c15:formulaRef>
                          <c15:sqref>'ESG Inputs'!$B$49</c15:sqref>
                        </c15:formulaRef>
                      </c:ext>
                    </c:extLst>
                    <c:strCache>
                      <c:ptCount val="1"/>
                      <c:pt idx="0">
                        <c:v>IONQ INC.</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extLst>
                      <c:ext uri="{02D57815-91ED-43cb-92C2-25804820EDAC}">
                        <c15:formulaRef>
                          <c15:sqref>'ESG Inputs'!$G$46:$Q$46</c15:sqref>
                        </c15:formulaRef>
                      </c:ext>
                    </c:extLst>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extLst>
                      <c:ext uri="{02D57815-91ED-43cb-92C2-25804820EDAC}">
                        <c15:formulaRef>
                          <c15:sqref>'ESG Inputs'!$G$49:$Q$49</c15:sqref>
                        </c15:formulaRef>
                      </c:ext>
                    </c:extLst>
                    <c:numCache>
                      <c:formatCode>General</c:formatCode>
                      <c:ptCount val="11"/>
                    </c:numCache>
                  </c:numRef>
                </c:val>
                <c:smooth val="0"/>
                <c:extLst>
                  <c:ext xmlns:c16="http://schemas.microsoft.com/office/drawing/2014/chart" uri="{C3380CC4-5D6E-409C-BE32-E72D297353CC}">
                    <c16:uniqueId val="{00000004-E980-4DF7-896B-DD4FDA36ADD3}"/>
                  </c:ext>
                </c:extLst>
              </c15:ser>
            </c15:filteredLineSeries>
          </c:ext>
        </c:extLst>
      </c:lineChart>
      <c:catAx>
        <c:axId val="1086075584"/>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crossAx val="1086077504"/>
        <c:crosses val="autoZero"/>
        <c:auto val="1"/>
        <c:lblAlgn val="ctr"/>
        <c:lblOffset val="100"/>
        <c:noMultiLvlLbl val="0"/>
      </c:catAx>
      <c:valAx>
        <c:axId val="108607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crossAx val="108607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CN"/>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5"/>
          <c:order val="0"/>
          <c:tx>
            <c:strRef>
              <c:f>'ESG Inputs'!$B$62</c:f>
              <c:strCache>
                <c:ptCount val="1"/>
                <c:pt idx="0">
                  <c:v>D-WAVE QUANTUM INC.</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Inputs'!$G$62:$Q$62</c:f>
              <c:numCache>
                <c:formatCode>General</c:formatCode>
                <c:ptCount val="11"/>
              </c:numCache>
            </c:numRef>
          </c:val>
          <c:smooth val="0"/>
          <c:extLst>
            <c:ext xmlns:c16="http://schemas.microsoft.com/office/drawing/2014/chart" uri="{C3380CC4-5D6E-409C-BE32-E72D297353CC}">
              <c16:uniqueId val="{00000000-F38D-409A-B510-CAA45AC4F704}"/>
            </c:ext>
          </c:extLst>
        </c:ser>
        <c:ser>
          <c:idx val="2"/>
          <c:order val="3"/>
          <c:tx>
            <c:strRef>
              <c:f>'ESG Inputs'!$B$65</c:f>
              <c:strCache>
                <c:ptCount val="1"/>
                <c:pt idx="0">
                  <c:v>QUANTUM COMPUTING INC.</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Inputs'!$G$65:$Q$65</c:f>
              <c:numCache>
                <c:formatCode>General</c:formatCode>
                <c:ptCount val="11"/>
              </c:numCache>
            </c:numRef>
          </c:val>
          <c:smooth val="0"/>
          <c:extLst>
            <c:ext xmlns:c16="http://schemas.microsoft.com/office/drawing/2014/chart" uri="{C3380CC4-5D6E-409C-BE32-E72D297353CC}">
              <c16:uniqueId val="{00000001-F38D-409A-B510-CAA45AC4F704}"/>
            </c:ext>
          </c:extLst>
        </c:ser>
        <c:ser>
          <c:idx val="3"/>
          <c:order val="4"/>
          <c:tx>
            <c:strRef>
              <c:f>'ESG Inputs'!$B$66</c:f>
              <c:strCache>
                <c:ptCount val="1"/>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Inputs'!$G$66:$Q$66</c:f>
              <c:numCache>
                <c:formatCode>General</c:formatCode>
                <c:ptCount val="11"/>
              </c:numCache>
            </c:numRef>
          </c:val>
          <c:smooth val="0"/>
          <c:extLst>
            <c:ext xmlns:c16="http://schemas.microsoft.com/office/drawing/2014/chart" uri="{C3380CC4-5D6E-409C-BE32-E72D297353CC}">
              <c16:uniqueId val="{00000002-F38D-409A-B510-CAA45AC4F704}"/>
            </c:ext>
          </c:extLst>
        </c:ser>
        <c:ser>
          <c:idx val="4"/>
          <c:order val="5"/>
          <c:tx>
            <c:strRef>
              <c:f>'ESG Inputs'!$B$67</c:f>
              <c:strCache>
                <c:ptCount val="1"/>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Inputs'!$G$67:$Q$67</c:f>
              <c:numCache>
                <c:formatCode>General</c:formatCode>
                <c:ptCount val="11"/>
              </c:numCache>
            </c:numRef>
          </c:val>
          <c:smooth val="0"/>
          <c:extLst>
            <c:ext xmlns:c16="http://schemas.microsoft.com/office/drawing/2014/chart" uri="{C3380CC4-5D6E-409C-BE32-E72D297353CC}">
              <c16:uniqueId val="{00000003-F38D-409A-B510-CAA45AC4F704}"/>
            </c:ext>
          </c:extLst>
        </c:ser>
        <c:ser>
          <c:idx val="6"/>
          <c:order val="6"/>
          <c:tx>
            <c:strRef>
              <c:f>'ESG Inputs'!$B$68</c:f>
              <c:strCache>
                <c:ptCount val="1"/>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Inputs'!$G$68:$Q$68</c:f>
              <c:numCache>
                <c:formatCode>General</c:formatCode>
                <c:ptCount val="11"/>
              </c:numCache>
            </c:numRef>
          </c:val>
          <c:smooth val="0"/>
          <c:extLst>
            <c:ext xmlns:c16="http://schemas.microsoft.com/office/drawing/2014/chart" uri="{C3380CC4-5D6E-409C-BE32-E72D297353CC}">
              <c16:uniqueId val="{00000004-F38D-409A-B510-CAA45AC4F704}"/>
            </c:ext>
          </c:extLst>
        </c:ser>
        <c:ser>
          <c:idx val="7"/>
          <c:order val="7"/>
          <c:tx>
            <c:strRef>
              <c:f>'ESG Inputs'!$B$69</c:f>
              <c:strCache>
                <c:ptCount val="1"/>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Inputs'!$G$69:$Q$69</c:f>
              <c:numCache>
                <c:formatCode>General</c:formatCode>
                <c:ptCount val="11"/>
              </c:numCache>
            </c:numRef>
          </c:val>
          <c:smooth val="0"/>
          <c:extLst>
            <c:ext xmlns:c16="http://schemas.microsoft.com/office/drawing/2014/chart" uri="{C3380CC4-5D6E-409C-BE32-E72D297353CC}">
              <c16:uniqueId val="{00000005-F38D-409A-B510-CAA45AC4F704}"/>
            </c:ext>
          </c:extLst>
        </c:ser>
        <c:ser>
          <c:idx val="8"/>
          <c:order val="8"/>
          <c:tx>
            <c:strRef>
              <c:f>'ESG Inputs'!$B$70</c:f>
              <c:strCache>
                <c:ptCount val="1"/>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Inputs'!$G$70:$Q$70</c:f>
              <c:numCache>
                <c:formatCode>General</c:formatCode>
                <c:ptCount val="11"/>
              </c:numCache>
            </c:numRef>
          </c:val>
          <c:smooth val="0"/>
          <c:extLst>
            <c:ext xmlns:c16="http://schemas.microsoft.com/office/drawing/2014/chart" uri="{C3380CC4-5D6E-409C-BE32-E72D297353CC}">
              <c16:uniqueId val="{00000006-F38D-409A-B510-CAA45AC4F704}"/>
            </c:ext>
          </c:extLst>
        </c:ser>
        <c:ser>
          <c:idx val="9"/>
          <c:order val="9"/>
          <c:tx>
            <c:strRef>
              <c:f>'ESG Inputs'!$B$71</c:f>
              <c:strCache>
                <c:ptCount val="1"/>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Inputs'!$G$71:$Q$71</c:f>
              <c:numCache>
                <c:formatCode>General</c:formatCode>
                <c:ptCount val="11"/>
              </c:numCache>
            </c:numRef>
          </c:val>
          <c:smooth val="0"/>
          <c:extLst>
            <c:ext xmlns:c16="http://schemas.microsoft.com/office/drawing/2014/chart" uri="{C3380CC4-5D6E-409C-BE32-E72D297353CC}">
              <c16:uniqueId val="{00000007-F38D-409A-B510-CAA45AC4F704}"/>
            </c:ext>
          </c:extLst>
        </c:ser>
        <c:ser>
          <c:idx val="10"/>
          <c:order val="10"/>
          <c:tx>
            <c:strRef>
              <c:f>'ESG Inputs'!$B$72</c:f>
              <c:strCache>
                <c:ptCount val="1"/>
              </c:strCache>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Inputs'!$G$72:$Q$72</c:f>
              <c:numCache>
                <c:formatCode>General</c:formatCode>
                <c:ptCount val="11"/>
              </c:numCache>
            </c:numRef>
          </c:val>
          <c:smooth val="0"/>
          <c:extLst>
            <c:ext xmlns:c16="http://schemas.microsoft.com/office/drawing/2014/chart" uri="{C3380CC4-5D6E-409C-BE32-E72D297353CC}">
              <c16:uniqueId val="{00000008-F38D-409A-B510-CAA45AC4F704}"/>
            </c:ext>
          </c:extLst>
        </c:ser>
        <c:dLbls>
          <c:showLegendKey val="0"/>
          <c:showVal val="0"/>
          <c:showCatName val="0"/>
          <c:showSerName val="0"/>
          <c:showPercent val="0"/>
          <c:showBubbleSize val="0"/>
        </c:dLbls>
        <c:marker val="1"/>
        <c:smooth val="0"/>
        <c:axId val="1086075584"/>
        <c:axId val="1086077504"/>
        <c:extLst>
          <c:ext xmlns:c15="http://schemas.microsoft.com/office/drawing/2012/chart" uri="{02D57815-91ED-43cb-92C2-25804820EDAC}">
            <c15:filteredLineSeries>
              <c15:ser>
                <c:idx val="0"/>
                <c:order val="1"/>
                <c:tx>
                  <c:strRef>
                    <c:extLst>
                      <c:ext uri="{02D57815-91ED-43cb-92C2-25804820EDAC}">
                        <c15:formulaRef>
                          <c15:sqref>'ESG Inputs'!$B$63</c15:sqref>
                        </c15:formulaRef>
                      </c:ext>
                    </c:extLst>
                    <c:strCache>
                      <c:ptCount val="1"/>
                      <c:pt idx="0">
                        <c:v>IONQ INC.</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extLst>
                      <c:ext uri="{02D57815-91ED-43cb-92C2-25804820EDAC}">
                        <c15:formulaRef>
                          <c15:sqref>'ESG Inputs'!$G$60:$Q$60</c15:sqref>
                        </c15:formulaRef>
                      </c:ext>
                    </c:extLst>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extLst>
                      <c:ext uri="{02D57815-91ED-43cb-92C2-25804820EDAC}">
                        <c15:formulaRef>
                          <c15:sqref>'ESG Inputs'!$G$63:$Q$63</c15:sqref>
                        </c15:formulaRef>
                      </c:ext>
                    </c:extLst>
                    <c:numCache>
                      <c:formatCode>General</c:formatCode>
                      <c:ptCount val="11"/>
                    </c:numCache>
                  </c:numRef>
                </c:val>
                <c:smooth val="0"/>
                <c:extLst>
                  <c:ext xmlns:c16="http://schemas.microsoft.com/office/drawing/2014/chart" uri="{C3380CC4-5D6E-409C-BE32-E72D297353CC}">
                    <c16:uniqueId val="{00000009-F38D-409A-B510-CAA45AC4F704}"/>
                  </c:ext>
                </c:extLst>
              </c15:ser>
            </c15:filteredLineSeries>
            <c15:filteredLineSeries>
              <c15:ser>
                <c:idx val="1"/>
                <c:order val="2"/>
                <c:tx>
                  <c:strRef>
                    <c:extLst xmlns:c15="http://schemas.microsoft.com/office/drawing/2012/chart">
                      <c:ext xmlns:c15="http://schemas.microsoft.com/office/drawing/2012/chart" uri="{02D57815-91ED-43cb-92C2-25804820EDAC}">
                        <c15:formulaRef>
                          <c15:sqref>'ESG Inputs'!$B$64</c15:sqref>
                        </c15:formulaRef>
                      </c:ext>
                    </c:extLst>
                    <c:strCache>
                      <c:ptCount val="1"/>
                      <c:pt idx="0">
                        <c:v>RIGETTI COMPUTING INC.</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extLst xmlns:c15="http://schemas.microsoft.com/office/drawing/2012/chart">
                      <c:ext xmlns:c15="http://schemas.microsoft.com/office/drawing/2012/chart" uri="{02D57815-91ED-43cb-92C2-25804820EDAC}">
                        <c15:formulaRef>
                          <c15:sqref>'ESG Inputs'!$G$60:$Q$60</c15:sqref>
                        </c15:formulaRef>
                      </c:ext>
                    </c:extLst>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extLst xmlns:c15="http://schemas.microsoft.com/office/drawing/2012/chart">
                      <c:ext xmlns:c15="http://schemas.microsoft.com/office/drawing/2012/chart" uri="{02D57815-91ED-43cb-92C2-25804820EDAC}">
                        <c15:formulaRef>
                          <c15:sqref>'ESG Inputs'!$G$64:$Q$64</c15:sqref>
                        </c15:formulaRef>
                      </c:ext>
                    </c:extLst>
                    <c:numCache>
                      <c:formatCode>General</c:formatCode>
                      <c:ptCount val="11"/>
                    </c:numCache>
                  </c:numRef>
                </c:val>
                <c:smooth val="0"/>
                <c:extLst xmlns:c15="http://schemas.microsoft.com/office/drawing/2012/chart">
                  <c:ext xmlns:c16="http://schemas.microsoft.com/office/drawing/2014/chart" uri="{C3380CC4-5D6E-409C-BE32-E72D297353CC}">
                    <c16:uniqueId val="{0000000A-F38D-409A-B510-CAA45AC4F704}"/>
                  </c:ext>
                </c:extLst>
              </c15:ser>
            </c15:filteredLineSeries>
          </c:ext>
        </c:extLst>
      </c:lineChart>
      <c:catAx>
        <c:axId val="1086075584"/>
        <c:scaling>
          <c:orientation val="minMax"/>
        </c:scaling>
        <c:delete val="0"/>
        <c:axPos val="b"/>
        <c:numFmt formatCode="0"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crossAx val="1086077504"/>
        <c:crosses val="autoZero"/>
        <c:auto val="1"/>
        <c:lblAlgn val="ctr"/>
        <c:lblOffset val="100"/>
        <c:noMultiLvlLbl val="0"/>
      </c:catAx>
      <c:valAx>
        <c:axId val="108607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crossAx val="108607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CN"/>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5"/>
          <c:order val="0"/>
          <c:tx>
            <c:strRef>
              <c:f>'ESG Inputs'!$B$34</c:f>
              <c:strCache>
                <c:ptCount val="1"/>
                <c:pt idx="0">
                  <c:v>D-WAVE QUANTUM INC.</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Inputs'!$G$34:$Q$34</c:f>
              <c:numCache>
                <c:formatCode>General</c:formatCode>
                <c:ptCount val="11"/>
              </c:numCache>
            </c:numRef>
          </c:val>
          <c:smooth val="0"/>
          <c:extLst>
            <c:ext xmlns:c16="http://schemas.microsoft.com/office/drawing/2014/chart" uri="{C3380CC4-5D6E-409C-BE32-E72D297353CC}">
              <c16:uniqueId val="{00000000-AC1E-4410-B719-66281604211E}"/>
            </c:ext>
          </c:extLst>
        </c:ser>
        <c:ser>
          <c:idx val="0"/>
          <c:order val="1"/>
          <c:tx>
            <c:strRef>
              <c:f>'ESG Inputs'!$B$35</c:f>
              <c:strCache>
                <c:ptCount val="1"/>
                <c:pt idx="0">
                  <c:v>IONQ INC.</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Inputs'!$G$35:$Q$35</c:f>
              <c:numCache>
                <c:formatCode>General</c:formatCode>
                <c:ptCount val="11"/>
              </c:numCache>
            </c:numRef>
          </c:val>
          <c:smooth val="0"/>
          <c:extLst>
            <c:ext xmlns:c16="http://schemas.microsoft.com/office/drawing/2014/chart" uri="{C3380CC4-5D6E-409C-BE32-E72D297353CC}">
              <c16:uniqueId val="{00000001-AC1E-4410-B719-66281604211E}"/>
            </c:ext>
          </c:extLst>
        </c:ser>
        <c:ser>
          <c:idx val="1"/>
          <c:order val="2"/>
          <c:tx>
            <c:strRef>
              <c:f>'ESG Inputs'!$B$36</c:f>
              <c:strCache>
                <c:ptCount val="1"/>
                <c:pt idx="0">
                  <c:v>RIGETTI COMPUTING INC.</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Inputs'!$G$36:$Q$36</c:f>
              <c:numCache>
                <c:formatCode>General</c:formatCode>
                <c:ptCount val="11"/>
              </c:numCache>
            </c:numRef>
          </c:val>
          <c:smooth val="0"/>
          <c:extLst>
            <c:ext xmlns:c16="http://schemas.microsoft.com/office/drawing/2014/chart" uri="{C3380CC4-5D6E-409C-BE32-E72D297353CC}">
              <c16:uniqueId val="{00000002-AC1E-4410-B719-66281604211E}"/>
            </c:ext>
          </c:extLst>
        </c:ser>
        <c:ser>
          <c:idx val="2"/>
          <c:order val="3"/>
          <c:tx>
            <c:strRef>
              <c:f>'ESG Inputs'!$B$37</c:f>
              <c:strCache>
                <c:ptCount val="1"/>
                <c:pt idx="0">
                  <c:v>QUANTUM COMPUTING INC.</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Inputs'!$G$37:$Q$37</c:f>
              <c:numCache>
                <c:formatCode>#,##0.00</c:formatCode>
                <c:ptCount val="11"/>
              </c:numCache>
            </c:numRef>
          </c:val>
          <c:smooth val="0"/>
          <c:extLst>
            <c:ext xmlns:c16="http://schemas.microsoft.com/office/drawing/2014/chart" uri="{C3380CC4-5D6E-409C-BE32-E72D297353CC}">
              <c16:uniqueId val="{00000003-AC1E-4410-B719-66281604211E}"/>
            </c:ext>
          </c:extLst>
        </c:ser>
        <c:ser>
          <c:idx val="3"/>
          <c:order val="4"/>
          <c:tx>
            <c:strRef>
              <c:f>'ESG Inputs'!$B$38</c:f>
              <c:strCache>
                <c:ptCount val="1"/>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Inputs'!$G$38:$Q$38</c:f>
              <c:numCache>
                <c:formatCode>General</c:formatCode>
                <c:ptCount val="11"/>
              </c:numCache>
            </c:numRef>
          </c:val>
          <c:smooth val="0"/>
          <c:extLst>
            <c:ext xmlns:c16="http://schemas.microsoft.com/office/drawing/2014/chart" uri="{C3380CC4-5D6E-409C-BE32-E72D297353CC}">
              <c16:uniqueId val="{00000004-AC1E-4410-B719-66281604211E}"/>
            </c:ext>
          </c:extLst>
        </c:ser>
        <c:ser>
          <c:idx val="4"/>
          <c:order val="5"/>
          <c:tx>
            <c:strRef>
              <c:f>'ESG Inputs'!$B$39</c:f>
              <c:strCache>
                <c:ptCount val="1"/>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Inputs'!$G$39:$Q$39</c:f>
              <c:numCache>
                <c:formatCode>General</c:formatCode>
                <c:ptCount val="11"/>
              </c:numCache>
            </c:numRef>
          </c:val>
          <c:smooth val="0"/>
          <c:extLst>
            <c:ext xmlns:c16="http://schemas.microsoft.com/office/drawing/2014/chart" uri="{C3380CC4-5D6E-409C-BE32-E72D297353CC}">
              <c16:uniqueId val="{00000005-AC1E-4410-B719-66281604211E}"/>
            </c:ext>
          </c:extLst>
        </c:ser>
        <c:ser>
          <c:idx val="6"/>
          <c:order val="6"/>
          <c:tx>
            <c:strRef>
              <c:f>'ESG Inputs'!$B$40</c:f>
              <c:strCache>
                <c:ptCount val="1"/>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Inputs'!$G$40:$Q$40</c:f>
              <c:numCache>
                <c:formatCode>General</c:formatCode>
                <c:ptCount val="11"/>
              </c:numCache>
            </c:numRef>
          </c:val>
          <c:smooth val="0"/>
          <c:extLst>
            <c:ext xmlns:c16="http://schemas.microsoft.com/office/drawing/2014/chart" uri="{C3380CC4-5D6E-409C-BE32-E72D297353CC}">
              <c16:uniqueId val="{00000006-AC1E-4410-B719-66281604211E}"/>
            </c:ext>
          </c:extLst>
        </c:ser>
        <c:dLbls>
          <c:showLegendKey val="0"/>
          <c:showVal val="0"/>
          <c:showCatName val="0"/>
          <c:showSerName val="0"/>
          <c:showPercent val="0"/>
          <c:showBubbleSize val="0"/>
        </c:dLbls>
        <c:marker val="1"/>
        <c:smooth val="0"/>
        <c:axId val="1086075584"/>
        <c:axId val="1086077504"/>
      </c:lineChart>
      <c:catAx>
        <c:axId val="1086075584"/>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crossAx val="1086077504"/>
        <c:crosses val="autoZero"/>
        <c:auto val="1"/>
        <c:lblAlgn val="ctr"/>
        <c:lblOffset val="100"/>
        <c:noMultiLvlLbl val="0"/>
      </c:catAx>
      <c:valAx>
        <c:axId val="108607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crossAx val="108607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CN"/>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_xlchart.v5.2</cx:f>
      </cx:numDim>
    </cx:data>
  </cx:chartData>
  <cx:chart>
    <cx:plotArea>
      <cx:plotAreaRegion>
        <cx:plotSurface>
          <cx:spPr>
            <a:ln>
              <a:solidFill>
                <a:schemeClr val="bg1"/>
              </a:solidFill>
            </a:ln>
          </cx:spPr>
        </cx:plotSurface>
        <cx:series layoutId="regionMap" uniqueId="{918A9E4B-5BE1-42F5-A1AB-1A113A9485F5}">
          <cx:dataId val="0"/>
          <cx:layoutPr>
            <cx:geography cultureLanguage="en-US" cultureRegion="QA" attribution="Powered by Bing">
              <cx:geoCache provider="{E9337A44-BEBE-4D9F-B70C-5C5E7DAFC167}">
                <cx:binary>xHpZk9y2kvVfcfh5KGMhthvXE/GBZFV19b5pe2G0ulskQZDgApIgf/2Xbdkeq+WR5sZMxNWDLBcL
BSCXkydP8p+P4R+P9vlh+Ck0th3/8Rh+/bn0vvvHL7+Mj+Vz8zC+aarHwY3us3/z6Jpf3OfP1ePz
L0/Dw1K1xS8E4fiXx/Jh8M/h5//8J/xa8ezO3OODr1x7PT0P683zOFk/fufZ3z766dFNrX9ZXsAv
/fpz8tA+PD38/NNz6yu/3q3d868/f/WVn3/65fUPfbPpTxbO5acnWMvJGyaokhwx9Nsf8vNP1rXF
748jxd9wJDGSjPz5/MveFw8NrP/xeX47zcPT0/A8jj/9/t//WvfV2f/r42p0yZeLJ+7lmMn/++1e
v3xt2P/856sP4KavPvmL7V+b5UePXpv+vq3889NPt/7BP4//dx6g6g1DlImYii8Wpq88oN4gLCmn
Kla//Yn/2PuLB/7Hx/p7R7xa/sofr56+dsv97b/fLfvnoXlo1z+M8r9PCYbfIIWVFBx9Mbj4yiEY
vaESSSSk/OIv/MfWX/zxPzjP33viz4WvfPDn56+tn2b/fusfH7qH9g8D/O9tTwFuWIwZE+SL7dXX
tqfijRKcccL+2POL0X94jL83+e/LXhn8909fm/t49e8396Uvn4c/rv7fmft7EPjfP/uzSqQP/iH7
rbz8BSG///QPaH219HtV6ksROXn69WcFgPZnzXr5hd+X/W06/bHg+WH0v/6M2RsEsKmUpJIwDij5
80/L88sT9ka+hInigiIEAYVgk9YNvoRHsIhjygWiscIEI4ix0U0vj2LxhggmpKCMMvxbmP1xtStn
18K1f9rh9///qZ2aK1e1fvz1Z8CJ7su3Xk4pEEaESxzDJlwwySgcoXt8uAG+AF/G/7GJvOmo36ok
X/NCFHrk7VJoH+fIpFUc2HDOFQuPOLTjyV9M9Dc7y293BqsQiRhjnNMYivpfdxbLWJuoKKtkHJsm
16JE6FPPfS6ygnbrlKqFK38ySV8/j83UOP397TH6Zn9KeMwoVURwhejL87/c3MdjN3bcuEQJ4ZDe
jI1pIvno9m4M6t6v2D7HZG1JGtUbTirfYbf3I4r33z8IoMIrD1BBsOQEwWEgPF7s9JdzzMjZvl8j
kxizsVNE6/J9TKflOJUhqn5waQi113vxGMVExYBglJNXNu+WbtnmaDRJ3eTxfCfzVaaszk107ikB
m8+OhS8I84Xk/I2bvw0wuB5hsSIxwi8U4uvrjWEJfkKmTvxml0p3Y2D1ifWzarSvorAfQoW6C7GN
6NO/bteYc4hwxpWi9MXuf7Hr2HKxkg7XSdTmA7/gweTmSENkBx0VY/0Dy34bzTFCjBIlJQRT/I0X
16qZQj3YpLaWnY7N+GTiyU+7LbSazrjeRes2aGOXtv1BHv2NgQFBIHOxiOGi7FX8dJOncq1pk9SB
s9PZhDorZoxSW5inZsDqpH6Jq+/b9sVpX6MGVUIRzGMJHo3Fq9wJG5q4pX2TdEDZPzHsIFINFMQf
bPNtasRIAHYywWExF8Bi/urClo5Eki7YZGEADzqqy1Hn7bQ9bW3ZDD/wIH4J/q8vBeaDbRiLAXvl
a0AQEa7bnhCXzCY2b8Xc8CJpMJr2GFfTmIWOx3XqbVnW2kw0WvXivZfJKkKU9a5lSDdlu/Q/ONa3
NhCIAEoSjBEUEPwqf2qJCufz1SVT2dP1FOXNmrRe1ct5VZXqX8YiKDgYEBFBRRDx6822FcVlKCxg
YrewU9+jas8KWpZ6jJfuw78aQy/FDcdIAjLElEGF+6tzOSCQgRxxyVJNak/NAjHUdF3RJd/f59vM
FBhQniuMwauIvTKgz3GA2li4ZFja+dyskd1vy8JSu/WT05yp4hFFoblr8mg2P9j7W7wVGMI3lgpK
KxSbVxjk27HwoYM7loJAdZuqbdVk41WRcGJIfT51BErP9+/7bW4KQeKYCEAF+W3S9FgWvM15k5Rk
C1fRZu1bQF6Zfn+Xb1CHo1gCBKgX2CPwz6+9NwmzmQ1urNsBR1cyNvl53sv4WFdTnoRYdrcYkvfy
+5tiaDO/TlHAViEk9JmQqLDri73/guluiOaIzmFKpFWlOs1pIQ+2CZ2ux3KTh8hua7Gfa2mXrHUT
BNRqefFUtU17GNG8qRODRE0P9WTw9gNX/5YbX8EHOJoD8aeSkvhbPkNdrfw6R2uysc7tJUFm3hvO
ilJjMkstWmFOfWjLq7wpVLKarT0ZzVxAGm/1cyVUPycssN5lkk7Vj/L6myQQ6KUVpIS8YByPXxlu
DtUmDW22xGMj3w1+bj5uSmKe8dVW15tpI3Re2QgCE3gi0EC8DYFk60aEboEgvmNiaQ9kErNIVTGT
oxD5smTxMIkiHe0Q1rTbOoDkmhEessFMc68ntcRGgxt5SNeurZ/cAMGUzKSet90apF92S9uQLumi
GAhg3K3jqFER0PnCg3yeG9yGw5hzY3bB9XbZdUTC98hKlMgIqu2xWNVU7YqX3BqQKYzuygCHUJO/
CQOurhDN2x1pqrrUaAn2UWC7JmhZGpvI0JRFEoNNcl1Fc7hy9RZNugxUnpIi7ls9dzMwIr81sv5g
uAkXFaLBZ9+P6Nd+AVQHHq9e+nSsMPz9dUAHW4eymV2bRBd23jVtQm0Wp45PPwCFl2rxde7EMYXf
JwLovqKYyfgVDpowDV4NpdQkrnj5EJFIDRqH1Y0JQdXs9DaMpZ5bXGUbMp1PjadXeTUUOkf5POrR
D/SMh4Jd8Lbo2rTgqrzaxm1n6/KMBhLpmHBe62UxcQI1Lb/Z6mbrUwqJV2Zls/lkaxu7J0tDtMjz
bdgtvvq4kTmKdLPlXTIuFc9ct9isCh16WMb14EJv3qOhLgYt83q5reK5LTQQHqklWHNMyo7Melzx
ZlLe99cvkFjtepfHhzwX3VW/ETmfVVVtkk46PuyNR3nQXpaA/cWU0yPggUjLNh6CzoVot8RW9YKy
fJHieukGdl7bMiF1hPhuKiM0pLmK+m4f1R3fl+UadrFgg9N4wts7WlQnXdzR7QGcjpN45IykfRns
uI8ojWM9QuUZdpFt5juEhdL5No3J2NVCT34113juaKk9nGLNcM8jflCbjI6o2VxqmB2vc7R2N30s
6ltCyuY5Hqex0arsR6GxZSNOis6EfT4Vl5PqerofrBw6jcZRfR46PDhItYi9z+c2rInDmyx0RYNI
PB3ppAcRpitU5f01ZrM94RAnZ22fs2Pk6Y4PSu4GGugpGB9dtGs8JF0cmX0lp5EmEWZ+yIq2j/0B
YfZc5uvHyJQrtJLTot4PEFE3ZcQ67aapr7WrFqftgukHj3p8WJTcdGvzt6xdyNWA8KjnjTxhU7SZ
qaRctNwivCRundedGqxCuogFOV8bbk6bhrGbTuFl0NtUcK9nQ2sNmw2fwyqcTFwE1HQ/ywnXFzbv
HkXJbyszSj0NZFn3c2g2quPNblZLit92S90W+7wgZNeZDl0TExfaIBbSqOioLqrtcVhm4GPMFMk4
V5vuajrdCNv5zNaq3+eq2eoU2je3j52RCYdA9Cmg1siSegILmiji2RhF/ggKn2+yNq/zPKmqQdzh
wtyVJPfFEZoWe1IPiJZp01bjnqiOmWzzq303Br+BJWtmATGKAspIFNskWDddNVuE9jYsKJ1wvJ0X
Ew9HaLM5JHf1YaZlq50ZbnNqvfZ20f1EdyXa3g6GvTXQOWqwKtND1J6sIQ/ZAnVcLwBcmpRLl/Ko
qXe2nzDLtlmxJ2LU1ieN89imI23DZefGOddbWaw61LRKCrZsWWVDr7c6DNkcF/H1HHB0SYYSWkvf
JTkpaDKz8r5lDJ8IVdx2ve+vp7WvnsqZNyets2fGj3eqYkXKGwJhyh66sD3UYrBGj209fwS286Ri
KG4hmj8NoY/fm3UTEM9xfBI2Uifz3NwEVVxGq2tPUR9H70y+XbIglqQuqg94exra6l4W6qlccEg2
uR5XVJwDSBVaTHMm/LjvN9ynivdtFsb4Q1GoObGMXOJorBLPup1pt3sqfEgaFE4LHs7bIrdQTd19
EWG6Z2v9eVpZ2knyQbHuEyqre8UWpjl3PGmmXiZjER6QEpPRdbc+Ar+7CXS7k6hGu2gE/YPgqNas
69rEtU2vzVicdRBjtsz1POCbPi9kUkLhPXMN1QPuvCZz4MngTJGWHF/aeAUPbXNISlOcAf20OrcO
ZJ6Ok3Rxa3TR+HjRU7NYjWNJYQfEjoGXKCVyobppXKzLNkr6grqLFiujRZ8v2tNOQC9ED1FbR7ql
5q5Y+B6ozgYEgfVZgDyZKou07YpbQiGHZOsu6xUlyi8NMOHqWZZlfALsjcl06Ek8aoPZUw3Eo9Om
icKTt8y/Zx63xxzy7Cx2W5fEbb3DXQVHD5E6RN18WY84SuaIhNs4GnyCm/YerfPpJoYhG9RLk1FU
U0JYr0O3nQCbON/GudaqB7luw11qFxVnljSnMx7ft3V+HAeb76vQtjqKp8zHIBaB1KcSxgJNi6Eq
s26W44UV9l7AaKxJYozAMY2467ctSttxujce7yJWXFvgXxpUiqAtW65rIx8Lvs4JYGxxFvXMZ11U
Po6kqNKZACK2rVi1GIomaaORpYrUxbnpukdSDse+rOVReep0sO1nGU2lhr2rz9Aelklsc5TJ1ZVP
Pt/a08GyZidjZW9j5u39lvfgFFIqYDfRlqGu7QCgcZnWRb3barQH1rzvFrJqiIln0qgNog5EjWlc
q/OqaeXJ0K03JY4PeJlvm7Y781N3047BvA+hv66KiiVRKdaEdPIRr7bIXGnpyTYPBPSs1WS8ymuN
+yHLbRh06auLDdD5ZujnG8RcqdUS9pyvSezCOe37EuI9vnc1NBdSFVr2xZWpy2MfsbMtzNek7AHo
pvmCxPVFLbq7fJuBcYJqcaiX+bPbvNOuW8/KAgNutO3ZTCaml6J0Oo7QZz6qbgWnEHpa0dYBVV1O
azdy7RpCEmKXMzkW+75xrQaWIU7yMVzTFqJ/h8GQ2r44vPEfRDGPqQjxPgLA6XXUlvUFKpZGU8Q1
UW17r3zzCJ1NqeNhXCJdEzelAwh/EItbPOlCrBf9uB79oLaMTuoDADhLumr7mM9VNWpcQBGn3ABP
iYozXBF0HgfbaWJZ4uQ2XS8NBCVIF41ea7vqssqdbud81sPmo7R0a560udnNqsp6VO9LWSY0XuE7
vrqpiYJKzhaUDF3zsERKJPXWPqEq8hrUALWTk9cybkvdxOWgx5letsCjk2XJ73jbn3FrQJQh3OlG
dQ/Fgk/nQoXLOq+nAytinBo69mm0Ru/mjlfntllFMnX5hXNNnmEQGGxTnyB7l4vikC9rus5dFvf4
tELluShNhuQA1bhtp2TJI6T7unepz2k22/6pmstHLqqT4sW2Jd/uGBpavW6xOFnYUCdjM8CKBmS4
gVic1mUndb/xfVdW+2ixZscGciUxRBm67Vmc70I/7jmN3ubQtS1mSjCJr4Bp7JDaZh3XXQqKxhOx
83Gs3OmGov2ASKmjqVZ6ZNGuqNfdLOQVqMr3qMmfTBvvmGcZKEdZPFWZc+J2Yc3lNjKrt6b+IIYt
7ely72QF0A0VdnQ4i+c43nky1Dsq7RXop3YXptllpKFL0lPLQQOrcmCc4A7FcOpaM14YswBh56Nu
S8B3mi8HFSAKqpbuSzavuliG274fsyGKup0EPU2z+YXwRO4t8pJrEdCZjdANKcRF3IDcxEN0ip03
mUW1P/KVWgipuNTOFqdRXLV7xzYwkI/aRkdcfaxA7cnyeh1eSgFLg1qv1tWcbrI9q3mYL+bWPYqV
RYlYjDlzEhg5sOl3sumvhFzay2nj5YGRCrJGQuluNj2QqDrQNY/uK+hK7gqpPvGpA7lInMyov5E8
umN5lPgRBMLA48+VkDO0oRRaNyE+ImUGXfGu0YvosZ7odl5J0iYEigBQ7PkDyOsPk5dC54PoMt7K
O75goktMdq612z5swRxlQ+/qQt6WZSRA1uivYX5zLYrgLhBhQ7K57WO8RMfBdyQp+VSmloqbYGfg
DWOeZ03RXUV1ZZMxDxYUUnECJG2/GjbuVBgYDD2YTUE0v6zyWSSj4/0Oxi3Xrjef6mHieo3KS9dZ
4Fs+2KDl2H+Osb1uRgzgDzqSRrx7OyLSJP3aPTm6XONOxSedXOl9hH2jyeJZYvNiTSY8huO8bJde
MJ9GpJh3rDBNrfu1EVqW/YNppjNiu/MKCtix36I8pdD1pFCvKqRBC6zPIe6201DNH3xredI2K+Ac
0JENIPRMqMrlaYN5e8hL9xj5Ohy9Vz4RZXXZ+/yyHavjMk+T7hqj9p3zUHVWEWVRvNQJHrpFY1mS
xNXYaES2ITOU56kZaqyVad7223gQMgCcAbJo1ItsbaL2zDKzadA90m1q710TPW+sl1eoGMtzJPv1
6ERPdk0Fbg4OR5nlS3FO536H6vykXMgeBkPRh7mFjbmN9qoRkEFyyfetja6MbHdyXN8Ws3/rVDUm
y1qcCDHsAc1S5FWlx0DPnB+v3USsJl1/Rrc8U2z1Sb22DIoXkJy6KW8mJe6cCXHCtuGqR+z92qpL
NdHD1CB8MkgwUyRlSO20ZKYY7+MtusdVj0576a4XWdz02N0001rpeqs+oLnf0xbybmPx2WxdSNxI
jgNTx20Lmey784AGaEugg4FSvSt9AIxyYhdPw34JIQMd48RuHkNhGdsLyRzBCZftekYGNmf9rE6q
Jr/GcVskswg1KCb5ieqaHW2Wt41tZFpYnAUMTW2oJXTK+LPvwkvudliXSPBMWNEpbTEM1vSQEwQ9
q5uphB6V1C7tzbLwXbQMw5TUbFH30DD6W4Xy0iY9iuomjUJXAqoYk3dWU4y2C2aBQN/waoAyvXpl
xwOr5/K8H6P6OhSu/zy6GcAvGkagjD2t6AWxgwM1q/JxdMwDaD5J4Rh5AiWHvY3mJhwiVC4XnvLC
73EQ4W2Xm+6yqyTKE4SryO4qNpGrvItyKNZ4zvmJo9ZmnpFappBSsk/RuExZN+E7N5cTPpuYF3e8
8+UVAVU5nYr1ciP5nZLrNQaF/1MIIU57+QB41yVm/USH7XIRA9VVT8yRF6uFWl8aY3fwUof/EMBA
EGEj1Sp3HDrecr5mpJl2AvSsaIRmwZTneVTchRjrrYVzh2Bvcmie7TZdkUJdgxDcJuuwTEmj2GUo
LUgfqzPnJER1nhT5mH9ipakvS9Nlzog6MQ4l+WZkuvbxp36QImtIvpxYGBIDtrslhkUbS1AEsZuw
AarMsBTHjZoia3lwl64dTudpflfDewt67NF0NwjyoZXdWyEqEOFsC1J4V4pPJrAIeo4caxhTbaeV
8sD0RfmurFkP6uOA5kMDWKLtyN7aVdrbpivekwYSFmLDMV3DneLI0VRYTzWwvn7TuWu9BOEAQ+NZ
9CVNy3lY0qZoD2KcTyLa31QTvfSbq9IykPwUxuufXG3cvqjWcFt2UTOfTWFqH6AvKz717SCvbFf3
u1BJe1N0BJTdKiTV6iMGs4TlBgTKdC3ksVz4dhVmeFssGop17yYOeGYwdFKmNGeoLdgtJPjDOISr
Ctj8ZasG47RUrs5MG6J7aIRBcc1hsHO7+mE7gbI46AEK613XQI9nt81cCTGtR7Gpdxtqo6PE4qqg
5l0Mfjh1ceuyUqjtbcQbCAQgbWM2jhLdWwcd/VTWZbaUvrlXGwgIvGrYLS4KuALH5aZhknkSfK/S
wPhy1W2qfJTw1tEjm9n8drKMauvjtz28fHdaVo29NEUEPJwFc25lPgOVgCm6rgzSpg9Bq5WcymGe
ktAxpuUyZqjEMMQfw6MR4zm4BSZoy/AAk22bDqy7Xnq3PHQlqE+QMbsmqB60trg8hfFImw1915zM
rZ9OpLPNoZrz7uA6Nt/TsOYmGRR/T7AnWQ8kOgEqhXexajC8SkCmrFZNnQmlsgqkIR33KznQlstk
Diufkwnm3mjdbvlclYkjtD5uaJx3kIC1rpiatWBAZAY5vl/W5bOh7W6VNM8scMXEToRkVUlpat06
mv0699zdFgNqorQhfDj33QaKFaUzuo9ZDnWBdFWnC2U+gEiygqDCUUhgQI9PSRXQXkkC+lm0Tknp
p6uVApO2jNuTuc7b1DOkrO6HMO9m1I2HtWMiDc2CB4B3G524lZuLoeHdsSriaNGuXN3OcVokqyyK
W4Fqdt6a6SxqSJNyyuwH66vyQzsaFjQelxVGbgI9kLIedgqE42epEIYhAQ2znopqeFDKlPGZGfM4
gzm6LbUZRvzYvSjN0C/1JnX5BEQFcqeIk0BKAwG5MiX1ClwQ6GJYO0533TbNICBJ4Z0FSIsjce1Q
1bZKTzEE5GEdBlAqIlCtIb8XNiWFN+phQ/PKoTnZSgWMWxZdfsRlNbiTOfdlCyo1aLtH7HEVP3u/
zJC9fhpyzZutHT4a+M3lPVUD1AJce1p8UqStwhnaPK9OlmYaiwzBWOHt2PjfphIc0G4aIb20IbJD
CRQJmEWuwPo9cG2E932fU3YCtYI7aIF4Ud2iJuafiqbgVz00/MVB/DZOGPp6NCdAT9cYCEU7HiZU
dfLazkDyjrGaBd3lfqyXg/ONf+e4haBqaw4fhDlQ4/UaYMoPQoiIzLEkYR2Scp0oLZORhDgcl2G1
zQXt43Bl18kMOzoheijnmatkYGUO/RXojqBnD82KPjV9g5KmQdI9exKN8eU687jJDGtiBqMyhoq0
L5Yo7Ibgpv4AsnwzJ6HkKMpgeNkoDZUrAqVn7lR9pFXuZWZAVU2HiKTQbu/xFl2vcQBFVvafGiH2
lCx7tXQ3YamX986A/KzwY7QYEArHy6HudvMwctCFO4AbhfvDDBLz9QZyayrHEp+Ctz+UwGrLeXqW
Hm1ZLZbtw2irNJagRq6jdECCQLuDjgv0hmxdoPPxYeHpakBweWniy13sOgGt5sehXIYiQTyCsVEx
4h108XmjZ7rVSTE8VUoe5mj5iAvPLxyfka5V2BVz0V/CkvgWJPP6jqqJvUW4M4eJhU/Sx1C6y00c
emDbGbRQ5aRtT8TRwVm1qYUEF4NMmY0DbUGvq2el7D5G3vHrxVopUqNmQIMw8HU/xrMsddutAVKE
9w09mwRqPxXxUvRJbao5Pvbj0lDQGl7GrTu8ELMczFhBQx+zepBpW3roC5yg0J5A3zhNoO5YtXdO
rvFZ1ZvVZX0nmUrKoavajC49F6dtFY1Wu5a0zQ4CRo47Os8BnYpmjNhlPs2CH4irIpHFEbxikLcb
q8/xXCB+unSIuhNwb7Ud8EzIlubBw7mF6OG1MXhnBKaw8DZHsexc70l9DYw5FHferpae1QEBFPA5
gr9XQCGpEXLKp7QbUQEEJj8bYpX7XWjVWO5KFncI0EUWUruhdvSswdtKb2u6DPhUeTbaA6rsthxk
w+qu119gYpZmaj7OnPfVVTxS05zXPYx1UrRMY2c07Ypx04o3KDpXvCPVAX45BwFjKO0p9pKBmjn0
l0U8QIdFRL0emWugJMb1eAkx/P8pObPlNo6lWz9R/dFV1dXDzblAAyBIipRESrKsmw7Tknuex+qn
P1+L2r9N+oR0tsJhBkAQXUNWVubKtXIbz/2sR3HSEBWWT1NYhyfdr212CEU6XCpBGliWwBvvCqft
L/DIlr3m86kbBxkc4nYIj/1C9TIh7rzfkjq7phb3V+hvv3GlkmQRgN92vbZvcd7jbeZ6t/UclJcq
Db0r6Ao782MBy9FmvKpUs53SLW2iQfRuJLuQ2Kh2l+t0EOmh34vvdqWuFRlv0l+nIBdnaubx57hW
g9xhtfRzNWTpch4WSElk+X2fX4CgiS3nfrRv6r5NCeoybMEMurstfQ0QlJZeeF+tdr2oLBhIusLc
kIbU8SluCpsfsWUi92qohw97WeU8hVzSa1+EmLkO6j87UdjT1Js3SVwUT2si7XshQ/V+HrIlu1qC
oo98sSXXm+M8TqqG82Oc7Aw9wwPIKf0MzGuII9uFw1kkk7rJcBHdzUpCdqWm8luZiPxYhHH3qHpF
VgMg5zITuy2kf/2XkE17TCmffCmyejk6ZTgcx9qto9I3pTw4jWBNbdYSzVrgra133Ms26OymlvH6
zidTfedjd1Go9G9uvaksolKrnkpQBApn/qiOVDjsx4JC66e00M37Qvqf9QKws8gqOFXrHL+P46ld
T0Vg31V97OAZmjLyVd3eBX3vA9aPwdsinJYYKI99cmxZUJ0civm6D8fyKvCK8GlBxHHVzkvzRi71
cK9jZzr4IJRk30YdvHT3dl36STqxvvXb6akvVHmC6nftZ/H6xq6dd+TGGO/D0dc30ItaKkx9+4ef
FVl8lJ2yp6Kvd4w013NzppqoT6Xp4uyISsN9mkSaTJEI606ehqLCworFs390fpEvhzwWirQ/z96F
FO4+p64dPy9lwDWhnfeCb7rTcvPeTprKEAFGvd04VI7Do6Vkdr8QipwHUc9fXdMN7+stHd6JfrrJ
pQ9uJL3FvwAogFqZXgMUydy4aVQ0m/497bbgMNqgO+nG1veDmziX3ocHcAggV26RnPLiqsqd8uRB
1ElwPFv6JY294CzSxokPI3VtSrBti18NJohc7QpOnKoRzpm63VIwQxl6CpikUku0tMYB3V8SyVEJ
gqPSgf+onZp0AEblFQXJkKJeGqurtFTk7L4onShZ6u28uU53l4i5f/Jtru/zYv42OXXYkStt1+Q0
SeQ38ZgddSWc67pq1uvOIxA1RWhuZQaWFW+OuXK7JROHcYvd96vyl9/boVXhMZ47e6dCxzzUyULk
0bfladvq4B4AJzgUTXyZzXYhf8vOgzMVh9ZZH+CEiA/Wq8f3PVUxwtesOWP/0CNCJz93ZaZ/G6TZ
M7fY6OvEYImHdW38hziDARA0eXkd9nN4afMpvky5D0KXhcc8cJobjux1Uafb77DpQLUTsEcn9/r3
wo2HY0rYT0Y75MXjpBf5eTEquTdFNnM3qxQcx1Nv1Rp+KrwdX5VVlV9NRmZHp4FbAB0vjUICfHK7
QV2KbNNXcVpM77Z2Kgkzyhj7T8NveomHr1VRfyvzeon6bpr+mHPl33eN2w2HdoKB6g8Tz6GmR7F7
jRxK4lGwqJTAJi9vrD+cg1LOB4rbZ7cTlzWu52vjJRtoqblRauki7WdtFDb290Hl+QkiyceqKv40
IzSTRlQHaVv3YGrnTWPCziVcgC8YK0FM1HlFDjGoGs+i2uMbIcpjbes2AldZ3xRk48NhW9MHoPD6
dnXKh5nIeQ6qzDs2A+mEmChHami3N83qYKzGkjInlbDp7dB32Tmc5+QWnsfIRuATwyXkAq7AsMp5
e9ycpTkWONHTjBFH5TJApXLCUzK5H3wnf6rgi51NIJMjBcETsZf8OMriAtSe31Sh/dIOcjgFrM03
0XAfZXrJ3MjT9uMWtIs8tNkCZbAaNlsdsjVIb8RWhb/FVVwBWPo24y9kjq+cqyE/BjGJwbRwkx06
U4vbUpBWN/MiPqxDO96oabG3CdfzoU+n4hKCpgHCr8PboQsAlPyyjygTp7dB4ddRClHzPihbMHRg
Z+sGzhWYIkkIaVdUBxrmXzg7Ud5V7YfMEdCVcKqnuqzMueEWPLubyk9WVP6xBXu5S6QHFuxUQIKZ
HCI5+OHtWPfcgiYxD07s2zebnbqPJiaJrUAqPwtPXFsrbho7Oeo4503zBhQ7csb+SzaZ6t00mfDW
y6vsRkkjL10vho9x4MrbvnOCN03SdV8Bj53bTHTJrZT1fIh1NsFXzp23MLxEfMKfUXWgTEbRJ6kj
M+bVpbWQCMNgjxmbLeOA6uJkyzo8KyXMSN3CjO8mrxb3QUbZIiHx/9CKNngXwzg9lRIsTCXbukWz
LZsHR7V/BHqo3wwl1+F5sHNz8dvGO2WuzaNxteNTOFLlLyFVH0jucM+VuvVWUq87C8z9kCwpleGt
SjoZzUC9N2IGatxDRipAzXyKO1kcY8dfr8BM5I2/lOKQxsyg7iFg5QvI5rkoh+HGW9ewPfTWBjdN
MWZ7kbv5YvE064VTHT72TVEmUd5W6zH1h8FSyRTNxa4SH5CV48lCV7tUvh1PcBM4bZnp+9/inhAT
7CMI++PszMVwALlzbtdeuDcJmIqK9NT5H91EOX+lgQ0vY09MNtvUdT62xhveL64rUKRN6q6v/f5m
G7ff8i6o7lZSrPc6N/1NFXvNg6hslR7apNLXnt9NPTC62qpooTh21PVMZu+s9g5ovzwZEkPnMAPj
N9elV+PlvTmR4NdJP7tHMSZ95HmjM0WNaes/ra7T6RSqLf6YdmPxly7ikJqK4C4IAioN4+hgNkM4
55h81jjhoW2y/INqrXEPsOJUcMyazhADy+F2HIbiCodGzFaaDQ4YeeMC5deX52HcfPCEDSKnB8Jc
2Kl5J1KyhQ/VgvfzLMy4KBY6eNsB6OUQaGQvP7lwKgieci+5Ceo6jsjIPX1RNUCD01bZeFjThpKH
u86mOaRzK20k3Sn55oz5TF3Uh6bVpsWN0rV80sPS3Yzhhn8weqWKobc3bUgNMCnn+q5ZRPyb2ran
dK0DKvLUvguDH1uy7E1R+Ou9Xp3i7LdiaSkN7lmy23x1g+V6dNr40IX5XeNPv2cYOWjimqkoa9IZ
YpIJTt3qFiQ2bVtVEayr+q2BMZWcIKHh9Yi2LzIW3SFTGcjSpPMuSlTcXMmk6rKDZ6uGOXnCh4IU
uIfZ8/8ExsvOfVdfDcYsp3Sqh7syn/uoLwuH8hUSBSjZ3sGRsFvy3oTn1PbVtSJpiPQa/Bn6CSQH
yJRXVSfH33Ihk+uwiZPhWI5dfwGO6jhAECFIdsXBdmvyjvWGRwQf77ZY8xXu6dLM5w0hzrlILeDx
xiaJdGyPG1UMcRs6W/Vhbsg9j161BJJf1nebK7d3QdhqUHmbiO0Gv0qN1qd6TAQF6EV91KUYdKgw
vuC0ZmN+PSQ1MTq/c04DTpoCctU5IGZQVEhIksvsad0fjbPMpwRiyRn4T0xRvbgPC2XGMxIK6kO+
CwlrNV9mbYzg8t+tTxn/QoY1ft7qbLlI3ZYEDkG9HOpBtJ/1ZCioto3rf+6NgCvo97a6G2OT3y7O
yjgI+mJqXuTLyeTMRzE771htnPPQ5Oxh3WzXGQDsL0mX/6JcwtLxHAetVkDuG7yifzcIuty5b37Q
6begt2u0VJ6XHwDmIfW4hAj4rD3rHP342i7B+AfFep9C8Dj0CGRCsuDLEsclFrvWEFzxhuu7kIok
0Vi+1sVhG/Wkjm05puJbNVqKM8XUVMszf/iH0A6q1d+ysT8hRPRZkv6Qgf/vy//zoan477t2+e83
dxX536/u/iM//+mnrr41u2xueP2hfTT/+11/q6R3td3/Sqb3F//S/f1H/vbf/PL/T/YHj/4ffN79
+1/o/l4pj/+WC37/u2f5n/A85KDoD5Ds7SIE14F7/az/kz7CdklIDrCK6MQLYAf/0P/58n8I3nzt
aRXIXUj6Q/wng/+hmGpkiCjQl6Gv/P9V8r/YRZT9P17/U/ynX/Lp9ydK5eDp9S6BQ12y05P/wacv
Zd7XcinMt0DG4xSeFOxVUUZOC63xkzFTW/wBlYpqdd3ZwbrHUa0GfoFoYucpqXsXMlij1sK/wVAh
SxehqDvYnFWJhzNVi0amKVbYbqYY87U5slZlrqPE54h/81eipIcyXf3yjyAwbfynBuny7hMv6+CI
VTIbGIrbmr56m0pnXKAcl7A6YD7CoajeSN92DDmhTmRv4UbU+V9imBv+5h9b+v9YpJdKByRViBTd
ENJQ6LF9KGNerpEvq2xKvTT4Fi8wLbrLWLmleyndeeh90IFkzBYKQ22Z/VU6eOH4/PPHv5Il8Xwf
CRSSAnQF7BSDefn8LdfB4Dle9jWXhS4gGzYIQ2FKhUp0OajtkvTjsU9H6oPQ1MTW1u8WV9tBcbNu
3qJvRm8HEA5N0+le3gMtd/zuF4N8ZUg+2hrUZxCawsDVLov1cpBBp4bRDl7zVJdGYBU56wHoMltn
tOZWxwZLGpKpL4iTifLLnWzUS3MJRC6g4HUp+7fbkk35K1gG5XzrrkULw+oXA91VRX+rNFwGGqKq
VfDA1a7X8F5Z/KqXug3rTT8NcJYEOPg4tOUET3wko42WznYMTvjVzO8aC/fLHoNis+JxARy4HiAf
w2asts2xt1Xa1WN8qEPHI6ScwATKB68KE+IipcOVRVYit3AWnS0s+VbQlaX7lTxsF278cz6OhjiO
5FB7Eg0vDuHlwq9pJuAEavHVEzDK1DHZ/MTvzmXgjnoPqUfP+1IYJx7/K9Uhij8eG8IGVsZB86hf
P7edbOM3RH9fE8tp9w5Up8oBvCdW8POXPJuyt3VM9xKSpbRBlfKLq/X1NkKzdJEtB+iPTKDwXi+n
nRAzC2dN9VcB16CjFr04nvkDFybGa3Igv7zPhGzknS46Oz0Www74HIY0K1mUn1vUfoe/2AAULagg
zXcpt0IB+nIkFJOc3BZ1/GccbrXprxqKlrE9ibgaQntlg35lV37+yH9PPkADRYUwcKCnoMB6+cjU
T+Myt07/1fUW/OvZSm9DYWoo9A/uKQti1/vST6w6uJLn+96XBhpsH55m0oF2+YUhvFSw7AdKIxZE
uwwIt5+tVycfpDLonW5bn9YegYhzAFpyGIWzLprobe31LB5bVXS7NY5Ls/8AYJ1+MYpXyjDs0eyq
2++OmliL5hcv1yQJt9yE7SieKBD6FVjNmO4OsVqblML8hCZlc6OsGpAEH1bwW9bGQDGcIBZ4Obi6
kH39GFZp1dfHzjS9eqjmrB6efr5zcles/tNaFBLE0CMmRAqNtNC8sltGVndzPbdffNOYHJLn3tSm
o/gPUN5HcvMFrj22z2e4nFx+N3036lbGAb9aIddBEpsWsptfmdV3EdjLwaFfZiGlBLGkM8GrrSzW
YqjgbrVf2p5VBEsdisC9UzJFd6oHOPkdTJS53D5V6WotmpW0X7o0wu0s3kPSbbG49JWbIycQ0+CB
Nnh7gLCC81CSKsA/cKbNoEMcvp19Mz+0fV5sqBOpfRaQQ8r90srwlbjTpg5T3tTEqtunoFpXPK02
ueXHsDnJGBxbyhLD2fOn3dMWa5IRYHTfHw8UIiyakWbN+YqG4IGRZ6LeY4OxNVXxx0qbg64FJIPY
8+hqiMJv+r6I+0NZVj1sOpHEoCKJy+UKe6WO3U9gBZIrwQ8S4oy5qxtClJ/bxmtHojyUzr6P8Nj1
PaPlK9PQsa0TGbbll01WA6qrVTk+3IqlyZvyGlBi4VT9/Imvj66i/IGumNtDEmb864lD7wwp1cXl
d70hZjHRMrm7+avBL7hCvLkz3pc41xtGuKhpHFBEEAZgpz8fxh7OvjgUepd3+waJt3IQde4NMv4Z
hW56njqaPFWfKreuoPOMzWTEt6ZLO2KHtBhqeepjv8nezZAAiA/a1DTJKQlGBWIR+CBIM6WzhBpV
HHiPq0b1ZA/DIr35YQyEk0Wd2dbmFiOCJpw7LuD1wY098LUbJ3WwQ+hb3HHXcV6M+z0906jhreLW
gR2uC0RP8y/kmPKVBw80DopLj1kzW01O8HLGhRfvSvHB/zhPtUMQCzKlCGLnbbdbl6vevaRyWTHb
tQjhwR+S8XtkK7x2N2k95YuKH+PV201addlW9ZesVXoPaCBKOhLsfm6H7GqDNsepi5dqj6mlDSpO
py/hY/7CetUrzxZwD0NUUXg1dlDCB3o5pU7XqNTyWn0MxlRztkaU3AxgFJQNObrfz7FyHMvYYqi3
HHF85e5S+rYjLBSpJIyXq9nfamBQFH+UYe67l2xBP9TBUl0a7z7uVj4F+Wafok0qbzgXAgbduYV1
pIfIEt0x3V/Y56sMgKmFkv4kkqPi0PjHfTW1caWMV06N/aiTefdUY99hWgjGsubP0QkKBed8bLrt
E3W8PZqtRCPZkNWrysSetsqTY3IOtZiWj8RKPcuxwBTB+vS84U0ox4eYmLugIMO7TbjNS6baBbc2
ciPxwGyMHV6RY0mWokpclgLEIBUj+NSUcyTSUOW8el6f3RUWf/x8EV6d0YDgntvVVyYg7XT+FXDJ
ZXM963Xiw1z5cGrPz0GWSoN1LiIyyxQw+udPVPux/8d1tD/S1YSXDkmwg/js1XXk5Kg4vXb1PwyT
xEJGO44YFJE66+PmrdsYuKeiAd6hF4Vlwcs5rkkwcHqs0tKv5fjO94YA5UM8ugHOgAM5P/S0luMG
qAQHH5ESF9WPbUs6SnQUisug5qxwivbtSIp13wiRUwFQUWhhbzw4DVQWOiMUlJ4oUY17nvrzubuh
/tfk90sAJyGlS87yOr4mdhpEAkT8AY2pB/wzToVGLrc4cX7vqc3t7alLew9BQ6gUHK1DT9Wnu3HK
SVMNaslNxC3yIeHexVXq66hbmpVGB8iwwJMm1ztSL2nKr25ebv1D1XgVTQQ3WS5v3Vk663YM8hqZ
WtSR7Q3TmX4JwXzfd2m80jKhcir5Rjv0FjnWdR/KKN/R//jQrEG35UjE5p5qGlSCmcMwb/1iy8Mq
DF01zvQUmdxHrxytCy9nldOC3ihcUhmTbcXJeD2mPnlU5NOyYNtIazHF9notbDwdOggcHiIWP9FH
gyps+7B4jco+TW6ZwFV3Rwr+liypsQdIvVAtwkxBLU9MCWqp9HjsGmfZbuOwdqgLLTJV50QMQeqc
2qKp3I/WzEkhPoYNkOGHdVz1eCeGsRYP3Bj+9NX0ntd/3Pw5gYPcNo1Mh/fhupXFVQz0uZ63xg1Q
6YUQSlS60xGpUD3JChL511RR+FiPmIrtvlGVXlDbFFTdZH4Z47qD7EXQbErvKq5E4d2H0hdFcTXD
TxnK9Fsa1HpklVepg96923QzY9LA7UObvteeM4K21rXbtv71FMZZWr6pzVp0yYnuAtDi3iwmTrLs
HLvVMpkH+B+6u/ZyN02CM7biIZZt583hWi+HIFvCQyJcrxvh2fdbbq+XBD4J1Iys4raJCmBoHOzc
Us76DHbrmeEa4wCLjxZN2CLvYTfkfMlodbB6b0vl+/yAH76/KbIMjR2EMHLLXTwxuN3TNsFcmW8o
DbeJushVCN+nO4IpJv9qrXNZUe53aauwHBwjMqaTaMOl8scaW3rjRblJQ5O8tXQ2av130A/ypYQg
rYVqr4vJhsH81su1yUIg/3DPjP1+NGnxyU/iWGy3rlsOrJSwHS77Dq/dpeZWaCQhJUKrLpPlO5Q1
eRCflhxHgJ4tA6unIKPVPiT6PZSOOjlJajPo4G2R75ys0RGm/qwSVfO8Ki/D8OMEO66j7ARPajyq
YMq4QagSpPuXMH5ClkPXhXtMD3uX2UdtKmvtnfOUumR4QK9b8KMZ0lE81hXNNwgT5jEJ/ChcoJY5
p60m3rhC4F/xufZ5quloNpavy33+cZcMMU8rU0lGhsp/3x4JDUiZ32S57utcu2hm0IZM8JjVruYM
Uvdb15HQdOc+Q0PhRxQHrN9FWZCaSbCD7tRNn8a8nrKa9RLp1lylE5WD9S6AT85QMna63R49LIsn
aH7VPcVi3Q3M68W+88YK3iuRXvDePEs+yhUbwCdTlxnRCHP8MZ++17p7AnBLec/AA/ceC1RboY7c
JQSGOLR+KlmLH9YTb0PIV/oUTPhdPNrvizFhNX30I8YNzWb2V3qA4aadrBePP5ZaPH/8P4v8/Dky
RVXc+aqtGICkgjI/FUiMsv4qq7Vl0h0tV3hWsouMHCghXtKEB/O8UShvR0wNnGzqk2vkszY2B1mk
cFzfhtXUsEqzqko+ouBFMirS3HgOD4Vj96A3qcyu1Cv9xOmewucVbFpOEH7teU6pysjRorapvUVe
7BTsWJrzvLXP5uHFRcn6eG7GX5yMX+6TXz2bYqeJ7PfHpG7q8aZtOsdPP24io4vVDTPV+/I+G9I2
UfQm/lZ6/xaZ9TDcyM18jXUNY7oP/XlBKTNtvGhKTWXmJBxTF/n1Rilnba8Susrw1/T+aTjTYZ7s
MMGwsL/Z7KvuSXpJjfkMhoiVyfczwe7bASx7/0IF1bWH74gkjBWpnf04VJvZx19PXpIuH6cyKZPs
XCcB30vjJJnQ9WWwvhxv9bOt0AEA/tPVjyUPqccxnDXTBV/CDdDw8LzNCu75WaIZhE0/9PkuMOvE
WGeRMyQxDzd52pAyjWULwlYC74FvsE3pdO03dDJRx4n7lfcon3p5cC4IFld7o8OhXJvL6EIuqKIy
dGkIcYiHBPAKsf3E59OxG/hB0GjK+6qb+L+tFqAcamcSXKUDyy/v5wIlJErFPufpMk2a+ROtf1ay
gNhuu+0jaPYAiVfdKTxMAMlxCk5lxRVbnVb43OFwTXOSflt/d+iPhr+h91NTFJcfcHJOt6s+p+8F
uo32T+sOrtZwfaBDOVf6+5npmgAK5mGIlyLePuk0aJbxI4pGNBGX8XnqCO8Hlkgj2i+YUZEsgzl5
mwN9Kxp7d18+uba71YAu7yb+jOIFMKRZATnBlIDslGWKHz0Gzue7DEBOHGB/gm6GroINAD0ks151
p1vZ8wnPyj2Hnc00YFfPIMsmTdnH56nu0CRdJ0ih+Y7tGaeKSctBjRCBFqB2sSxIfauK3KmOxhJg
wtxWhbefJwgx0OSipAhGXCUKNcudN1g8TX4m19sXb8r0DhWoKSjA4vOyTvhzONvM8veF8CwWNzCT
+j67DxHO7JLKievuzi9i7Y3vXUBnG59WmvLZ9OzBNSuHI9AFvdgOPiCQ98VNtCQl5zIM2fxNuBuz
8lDjsaCViXdz61UvMb7nlczHBjxUZ06m55tlM1Xsvy+2aRGPPcE0qMLWdqH3BX+LfVEu31iB3HX2
OcRtLXD+pJc7SlVmxKtE1mHVLO0XL7RpJ5/ctfTKe/i2rY3PrmqGUfy1wO9Z4xM3mi7NYShBYQUt
m6Tff6J+sBTjByfp8iSJYmN1uj4sPrFN9zWcs7lTvw9xADRx1RfTXIWRUNtQfNrcSbnNYeJ2QJkw
StkQU/q+CSc5YeXQTFQ086bw0W4sVKbo1vE8k+e97FoI1CYyRkPvOcXf3U1Zzrv/C22yexOi//3w
ZkO1f6L+jiHHudrfMxLBEz4xsfsHY6rNfILMfUfYMzqKcJQTosX4fhutbE85B3U/lSEswubyw2SJ
KfFEoaHYAxD9HZXd3alIoh6Cv6Z/i+qd4N2U+gmtURanBsN17RaH6nrp6v2UU4Lf4cCBOhE/XMKy
8bpDtiIeXQcU/J4qwz7yIqPS+OXHg0wfcqV1mIp4fM7Y6izffBrY1e3kvi+eHVbxDDR2tNjGGgQM
o32Mvde7LhS7im46h7TzJvE4ZaZlziPSaUwpo08S65G6kGce/bnchzV9P3CiKbhHDrGZ9kPeqr3M
CF9y3W3Sj+nIkR1MOtRVdUrzktN4fl4Qqja70ysC+n/h3unmkN+mSpd+8Avg61VCv3dipd5KhR/n
5sl/FYHSkSZeVJfUY9o0HqP2k2TlNCxQU+474e4nqJwBXqBCw6Fn7L/I7l7mdvvjvR2+d0KamvD8
V4ltP62NWAYfqOrZNeZgwIyCPICT9PNHvQKaOE0OHbt5FpAV//f2tP4fBV4I1V0QE0r+x0acYoWO
0LWx6771QyoneGQv3Td1ynJ2uHF7ly374Rx/PpaXEIKBBgEqRCu+gH63Gjt/VSmJZ1qMjhy9RzoP
4sYyI/d4HKWar08bQrxfrvO/H0iDZoADyFwKcDF8hSsWae/IsnLiB7gTXBRJwY1/7dsCN/fjZP98
gq9abO0zBLt1jA+JSknKEa8euJa0CqrH0nv44TFgNe6gvYUaCfVmdYdgPuctEpv306Jhy1dTvftz
3eMaxLC53Ee/GNFLS2dEpFIBjcXoSmJcILpXQKMNHbH4Fulj+XyoFuI6zvg6FTF+PQvmjC1I3cly
MkPN5UBoIdJ9IHmruwlOINy1+Gwq3dDfcsW12AhX3/Fxzkcs7zOrySej5bn40z672Z9P4vU2snGu
o2muaoBkJeLDlzbMvYuUhNY+9+lQ7J5p+x4ItYOpp/dWBJP75r9/nnHYyP2fRwfZl8/zV6IRRE/T
/Y9rb03SDkl6g2dFzjxkyX8FrRkHyJ/ObMyPlqOO+y93AE15Z3pm+f3ztUSQvO+GX6C4ONVDt18Y
P5/g7l/+BtbAZ9HwYag7KYXiIa9fTnCx25r1mykufi36wkR+Vfn6i9dzYP47V7c/iq0L9qZzNKSk
1PjK1VWxqixNuZLLcygyG9AR7EihdfpVIfYHFeMfEwMr5FH0+lXfy8PB6+K+41CXQWc8XPWbclDB
KrPuNfHJcdXU/DVsNWVVtPIJ2Gp4qOKNbPEwmmSU1S23NRSchPYDLcjPG+WCPTjvqtgkCZxSYgPT
3MdrVtAwDwY3Jaffh66rSIP6XLl1d6rKaVMjrG/HG6pj0CNbKemKJxvtvQuf63mFRzKi38Z1Jbv1
rkjSOYQyM81eJsFEcqgaFxINP6uOpchbtuJHgOLvTS/TQ/EcVhChB1wW3nc39pxqFIuD617QJuC6
SQ33MGCZlSCgbRQ07ftaTXyAEMub/Hs9QEUlfHyObVqoDJx2pw0k1OFiGFFZQarrwzo7eq1f5hOc
yGfIo+PaRAnwHMh8j6CorC2s79YF+yXudzPIErlF4alTG9B/87GCfkik4FCtoLVkuVYD+RR4fpmX
HzVhb6jvIZKGbnude47YwYBhRroU2ec8LFws0qMj3P4K2BUExqfKcMjTMWjiSExNsjjVodOwh9S7
sAtbuKdJR1PS7oOx4bw1H6g37BUtYkDaoN8340AR4UPWgjYnR0hIlJPPad/JnTEsCTr/sqSeQ3Bj
vHVRX6SB7BzQDWWJ2/c1QthCIdgehEMmjONYoRGPKcwXWo1a9va4rHStgOe6K9TniNCMLozoR228
vCnCYUR3BnlkQUwkwqCnLpqlzoD+pxyXJ8+pCovswCXgrg+VX1f95xrkBUI0TTr3ktsPX9TBXkm8
N+gAfBKOGjmWmoiiv8dZAN97nGhRwfPj2TTK79Fg7ZcoKaCNw8to4VE7u1C8H5LGZxiqKNRhKcQc
fsCJN8FjW4d0P6houGYOaYJiytjM5Eeb0RaD/ov6QiPM7bpCk3wByWge/N5TEZLV9N7PRpQunTv3
H2KM+uImptlJoCp9ypGjfE6crKEzjEQUHZSavgsgndGianOL4PYLnT+8Q7203htvydqj76bQkjto
+uec7kqnvMmmt+gyRudEVD6eaENIT5pi8Ko/03Z6pHNye9u7Irmt5mE8mQEIGjoEnNNmCo9puATv
/TaFIp+12dds6OJjmbbJwbp1fTRx2N0Em6rONqbvHopM4/LVga3pEFr754WvvA7Ix552kewVLKX4
axcW5VWxynI72DA35zR3msfWBZunpYGDwETo5v9Sd2bLcSNpln4ilMGxOi4HQESQwS0oihSpGxi1
YQccm2N5+v5QmTOtVFdldlrf9FhdpFlJYjAiAMe/nPOd9HleNvleGbBAAnuqP87Syg+mNZpnxwyy
PGwNw751GNMd+3Fovg+FnzwyPEQnnY128E2w6qGfEUp80FaR5Ue1NsZB4Fj+MGiHgQNHQTysy3S2
h34FDod4N0r8IMnka66tYL1GgTCBFXMKcWgnNdLm5HW24rJx5Xc5uj6sjcRAsh4gR4gdMRaPi7ZL
+qS6vXGHUXRRIrMW0sSgbhffMW8GT+xXaOLuO9RUz+eFcvYOqq6+ZvptnPPSznDycvp9EzNa/nDb
dsAStlnjbVaQ1jrDWCIrF9v7MBSthaJAIR/ctoErN6vgfaDb6Sc4PnO5nL0pBQeB+za/X4XPQUxL
FenZruwz5o5KnaH99UdLTdaNW9VLyKT3xZ3Xr+aUJPeO4PbRwzTGjBbNHM9tDb7WXVv74Phjc68y
p39bFdb6wmS9nQ7hVKKBKCM/TyFVGpPtvLOZbkPbqsAdMSgILbMeHxfRlI9Dto5lVI5j+txla/eK
CRSsabdMS5QAsylCTFAVG1fJzI0bb8k2xNJyvgTWAOakgVgBb0dtWDvM+qVpc/yrSovHgCXCtbJ6
GU29mZzhLDnvg/SW24J5v94lzjBTxmQMk8no6Ein9NaD4ZQDWymD996gqIkBwFCvuMXQXbzZK48c
9J4XBTmm5VG02QVVHdqOOeufrbZRJz0t4lQo7b33dvKMx7V43rp6k6dOOStYhzr9vvKBnLLRx15M
Gbg+ASpzk7B3Oja2ZQonDPP5tReU6tRRhwqAZkPwHEAp/2Ivyv5Y9En7RW96+45FLIm131p3DsKC
k8mTIu6WbnyivjRCF0D3LQiX8vNmts3JrkSCModx8n0GmJxnGfBZHpS5ZB7klt6Vz2ImUkNTnEp3
6p/R9tj8/tCJhdnYx8Kzhzfmct0laDI0+2sVPNV1v91gOwNK6HPk0gbX+X2DO/vcT858aYak/4ij
z/lql5rDwepWfe+sNTcPM60HYY8TThF/vs7nBfxeO8nmBGnbwc/mobBk7BFcb0af3CZJ1j+Cns2e
JaOTN9yJIxipDMKZ0ft3mzBGFIdejiM3cW/ZcAs7wmpfxXJbG5vrvW+OW2q0l5IR/AXalOogslfm
sZ+L7k2NE0TSxN222z5wphtkhSXTgbr9mNobprYsrZeD7ZfySrDzi7TanAepU0BgU298MxILwdYt
bpAtB0NdL9S6sT8x0pa3pWtrfwSL0JcAQqtAJbezodILU5bq3nDW5qUa+3f+TcqgNxcvQ00FU8AC
v1+CAhGgq0R+DlplfZ6g5sxRlc3mHVKf6Tm3NNCizKpsJwoy4d84SdvLY2DWTXCuM6li9rjOFmr2
3bEMNpBUmK0BcdQgnO9bg33/zWp0Pp+1Z85jf9sFmkWPwNAyXzdOVz/YUCUe/SbAj+ctfQYSJVD9
hyLNdX1g5YsvDg406Bejb1x0eUkijJOvh2H7sMqmn7LTXnqYcdAtbdWCDFXtnJbnkp4c/qHAGj9E
bj0lGh7wVGDMmET6cfY3zB6tWXm3uzFbYPOlRLwZacTHF2yTKP45R3o1uh6FU9ogK7rSo+efXWsx
m+LjBt0MfDGOXDOYsLqlnXktwfysp65amx6AzeBOT4GR4l6arbQKYJIYSVqRaeEEy1Nuo5rB6uhU
j+0qjO0002gWkQnyyrydA/wBkYWxzL+DmbnNMXLWDVjclp8La8wjT/jleTTWZSgeqhWEGxRcXTfm
UsfMaepyV2kpC1rdCPhSArD1Cq+yGLDvjDqwg0MXTWK16oMjpiq7Ba5XeCFISIxk0MoAaNv1yuIH
nml51eSO2x5SFoV3Zc6YNC6WfLmyU0fI2JNm5jMSK3pxjcVGsY6cXOiX1sz22xut8d5wg8WP6iIB
DOo7pc0ojpndi1BG/w0ObRHbvVotoAeJsMm+yKzJiijhMqPFXbNL0WZAa96H1XBan8Jskis+KU7S
kb/Qmka+5F85hDrpHTIFVtHFubYEh7KG7Q/h01pa170ThvagecqmTq7weznvqdafN1C3z2mmPqc7
nBfrzVw/zWg7DolM+pPJw8PkkPB61l/+dlOtVnXf4+c76qwPItUpKL4+omoVYhmun3qganHfe2s4
ydzhfNVgI0cMu0e/rVjjpUtyx4ZRmpFYhrmLNx42zgVWgv3kIyDq41wz69mtryB60MPN30SrykfV
NYM8DFDdb4e2aZ+mbhjTw7SkOrlmapz6oQF357puiy62mq46lgA5nprSFIdgzNqbMnGNO6tcnBtL
sbRs04HldUBbFFtWot+byZ9O22IBQDNx0dexGWi8vgrX2D36wXm8Vj1u9mDAiRN1ZVqAvhkgYASC
wIUIYlszXQ8eb+6wMuR+2pI+/5aw9+5OBfs1MJm9OYfbWvb3POV5+OdeWcV5QX3Br5B84KmTHydc
ONHUqOylyFPxmcnbckS0AwfDDGo8YH5xMQoTp2jtZa9mUz9XBUqwlMbt6FtJ8dbOFqRQ127bN9tM
+vNk2ZCykn6B3pwzHD0nyuJNpyYT7nzREc2u/VDQlgDUE/nXMrP9z2WSitdS2POtZnMbu6prr21G
xi8M361yP9MWIJ6F2d15SWJTt3I47heh89Up92Z4henLU3uxhi+tlkYOqg5sOTBZWpbrxsXKFw19
vozsmraWYSEYRQEtnnMk9Iy8cO8qNVhfsiwbSyAJ/A6EzeDVikp+bsT4i2sigx50XUMs8OMxQ8hJ
EA6P73MNi++TomvDQads2/zMgxeYdmDIWV/B8fPiURXGVd651vOuG4B+qkHw5auhHlxIUF8mLRWP
BzrPYzslqKHaxLVvWd31N2pFVBL2KSXN7TJM6ktpjQuRT4wZdZjravk6jiv3CjclfdqkmGJ+02yt
NMw/rQ9Noe0zQ+oUyVS+QNjZZaPfHSSkybH2s/HGWenfQoNyZITJ1hnuwehqFPrmpt2XcaiqN18B
PC4HG7ecaXTm/TT74ontmgxQBVHDhd44Z9Vppqg6c/o182HpsqyglAsoPVFxGO29DRbaiKDFoyta
a9NVh17tHHoUKVxEkZPVWeGUGnSMxyqlhqNWUqT1oCSoI0jW6nIg1K7dJNsriJqmfLBaMQ8xXUWC
AZWLd+cZ92JKq/VkmKCvnAegHQmufdHl9nuFbNRoIm1IMoyOLMwgqdyVWeu1ASg27kwVTlg4ByBY
PHDdNc7YX8kKoAFP+TVu9JrU5Q1sAss2o2GiAVOXSjMdssMFU0YAHnVSXf6apqXTpvHMrcIaBTeO
3fShXrrWG48ptVpzPWWTUf8YumHR7iFD/1Q3B7dj1/aUmBa7l5NCKDU2cb/C1y0uxaRKvgdAbUMO
1nqa2AFoNOG8/e81pFmTz3EomjUOCG5wX122TNnTb8NaQ+0Lh7EK9tGoBX5D3RDGt6/u0QvsexDu
w83/lhJUtngndNUb91snhiB/m9ScgUAB47huBp1tUgAHsnuO4/FlyhgoyNuRgnK5N4vAXJ1oSgeY
9KeN7RbfFo+8oi2+2HJqdB271TitzQ2EJcvYwCyjshgiRC/ERjzZo6sILPAQquZwNKapWyFg2vlI
jUPvkHZHpYA+W8j0cNujQrqzEHNRuquAE3Pd8ZEjwKt89Ot1VUxhNZPUPEJSNVWzA0x/cfLqoGYU
N3CYIR/K243SD+KiUXnAfXFhB2oC1d2BrfbXzXZO7P3qFyWn6tlAXQMAvMV8FoKeXbYDapP6m9mU
VFl4VbK+PLTeEGQxbObGX8INv+kjhqFp/acn5hzkqb64qGOvmAPnt1AybGyY3nRXiHWtD8quEWvp
gEWwMqqnIlhm/7qjhPNDGwgMVuMGjv6pH01UjAtYAKis2K2/qc2EAJ30e+KHx3OUhA17Wz8MuTEv
FAhGdaACpUMExui6p95zxjpOarl8MbYElhjIyrkTH2SZl25M6m3ztQeZDpa40LQGzYbXPDT7QmQH
yol+uJoyOJHfUmPZJy5U1ABgtzJLj/i0dGJgOBUScY7VBU2UmE7bHpzVHK7E0Ppvla4cXP8+iHqy
g4C9uHSo/jrc1wTVTrFlutP4ivQB2UTYK1R2EZqOTlMgCQtdEcOt+5TOuw5BOECzXli4LeFsl/7B
L73qTAYZiESE11ih0NapGukGEWxDLBtYETBDxuyEy4gvxl9SI8QI3F11quoKPNWB82VDsMC1kQSP
k2G2vM9NHT2hlsvKlx3DUZLBoUBb8d1AvMTwsFBwxjmGh880l3P26Bd1v1ddgFSuqGC8c0+ORf6F
I9JeT7Z2ig/tbCe42o30W9rDsYDmty3I1ZKJycgGCRHMgzk/y8WdLnNfZbwFbGxsh/265TT1cb8v
pRt8EIwPCY0p2vlaMLTI4xltzKfZJmgqcsvBuWqIgUKe2LtPEOxbwMeN+eoBmYMmhQ4x66sNhf5A
cBIunPUeT6WVx9Y0aKxFVYNAPsh1oK9Tj3QLpOIbctA0mWHlzgG0urmnG44UNHXryIaIPatpYyyM
U23v3n8DvwM0YOUjL7TTAd542qzDnT2p6Ta1hIYS6KbKPyKEUB/nxR9RHY8N7xI1gP/ZIU0lDWsK
8IfO2CveQcKdCKmpgb54+PKRo5RdnoGzkAXKK8YlF0gYFmQPTynvQA5Osca2WZO40i38m9RFTods
pFaxttWPeYByZ0Edj+bRXd98Tgt9s0CgAFXfaflhcPtx4uVct6MhyJkCAYW6s6sECGNWlT4yoQQE
Ry+S4MYwMusLWT8lsCQ1XNDqFcBRpfWOh21q2DP4wRrl7lAAYJqdfI0nLOSQRHs5JocpA4HJ+dvb
1U0hrNU9jt7svhhJppZ7JlcleQNOW68Q/mvxlgcoHkDoiP6+RWFiHvzZXWkKAgtXQ5eYbn2oRZF9
LN2lnyOem1R11OdxZved3D8372G2Z8bQttUm4Dxq+7VDZYHnfKrebJIQXvuxhR6QN8weUVQilEo1
l3zVv6XGDEqsHBYjIm9P3PUTZryBuctnjN/GdV9wU8d9XvoP4zS259Elwo6OvLxlLoDBPDHlCxPj
3OcySL0vytrsw+KYwwfdr9Z1ObSjFRVaznu1ZtZIZxpGPP4wyKuBaA0v3gKotmGdB8upcS1dfcAt
m8c9w62451J3oHe7ENrsQNw0IPrRBs7ilaiU5RUoBdyUYTIx8LnloZZV8gNZsRk7rjM+S8r9k3AS
8aVFgf5q8k/c0IAWiNDKeMVzI+8WlvwnpUfuOjm9I1AeL2oy1ySUY2sK7oPtEqRGSUUjnPrE8wBQ
+iQHGyYj4hT+9e3cWf2ngmFHLBcalY7QtA1cg2hfDFk5T0VmO/DumepfK9UIVmEoLUvb/rpOTP/7
Q6mYB/VfeECVtY7ZgeNieqWjbWv1oXeG1nEfxiLrOOUHKXdtUk+ODXNqTvWi7tg1sHBsH5wVKc16
mi28GlZst+YyZtfmlNXFdo2Qex2fk3yZ3a9u47TlVdHKenSixOlNOPdSu87cc3iVqFnYaaGPKAKR
e2aM8E5slI3SXPOoL73eXK6ndWGKGXrWAtzHaWb5GU/+yKHSqbIC1j37bmaS16EBLTMlXb00RdDi
oLFCjkwZj6pqxQvNTYOMnRy0VWeq/W52BtigmIUmQr3DoOa1hD+z5SlMsFilwHkBxIGuZw2SFulm
do/aliMtTG4vXt+/tHJOdBGziJX0fViG8qWA7d4OUxsPsyc9cTCVPQ3dl6nctIDrXqQqX6O53ZEa
4aYyToarBD9zEURMrPd34nipCYMwSxftd58mI90sN8wTWfJnaOF9b7kxxoGG+aYA4ALYezED6evj
ny8df7G+sfzDQB3g2GTJiUwP4cMft46NSc9RLCr4aha4SH7felte6bJ+6u06Re05S93UEVTNHroo
+S4YkWAZmzyFRxAu/nPxz0XXn/9ef9wu82sRau7h4AzYv6IC3z34PyskcnfFmpTm/rcSZiTlZf2b
8KMug4oLEcQwqMQ/f8U/7uT3V8TGzaexO1hZ+f4axMXQUI4mfonv9W+vqH9T1dhu07OaH/zMmRDB
aXMxsHzkBcvK376Kv0Vz+HcQhp8ZDP8j5MP/QpoDy+d/n+H8f6r0e5+zuv9PigN///cIZ/GPYGc4
AAKQcBxwfv1fhIMh/4F8iC8TK67FRW17/NHvDAdywE2JSZr/2Y5J4B8eD3bIe4bzjnHYY5dRZriY
irj+/g7GAQzuHzb6/k4ZwcSHn3S39Ekc0b9cxCli/brMz0BxurT8iLHPce64gih+BQheRml5LBWL
iZr6B8dBccIwW+LR2N+usQvGZ2OEmR6s5lu9zimD7hCoMNUoI1I7rV/bdFzgVgZUBiTcmAX/X/9e
7OikRwZLJhueemJBaH12aZt180bZFpCTyiVMfgWJUG7mPPuI//24gtG1PAGYcusYCq+r42Wbwc7L
jXovVLLpbkYSsEAJikpnx7U1t6cVO5gd20GW3nvlqPJI8JCxwhbJEwoV3HvfUqIyulNbMNe5dorM
ULcCY7YXaRSJJNuBOzZQmSJnJkOAKBTMAEKPd2zTjMqIOP7drnhziOpcsijN+o3dgoVg98VpLfQy
h0r7s3gy4LTK01A6dnrXTfX8kQF5MFw5jEiCS4ca0zxkY7MQyMbWxzzOI8ytq5rNJjtHPZZHq0F7
tevv3SkE+LhRDI3g9OMJoIMTOkxnrjgeG0rXCoIxux420ycBxSyNFYtvHGL2wCLHWEZA30fiArxJ
H0cKi17AD5zoVA9oxM10Ix9nZ2WHxagc81y5+bLTiCHk9Jbov5SlYPLUkXRQHzq2gROIqNHKt6w7
ki0ChD5GkE/vdGa0UYBXA2nZLE+rMv30Uvf82THBIQJUKCiXxgrdTSAV4ODu6nuTDIid7Ntb85H+
fiVWjZUaQCsbgLJxVRNyoUgRqbWMasvwmnAm9UBd1SgTYCZ4ZlceyQrxt0PQFtjK2NIGOt7WoZvP
6eYN9yjkBuNkMvbEHcPPWa5mZu3yURBUtB7Q6QodJ6nGaTFoaWFo7WpXQOtcm2dChbxH1tHFmyKn
k6AsTzLN2qBPMqzx1WUzKrlb69rx1kh6UGYZj4oQYCYtQzCAPqNpZiQRb9AAAoIMyuZllJrUKpMt
8g/K16I5saJcJIEHqWPeIjArge0V0BJjpCiVd+XJlc82S+ogiEn6MB48Y+dwgS/OBUVoETRnV1XZ
68KJbx3GnOyaA4AYOUXU1jnI1mYekqNZL8NX+Mdg+0jyZlGRZrVxEcodGzBUKVMW9PDQURdcD3Te
QnmfBe6CIey8NCBxyyOAmmWRvZaRlAntKsZfvjPiq8BeyhrQSdQiSt7plz6APPwa3vvAa74Sk2f8
KGUxekwxBTlVpk9CUpjV81yB64bqjqJAGumxwyH9IWjrCXGLzOH2tsuSvVV959PSITie8X3leXqw
1RS8GwuOmBhOpN0djZ4Tk9lh259cs0nag0/B/+K2pS+YYg6I7rlbt5vGG8gqQXeR4lgRdP8w4vh8
0xnW/OZoEmi3zjyUjSNSpnXYFrEyW0vByGUiEgfzkRrleybRFp/R3NUaEjLgR/7jcK/NB3rZwftI
3g7IvYRnb/UoEe+N0Ml8lDtxEDCVbw+9rKbkfdazXvYghZEIoDC30yz7tnScEtxYG9jRbFANsXWB
Z8Def5BZzqyOkVJv2ldsbq3yE0Ng2VwFhtU5kEZhPj2Bsu0ZrTGdyG/8bWrLzxkjf5tArkWN3dM+
aqaD0QXQ8LB2NNvZa+5PTm/OC7aHcLgCq63jZWBKM5+pqsqqjX1UaxOetIHz+5A0juGfVeAl6iUp
tOec5Ciy4D4XDbMWbbFaXcOcYnZ9rWeGlo8yYQoXij1zGhQhuEIMeZYY/U9+bo3W1X70EuU0MbMu
CEok/yj9VhvcWiQBAU5hLVKDfA7pP6FcozBTDYgKp/RhxIBMjO0ZiHpoQgJT12PTyHfgsdabni3D
eNIQSwkVwDL4iF97mi/U7OI92wwSOMDClflh0osWB7sUVvYqCOsejoB7Wf/M1owwg7xOInmyyZ2r
ewmNaD5Bo4NxGciplwdctB4TGWDbT6hoxMfKFIxbCrkOMmK1kiHzKXOIdL7syCor8fQQrQWn65YY
DZLsq8KoUzQTxNnQM1izZv7E1J8bslVGTDPE6gXlS30i5mN+1q2bgdgnQignkL0igW2bNTcYzVOe
4BXIliHGyKAJ4YADjC5DuEmHJb1qA4cLqTcVA79EiTdiIRt5VWjDNU4paOuOwFI01KdhTREmLWOJ
uKaaGDWHAB62LZzBkbTHKcFrhTOzImgTIEv1IavYGcSuk/dH05mX9DRXPDoiUi/S9KrJnA4lV9mK
jy72VCcWSMK9OzE4kxMSUirtk21X249aTh1b36QXn7mOSSqTA6LwmKVSlj5MGtNwmPt1UpyDmVCa
WVTrs4HxhRBJPsfyftXSxMPryyBjapdnQEWzDDU5eN68IsymZkOcdkSrn6y8QFnlNkh2ogUDoHRY
UFku7WyRmf1D442OGbGIZ5hTmVo/kfIyjhz/jvgB+boCQ2pUsx0jlB7WQzOpxQG0l/oXMHxMaBXy
l/IIN09/XEncsGOnyZsnXfTeZxwOGFsBITCtGot1IVgUFSESkQUgxyF1mJ/t1Y2XHUpqwA+q6UvG
UlZdc76BfvlC/ksjj5aR2I/YPyb7PKlGtgdBVeUdNC604Ya6aulxgG08yGOLpg7oO1voHP97B57x
MMLmkklYFKD5nrFR9sgdRJt83SAXkkeYD/DVMZOJm9Tf8uZ+1KqbvrZwGH8wMOArZR/qVVDJS4N0
qslzCXbANAaClkJm90927lXeM8o+DXU/erEi7QJRf1qTM5U4a2lclW6e+0epWyq/jU1S+4CbqtbH
oWIiFnpD0x1xZHZDnOQ1nhPm1zjC5wae+ZSvzFLqdpf1IF+cOuLqvPRd1GTfxU3JzvIq7VvDv2ai
Wb4xblnHB1EpX31ANjr2T0ZmDD3o6Lb/EVTD1h2cxgLum8/olc/lDO7yiOqm8WmT+tk7EMGIPHnF
XFUABi/W4D1vFgQRI9689gJICwFfbsAze21s9m8XRL7F9ESMK/TEPJzrXpcreVS1ohTIThnL+3aZ
Tl7L2xi4dyEZ5IK70MyK3EUhsKX2cAuZtviRQinfW3Esc4jDRFHxbO4RghldO96r3mSz3mFIaxFd
EpyNKAjLB3C/lr8yVzwSz4y+LEYxirXmVT94DkP2FMUQlQ/Wb2Pzsk/4jMtHqiukP/ifJxEmaSLN
a5sry2MPxQIh0p7lvMlSSjx9ZDolUWl6bNOXgOqZtY+S7yrJbJDYLcazSKTk4lJc1QYCBLiUd77W
/QNsyl1bkgj9TtVCunGeZaQMbqvTffbV2n/0O1xcUYIB8BEHs7XErUc+QOiJeh9yFe32xonYEcIb
ZCYwCh9daKINnsS1zed6tPPMf0XwArF8Vg7x4OyFAXBOtln8QMGhFTOsmkxjOM/9ywLIdkQn2S6k
+xETaB0loZs/2G9zMEwdW8AQHplE5+L6Ko033zK/CBfLVCgnlm5RzzD3iVFY2XBYA8FnEevTAKEa
VZHvqT6PKpC7CBTRLWo8hnugY0aMIBxlvUNXG0cj8TMNwNPZVPavK+uDJgLT6u1JU01DLmbWOe8j
KS7fCyCNOz7UnwguIxLRODnGHnZWkSvhhQGNxu8q7r/Vxf/3gIsP6nuDJuv79/HuXf1/QF0UFv3r
v+/Uz+/qvfm5T//n3/+9U3ftfwQg6HzGPL9DFi0LZKIDt08guMUG8v/6c8f9h8s0ShC+zlbb9CVI
k9/7c8v8h0OXbwemhcv27/bn9i8oCyAvNhMzzItklTEpQFnzx/6cnYKeVl02F5T5DOfhJxIVkjgh
PSo78wXsuM9cn4UtC5Vgvi9yGFCn/s1BLksWEHKz9nYy372K1tufvqtlwjVOfTJ4Z5jexyMokvvF
bj4jygqT/DGwkqt59Wd2VCVHEX7QWFHDx6npJlQLPkPXmn2c7xbvTuEZoU9ffAAjyKoK0xSPw9qN
hq3KGaxndlRF4AOq1w00X9wUFsC3FfCv7L1Qpg/gD2/yAgwKWQlHnHPEWtoMPlP1ZKGB5f5wNCbP
wAZAbn2S7frVsWoHiref3RtVVh2Ibas+sQLGuDmI6Qr7+am8FBdPAl4O0tutviWKAwKfeR1sN7pM
P9AByJNPOQHbjthp/EzGYUvT185kYQBmQIb114AgWX8+g/v2revVCaIANSDS3y0IiUX5OpWNOtaQ
VUPy25bDYiPzdemKyGskTHvmVo0Nn1iLOSdkkdVxi3nRs74yUC00qilzF7WS08MGumw5elvSekVl
w60d7R9IkvqHdJtkDBrZeTV64722USnWfkkEKCq2qE634hTY9bdiGKC9pAm9Xo+YcHW29GSBxIic
BDYwjDDjmGztV+SZFLv4yOkpiuE8rF0VY5+Hm+O4M3HSu7KsMfO7eh5oXggDiwPRW1Gih47clb54
YMrvI9DBEYnGO7vNNYgCMZavGB4Z7xjVF12hoqcmZfemkyyydDEdN+Qhr3S6AhirqO/bgcsWjcDn
Ci1BCKe+oCQkJMSmAjhQX36hShSkavlvTZUOfIyyjVy4DmQ4Nkvkj1N2tCr3iS+P/faQpufR0RTW
nbdc4UJ7XN2BDA5VYRnFEh1pNLpPSemnJ+hHz64NGZic3ZadsIW2dGqcWM7zcN7mPLmYYyKPiHGd
G7JP0jd7dv3DyBYw7hohUOi7wRab9ZS/4wsnMlLvF/lUOjd+19B1EMjDutosDmT1tediaPxrEGgg
lfTAoKWTNoOVmvTqmTSdpKgl2wpylTILyVauJr6+eceRkmuBjtfXh7zoUHpDYtE/EtaSd7UHGZ+g
Bt86lDMNrRjQMkn/mIvjUc90DKLcktiyluzB4Is85GWfxdJAqoNKDjUOQKXYCgz/OBg+96tA/1b5
XkOaaL1nHCHFr5JNRiNlWggip3tluASjTWxBNJlkllvg8W/EQPQ65nPmP/kKKxjTAsIjJJ5HPgdo
fN7Gzj3DzVC4Fa+O3uk6s1A57MK4cJmS9DCmrX29BH1DJpaCsYL4Aemx7RBuRLQ48cfPzaJUlGv7
BaTA95Wt2Kk27XdHcpAR7PWpBM1yIn/Tj3I//+HjXY1HTYLf7PKOjGl9YKXJGM4gzgmABXJfn5uZ
+Mk5xn4AfnoLigOQHBHmuSdP6MQkqoW2u6tAC5CLwhLVnRZuSLFgu9aJOGAInGBiV5gt2oZbxZ9Z
g6Yp4S41WllKh2bfzFL4pGsaenVO7rELaaH023PKOw5Lo1+P0uybK4vH+nU9bW/7ajcqHHIdTb1l
sUGoDV9qn8bSRtqIjsW/0lblHbuCxIqfHm+X3wxMP2N69xXEf9qafnt6BMLzLI8HGBPj3eT5k4nT
aEghnO2+ufiBfbNLbl1uBhw7cWDUzwmsm6gVyV8AFX9Zi/BLey4bfwdqceBivP/liYXbmihCb5gu
GrRVZAypvEcC0hJ4Ify/8KjuP+oPb88zUdHi66NZMhmw/7KBwbMd8P379qUvi89dsx7HTZ9TomhY
7MfLaJ/+/NPc90x/9nK/fJpim9KsWKR9YV7x6hTrq5ElsYvZQPHSf/ulgKMIsXvfAPF4v6y87HYs
2SV2AR/i/WDfFcQ0O4+tcfPnr/JfvirP/MOr/PJVJYJZWefzKsX0aWnOSfNoZg9//hL/4isKLJNL
0ISmIOQ/65ufrsAWnWKWZI68LDgTVucM5DFcnEfT+bGMb3/+Uv/i3bAlxC+IBx7yl/+L+xKhom2m
COkvE21/S1JInG3nP3+JX7Yl6Isx54JjhxfK+8Gc+Mf7yUq6HvlDZ1wMETYbQ5C/uF//xc8Pdi0J
MZww37l5/vjzC650LjJdPPY5fhp7/dT4w4c/fwv/9VMSP7/Er5+Su0zks3tT8UjQ6CekRtdBvr4R
gfwX7+TX750TANi48PiQhMt6dP81fvreU5sKZAZdccnUXVU9aLJnF5Ido8G4+3vvhxfirAlwTvug
mb29Afj5hcgFZ2Ap0/ziV2wCqncjfyqdvzjSfrFn+5IXIaTJ3C8syWUsfnk32ulhtkiHeATCJtDr
hat5KYJHjJqNqc+1P0XSLaIiefnz9/br5eCg4aa/4JTjesZT+MvLQnpUS+k5xQXBfPIdls5ffEm/
EML39+U5vAByCcfB/fqryRuHJbMzEFKXpg2OS7C94No7BuKxCIp4kuhAYUhQPQcXQNEE4f2+TmYT
/N+iyP/2+rQ1LCEt0LZwEv/45e2jlnUjt/iypAxQR63bu56RLI9+X0WWmbCXWhsnHJggHWZF1rX2
TPuzNTm7eKl9tUycVS2BIBF5ou5j3dT6ejW977h98kveBnXk76SexjZ9BmdA6YCGr/GQbYImao8d
lDkl7YZ/mYGttA8DamAML4IhhDNsRw+ZB94hd/6Lx9avt+D+qXO1WLYFm53n5E7w++neKBO856rz
80trXmEfDNr/IO28duPG1q37RAQWF/NtMVWQSsGyHG4IS7KZc1gkn/6M6v/i7/Y+2EbjYGP7otHt
klgk1xfmHJOY0cd/fefwEbwuwAlgbLZoUP/+Ecx+B0PZKf3Qk9dRcgT/9q/nsIYQIU3TRhMvfrsx
x7pY8UX26Pfa/eC+OFiw/m8f8NuLFjGIhpScD2AWyPy2m/7wC/DOu91bfz/NTYf3t4CPISWedlfe
Hr6/fQuYvAqRYgx6cEqcsFXT6D6xjflxksV6bNcO2TfV8VdZjJk/cRrEaix0GE2Zl3BbKYcVUlre
06CyNlzCtSDZaF88nJZ59o7M1370Eqw5WcV8BxiP/Cbwn/nzirADClFungZgfHdsygaadCWvIi9W
Zm315qOy7IN0tNwLqBtnQvw8tvJkiYroFS7KdSH99SXDrhRvaiXHiFCVX2u/1vHewHg9Owbxi4O1
0CwXLuGsahY+DsQySDUghOuwQGhhVo2qlpIYd1+7q3O5m0zYRrK65ZLBV3O7bx2+3HjpQBp3sMQx
+64sekRWBzhtSC9cbcyg+L9HArWn5IuRQfkqvI14edy395gwGFEYS/vgrlr/7JSiBTQ4opQq53Hz
HcaJuA/3/rOJfeY+M2v77NjpEM5j47HTw5+Vo418y3lnnF1oDYGtljK2CEH9GBP2gOvooHfrFNwt
hg8kFutMzbEDnfCsGyctNVQ0uNs7vq3iMDbLNydrzcAs5yn0Kmn7FfyheMhnl2zX7FnI7muakYhi
jCvcvK4pfOUWK26/VAumnqTbQELyJZe04kolZncPOqcJJ3vp/dVdkBilhKxPRG3et5W5X/t8aSIE
gix+2cQG6bChv027Lp5zLHJ5geiekcl8bBfytfXOUH7WTCmUSq1lODMJ5743y+rUV5KO3K1YUjuC
DyhWWRz3ZnrVJwwpvVaUEQGT/UFqAspv78LxAmZ00XGd3OmDEneDrQgoIp3pnCNiii0Eq6CZq465
jnDpcj2tIEmmc82fxWzd06RtADIEa2BRts/o0Exumdn86dD6mSEz7fnnWGNDQGB4Wt1BnTcsF3d7
MjIMXbz9uTW8/jLXjfqVzu7bUutgucrBjkaP97CB3jPiQmt4wrYdfBBjcDe1s6PeeGUIb9t4cO1V
5zt1jAcGFfaJGDuWfreBaeFgp7DT3ggai//Mq9NXj41LRGoEpqJpzSIDl90vhIPy0Fm3uOAZOz/A
Ufuy8rid8L9W51JkRNDXW3dq2owvuNjJu5xMKxoLczk13L7PbO7qHCjRaDwNy2L7YnbJf9Ss2kcz
n/i0811Y7dYUeQ4+0qocUUFvJE7rqfwxmDpSWANzHH5lxONig8meEnTMRa5jZmbpTzhHw8FoES5a
LoLXbsI/NXith0VHPLX2jpkcrcyJiMz2ikKzP5FmjrgFBNixJGD7RCO33Q27TqPY6cZJt5uUfxmN
ot5Oe7AP9i1Cala3PC3UAo3h1D6HkLp4PSr3jRzLSE8HXGXg3FTbMQW4ZWSwGiLrdNryMwp8wj2T
7ZwQUFn8qO3PzB2u2gR9IUny9s6myLqDJMvAh9j4KOXbO7jYGYvmxVVW4NVsUdbi1iKrPMQJ/kHJ
9Gky7Enjbdma32W6DoEzLp+VvbUHEr70k8k6McpGt3jY8yw5olvAkwAR7WyVjhbaqshOA9PPY90m
XVxt/XQ/b91O6KDRBkSDumS8ks180KZqeRq6+R0FKiLxZHIfmaMw6sEqFHTG5AQ5avX7TVuLk4Gm
9WBCwT7OleaFqkrbA3F8mY+Tcwkq2yJuFoNhF7oKtBOYBl5c+qSJHxrWjcvurvjTeKvGYO7Y1xok
ZhfZxmPJ0uLU2n2NlKTuIokaJBKMpg4ugNhHXTHPqnOjOjZ2Y9/fdtNRRmDfXnQeAENNIx1b3BZy
Hsx5vfXOc5t8nS3v+1aJb5CFW98mBhzpCCxWa0HO3KzNu1zIddslK141ubwby4pUXJaQx5X0zye9
V8vPXWRlht/UlL6w5+WF/V5x4S3Yn4zEhI+ezvZl3jDlpS2djCI2OsZb8qzPThd2e4WVgvQSS+nL
sUlTB4eWReowtnN/vA0+56zw4myf1xA+Pk46DKTXfSBeVGlczxku+7ccK2qIKKQ+bR4aJZOs1G/6
Ojk4X0p1SORcPCpbc8Mcr7VvkL93QJ4yXze11P7aoRg79Hhg/LQr+kOjdc6L6mxgIG0yHgk05+gj
SVD5FspXv9Lq6au+lZY84PLGQHw7E4Brr+8GbriIkGL7KGaj/IRAiMLWqjaUs3oizujnxXWqHsFt
lgWzUEe9j2AOX8qdcclQ9GbMyPS5F+0eQaFaIj3DBoMO6mdDjPcBTYx3Hoq69Vdax3tzXmbeYT0K
WhvDKLLln51XcGvbpMxaSSOIImtkUBN679+gtI9wSd5aFrEfclFaYIzJ+OA6RftWjDu20Ax/HuFj
a3eF+o3fvbGquDYgSmyZRPmjq+KyuoJLN1M7zG3xPq9mbYRYIAwrAHFePmWuvXHtVJHG5bLl8sDp
DW52mnNioIv0EdgJjrlmFHvUUldcW8qD0GlIbsNhhFfQG5y4IuoM9VD2zhgML8Xay3OhmV/UQEpK
26Zvgl8CINXILHhjFox9EEnhzOZq5FRMjPYTdJHM79Hw+SuQ9d63Ent6apwZ9PRkiasO++PiQsIN
oS1uLtYWsuOFOXf6wUGkfdYg2wXj6miPLZb5Azf++LRW84Bbo++uY8NZ7rol0bCmSCOE8FisjYTA
hXbJvyoq/lN9G4S2WC6AgsrvYpvSi7BbF8mCpoV50uqRTh9yWBYc5P3CGm4Zi1+FmQw/Mkv/qW7/
V9YQcOOwbx0nD12V5nr3Vqp+FGhLuBsc1nWurI7r0Fc/WQ3p1BIuT6wh3tEU/sAQo/3AgCijmZDg
UIMpQ3ZuAqrBajb+U9Tp167U2JIkiwoqz8CuaCIOcSZXEWuRCR+syQg7d9P8sZdtOArcCPgeKTHG
ZXucK/EjbVucIlk6vOkGinWrQW0/60SOmmB9fJE6+WWtmjy0a3YEyl7eoOPxOwvFG4QIOHrnaeaY
1BZ1tavUOsihGcOGfqkINARCsbdgrki3q8EWZhJmOJivQ/rVTb0w112SbnlfHtRirgjxcWQkc/dL
q/efg6ZNDEbHG4rDsIHn1utlWbQmqlG50kmTjLy1ag7GUmCgg+J3cO1h8U1v6kmPVV2M9rQ+LMyb
AzU49bEdm/K+5fVzZSPVIFBlxGhaN75B37V+M/BFMJUXlFSWPsRAZlS8QLbG+o+aCh/4Rq64TE+G
gbrPKsX3Ri+rI8mgpQ88vz8bpTHHGqqOcz/ZeDX0lEsHsu1g5JsbVau1x+aOC23FtRTllf1uFNPs
E+CccxbyNm0TZcW61WefSbkGumFQuJdTOZ/KgQBdwSrpYO+ed5dpznXwqp2wkl17xbxphjOLkFeo
0WzqGjaCPccso+eiKbLzDIGNgf9m86Ot6xmBRe9jKHDhDzAFx8ixMmKB19Ca03uDM/ROQb64zyvz
x83XFeW1jjK0hhpxyKHuHHMUaAdKpDbYO7MD9emU4drMFstre3rb1ia5rtLt75CVKl/ixnlGkkTk
MO9/DtzsRB7bE3edGYjRcx8KdykfK8ygB3ttP6/ZYHHvD3CBCm04NYPxpXMnM0wyyBJD0nxAqZhC
28u5VT1eQsQ06Tf5XzYHgNS3h4pwSN8xUc6LLl9C5vrFdKj7ScHOWpGLgGPBqMKGZGCS1CZAHsts
5TmbiXMwliFQy5A82tWi7pfUSu950W3Hpa+0I4mOA1HMiPWoBtsILszM/VsRkVuCwL0fVX+jFLdU
XVsvef0MdeXc0nrH53E0rPcatlpYw7wOttJZXggRMB7StkdZ26XV57JzctBCqC25Gbv5MA58TTRD
i6/RJp0nonPiceQx7HVzOsM6/Ghkaod9w7q0TWUW4x8jnLhY02iVygqbFWdDQloGAmNSsbddHkH/
VT4hvGbICL+75zmvgprugGUZmc1IB99KJilofbrtmLYI1r1C3Y9Fol7q3SQmFw/idUPVjXUaEJYD
sjgwzEWLsvrm1Sll6stulMRXuxkqjkLun5Ba9g9JAsMYX9LQxPk4ekd2uS2PmDEBbNkztp9dUhyr
TV/e4Fjv97YgXkWWYj72VbM9QpPaXosml+d+X7aAiDlkG+nW34MOsk4D0hBs3ov3tQI1/FnT9IXE
82lVQaZpZSxpsGKW1E6Ye8azlW0YjFd7xdKfWOWzoXfHgTK8Y1pk0ecfaLXam2k0O1sAeV8L0VPK
jU3ydWFrFPG+bGLLGFUAqcXwDZKkfKm07eBBkT9g6k2iDrk4LRcgqQGP1NRmOH4S6rojxA924bmu
fiAltcMZu9/D3rQT2uStOOU6PbHQ0/e09z6xCyW5yiX3GbKKfawM3PVYZ4pnm3vnZCd9Gpsj5xUF
aXE1LXO9ghI2I91Yv9WS7Xrn5VmUzXKLPaj2hLDT8y96lvngmagCoZkdJmj/Z+DXY5DbVKNic4z7
YdJ/2cQZnxSPbGxrO0ixXK+jgddjQEP+lGN+PRG/isitUsPFFmsZLaOORiBb5J3D8tyn282uAMCH
pwbWyhlWkxVu9gwIpLX1oBqr5giOHcEikQ0m99MC7M2e98POIIsw0db71mU5qd5iPLQYcI+1hvSs
1LzvU81zUOnmF5sl/7HfGh0BmTdeJIoeGkzvlZaKbfhC5YQJzQslXk++ll4nl75p/T0xzBA82oI1
arFOBRnoPlA+FNKuwZOfc10ak1l/C5QNXYEuAoQ4LPL3Fy2X1GEWR0KKjvKe/A0GgKPlnZfasj+b
uVpi+PlWnHu79M2+VcdktjtE3aMXo4UtDsmu0QjMmvV5ndCnES6Y+krpHyzoSx+yvHkHov8NGPtw
Qv+1+AZG44cJIAV4IvUTuoV33TqtDwoLBaUq2vWU1kB6soEXe6YVzaU1HO9YywH43EaJBGWcAy8p
6JvYmJyX2TG/qs1wAkKGrW/Sm93TVib1Mxcu5ZKv5Xu/AiKxy/o7cLWV95Nx5Tmx71q4EZHQxBTK
ybIOlWHg829tIxhaelAEutjMG3nzD4xTNLs0bKbGEWQ08+Sj3oD15Yz9AecBCmWU1Cxas4XHhZZ5
nTTWrc4++msyI6Japp+orhkKdbMdjII7Y28ocDOQEMdEzenRQxscwHEszjD3ysjNi8DE70rOzXgC
uiiPPCJ+rswTu3XrwSjL+kVzd9vvpu619IYE4R44JcinSKGwNEU9/gdgziimhNWq0CEK99QV+ldC
KQxcIYkKe2cU2NmAKmwNcXqzJ+avCAa1UBT1yGrWUDEjfky9QjFQhyi1xsy8vIPZNvhOdtrikxKo
x7ZEgySll6geJ6QWi+R1BxSWsyEzoWtUqr4RibkFASdcc+DVh6SVfPLSUOrLVIPjPv8yRms8bMNc
BkPljOGo7zdKcU2IymKWz21B0eT0YxNnautPGtDCeGwV3g8IhUcbp260AEoOYRhO9/wKTdivZnVv
ApW4W5N1+lEU+jcW65PvrlMRWiZAhFTVIipIV/D7zDHjoq/o0ZN0OzKqok3PAVRwH9d30F+6lzYt
2geh679anW5J78vZtxfkQWjyiwcPgt2Rn9PzEdBRlTAnDRfVDlfZsS6yHG98hOBfXpQ5v928a7zf
GJNUMi8faFzgby1uCuV1L6l+uL1OfVm2UaMp71h2I2nyGFAOakJ4lCVcbtI0irMja+erlwr5Y9qN
LeQYnbHg4G8ee8OBH8+TWWSdwxvbwXeKkDH1yXtmdMab+WB2y2dXJ4cdl9ISjMNNYT5u9cnhKj2w
KeBBcAvgOkWvP6HkR1iyj4JiMiGjxC7aUNMFGHvy9KJlcscDSxN+m97s4mKf56NNdnjU5+633pRT
3DD8euy3fA29vDc4tbllV8QqD4WVL3GbAEZL9dtZRTMXOfkA94iWgfbWNg/UOF+XYWiPErkK6kY+
pm627AmmEeAX5Bz3CFLQxBqqP4HHsVFWLFXkTkitZYZEICFcAHn3TQdfuGUwFivOcWN5W7Oy9tM0
t4mfY5uCj6ILuTl5P4LmBADI1KFxu+FDJX32SXOgptjcsQeWwByp+W1kTKOoMJQY0Z4x4VAxbqiA
Yw3qyshBMtfGQY0zODWjknclXlS/cXTaf9yp1HBp01xqSxCNM4OzyUjvTgtAJIxtIL6oHehZqYED
z0ClZtKDPYNI4k4KuZ6dzKhjMlXAEjhtdyfdCW9+ZULOG3vQhKbd3u+VUMHk2KXf26X+SAJNe1Qp
J/yuNT/3tKxPvHLnqG0Yz+0Yys5QVZjgTgkVRTpVMd8oAC04zkFmke/T7Zb21ahw6deORilq2OsZ
YVB7zkdNvvQZb+kddlZkkvEDw3F8Y1ROokAFFSR1biZuAHzpYYeaGrlMw/xZK/UY/3LhT4oY80FW
HWPg4VVU6J22rTfCDQDLQWMTd0oxcT8rZLyjbpIDo3XqUFJLQePoNr92MdPTQE5M9WjcK/rhL/Uu
17vO0F5sh4Hg6CTC71CiclKgyUmFU1NxjMyl9v7drJgaLNrohEr0+qEp9uHxNtH3PQDS+0E62081
LmzQFjl/Wr0Ru8ZcpseynqugN3vtS0KbcCcHhpH5zf5BXS0OBEaa0cBw7rkoH0VzKQtTeyNYsSQ0
ePRCTPFcWr0jf3lGPtfqfLemoW33sGTKSEMmH4/e7JzW2plfrCxB0ZcLaHi5MGMcglNEYb/45dAD
1BdAQFc5EZ7nwvEE19v7y+hwc9hzflFAR4OlJkK+MO3ha14i3Roqffg0941LHProrn5XlfN9a0kt
AE5qYPtp5Ss7F4hBDhXhoWn7lF1CYzEfhZ2Q1Kh2vPZQktTwuGrjl2G5jfzVDuwzaxe+YDXcYe3t
A5Aww0fZectDohc9FJ5MXZxaqtjd89diT6YLArjh0FaN3fE+W+Es0bo4gcPUNmwkNY85p+1n/IIS
cb1wJ24UD9ZWQoi9cpm3TVYrrmjOf2z6bsc99n4mUhX1oRjGAJyse8ETsQeSF19cyGKJFB29z5xV
HEZtKyM6O/Nc47AJ1tZLqXwtnD84y2u0ZXuVruid0+5hmJv021y22hX7JACVdTd8sFX7gQcneTRo
FKMqreUnK9FngjEcJmWMD9IA4nDru+ZqXabcVle0RmM0tOP+ZeTWfZgEqWG0hnAADdV9wcWJtkkf
uheT1R2Mt3fcJzbbCU4d8pSqHy7UzJOeZOoBdBy9dVJiPMebE1hjrn93vVqg1J6/WWWirmzbxHfC
sorXAjm9dliYln1ZKjc9QWw2YqgNL6aeY4g0aBQ6x410bzSu3HSvxoglPtDVXL+IuYM5CqItHud9
RyPe7XVc9eSogbarOpccCwIbtZn7pC5aZtiDYz3QWn7wLpwfEgObXbNOzywLs2PFacBYl9Jhkaym
l5aZmG2QPblZhR1406BxO5UDr1qzeCL24E2ovLqIhsai6JPlYcChwkkL5zMDSOGjjUkO0E3f0FRB
kbPqLJ4NjDKHrtK1u40FQ+AiTg1GbpBHuAm4VkdroW+m39eBfGIMGIy7mpjeH+iTGqYGqfXm2Amu
Aqde1od8sDWQOxloS8NhmFFpCEkhXbHrbiF21Cz2Ix3Y+y/Y6LqfebJ6xvhVfMrJ0Pxsm9ZEEHIN
H7AWS6BDwf8GIjiUtLvVdw1b7FErpuWUid6oD2qFoJIXScbhlM9vk16ZGJZy9VgJl5vRVYZ35j1E
TKYzZF+8vOzOxj5PF8Xx6PfF3gZF5mr3ZLs/YkKbjtLesYey0wppxtAf4AgDc9Y2cBM7aVy6pRtj
MEmT3xmiov4vnbhuBig3qdzWwKvU9hlITyFZjjGQHZysOyG0RuuLay2GUeFC2CPbbQcn+VPblimy
gY5wRNNzydsfgNO0GF8qv6/Bbqwru++JMelHXRYfBJvpT45GTBNzcNeY2QFqAlVmJocXd/Y+te0q
ppg7s4o1De2uWidgLGIU5muv6eZH0cstD6ZUuncJzjwqBuZTbX5z504luL2qNZ62aq/ZW/XO2bUP
m5rvga50seh27Z6fYz/0ELKrWNY9UEfHzWID19Vx3BNFH8Q9gsahwI59wK29xRNfS2zjcP2WFUZx
twF6vUIlqaJGR+WY13YVGOz+rq2e7l1Y2kTVhS7bxaDEj8kuztO+YDwFpWiPpm8xpPJhGw1Rzmo4
WvSG/WAm9sBMpix0tSy7JCjzzqAK0mOWMCWZMavRxWB/auGhwXosuQtZfICNypZjh/ExrM26fKYJ
QxbamwtiFFsdLZ3CmWBwgESm6UT1lKRRWy87K3ceeQKSugD7PDu3rd2P9WIkyHslhX5qVv6Supit
SsOAzZvYwaKMPVoNFyzTR1I/Fdq3hdwZzuyM2ZrRF7TY3vCLPM0d93NqgqIrpGAXfyvRjAbDKN/G
DzAl4oNBtiBujBP80zI0bjjPKZi4tpqirJwUzUINph5K1v2EBe8gNiUDeHjwAkd4Kc7qrL5pT5KS
j0n4OuYf9NcSbEeBKPRWjo1eDY8xZVxhsIfxRcd6SUzbD1jItNb1vlJf8C7PQbwh7CTyaHtTOmCg
YRA2w530E0ec+ZrcpPbMWMsvXHX93etrxmhDjxKhNPJLooqSRSVDJl7i75XtlI8G66SwJpEHQqNe
PW+zZ30tp3p91UZr6oNlhSPppRXQ6GWEOtkt+IInxsQQqb5aYwvMpqFj9ojQCnqqi8veaBA4cq1g
PeOwaKQHgkc9ORTmhGMJX7C0+aFtENCiAh8X7i9RNsFart9hpuOs24t2OnmjvdQUpVCCVuqN62ws
KGypEToJG1DoNgRnOJHgd3bMTc28HOtUpWfE5yYeHEd+JTrJEjj9blFJnqMe5r6zAoPYsoudgivU
KpPayBqxOVoNfm7uOSNYDUkGFy3Li0PHdPOzuZdttlASuHr7xQMLRUO/bVBNTVTiiUiAnrKlnjNV
nGvRSZaKiNN3VrE+aYNONJmGHmqqneJbkFO8abMb2SIRX4YGaJEQiXkuNrP7VOFhfklroC9JMU8s
vNk/5mp6S6Af4tcAb1J2omPoNy+XrBubqNCnGv15np3J9+H7KCT1kcNGuqWqGyzy67qteoHkUnyw
AnTfssQE8Zqsy6+uy9uIll3FQHzLT8WWeEdd9PkbDGsm9QMtDEM2Rd9YT+GedOULoLn5mW0i69JF
Q2p/8Fpdlsi4xcMsmdArsaBXN/Z8e+L0Yw0rxlke5ps7rmMOwI05YA+ZnZqCcHNjC7tr5M2GCLGS
F3OoYyu/MA7cgyVzWMzN5hZZBtFTRbM8gJ265X0ZH9DtwewCQ7wqoyGOba8JhWN6y6qpvYlqNAt8
d804s3NA1k/WGx5EnPCZ2gesKeJnRoV/UBvJSfChnAjc2GEHgpktCjioZR+WWmY0qCuDuElj4INn
riDox3OeMawVH0zj5jmyuj1/ZHGIkJ3HJUb6iFsPjlRQcYtnvqfLDbzEkF0rFneM2XdxqirG4Hpb
eUeu9vhEjrusMZrJx1wYLCE7+2GhwHmyaNHwOa7VEuOSS6JdIgCh3oVaL4hHaMtqCPXhKDXrAqKV
o15tPChZ3W2BbcCa2KupZiDq6MDIBDuJu7yRvLH7rD4bc9J+mA6jciIejAvhp/a3bFkLxPjVSKlx
q9MoTCIG/SzlwHKELIG986RPZjBv7g/TIDSREhZrXDfwOum8jkFgCrgOXWIOHYrpiSEf2D3IbzUN
lgW6ijp9XJmZsMdAFgBLwsQY56rtteum8Sh1kzmDLfIkrjODsfyga9fyhhJgDjqEN6wQWyqcKG1r
cS0SY5tioGXVL1yuyddklPtTUeT2q3dzLWsFnLtS69gsVM6zMgpz9Ckyxz+I0v4XGSg6eV1YPLEm
i4nfhXu9MFNB6kf/mDvyHmL0eV7z0Jrri9VvD6bRfIa5+12gMGi7Jfy3grib6Bim4C2YCGbLb4q7
xesFLCiVPmb+PsSeOv7bv97DBYGdDW0rmzjzN70g1Qz7emtJHoADoLrc7H8pnEY0jcxOYKkEdiNt
6zelfrU2Qs2VTB7EWt2XsDkm7U+YqP8Qy7pkh+ukxkD/JKfmdxzTQJnagy3cHxlnTRD6GvWHr/+3
oHLnJshGRHYL3XH4gxvgn4rBct42K7WH/ir1VGdWpdm3yeSkLtUwYX2x6xHjjbmH6chEfCbQ+z4R
ogy6htZbK8bqJ7jbnfZ3ycR5SWfrRlxoTiQaywMO+vkRDHX3nYqD1YJD0rT+h5//Jh7/u+Dxrx//
xo7iBjJuOVr//PFx6Q/d6tQ99FKal+ZhVHHutJTDr4I3QSt5XrPxDzrL37+U22e6JmZJwOVEXP2F
9vqbyDKpBHoBgtmvCcO+tftkNn+Qf/+/q/7PX+smzmZoYktPOIb1m45TaGmKiVybrqk9DniYHKa8
pU5FiBBkV2/cMtmhMs3ObwoUI4Rh3L4CZHEHyiZmhTt9x9556wtTMvzsLBRuFYB6Bd+CL63DzjQD
lPAJ2uQsYNgT9UnZHOHP0fGYbtWekD9YkZ7L/W7L98W3JipQNrgAX2qdrRhBmRUtfdBIzQMqtL4y
emkCnJ4dBi3YwFMxOMdW2xi11oxstJQFRTM0nxP+WqpMoR/aNLuhgnXUUZSyvMLx/8X27BJkshTy
WM3QjPEhtxHEhPI68Yh/2uZ5uDqK58zptxdszApIhxgvjYEUzD3pXVIBYkwdTImyj7tu1YJVde/U
Qx6a7358dZSGKi4FGj0gMAkKUbon6P9nynw6jyxv1Vkzq588DO5TtrioDOxlv3fcGviD7qmvOVsU
BueL7UTbpnfc7vSwGzC/6gAdoYzwDv3aKqvyMY5ogSKqLxobpl69NY6f2hxv6zotxbVCj/LUdWlJ
Blpd7qdtoDMmfdwIjdWuzx4JjKCxBz1/wQRpheYM/5Ua9l3avX3ab3qsDbfuuU50e4IrC/KCFQ0I
bf6d+6wC2IrACAdcmZN8PpdVddK0rXge245oSEdfQqPt0FDWY/KTgL0MwsuD3puhm8MlSrPLlkvW
RXmNrVKo9nFjGvpT2g1D9JWFYHcobSbXyY4Udhxt54SgaIMNKvuoaiooTbdkSE/zTJ+Sg3mRS5tx
8ez5I2ck/OQVpJePDv5/Q9eKq7631Wk34G/Xk1fHjBmop4BbYTNMhAa0ZKyeirHdQgHyyGd7v6Hg
WazEjIA3d/lBJ4HgMjFjDfQpwbvX26uNvN/dWH7Y+/ui8c/AfetQKgjZNA+O7Mxo3ltq+qzLIdvL
bP6Kopzz39nLeCo3Ul6a6fs4e/lnyIYMpUqkWLhB0ms/iTUoiiG/7x2LlYW2CJgrEzhu+CbA0guY
5W4l2ieCXbbxy+TnUu4xQlecfkOWfXaN7lEb2rucBm6pk/o+32eEi1kVoDNsXxtAzN+HIi0/pf3Y
xzvTrlOn1+o863N29VTn3lH9MIl0dRT/pHzfJOStY1/ybepCMIz9lxbF5OfGoILbxyM5EAM7y6LR
wxwXAostZ30SDkvItEm+Ddv6noxG9wY5IPEL/bYCZazqXjWkLwhcLYNdZaoHPRtuH6NBdWKurc7w
HDbWbTPDipEckhgJvRsP/ZzoBzkGhQyrIbAJHPniLqhexeQin153na304N3omZ5msVr1EiNiFyXv
s2VLz6mtfXSA5mLcpj9TZFDBWCG/4UdIfiH36aJVSxfUd8MMDhgP9ub0v7aF5tnOHIbx6U0tCxD8
WHWdFyyWVGfJEcZXDYpaa3T5QjpYSdG1/rCpPz9IdZbntHRybMGNea9l3nDR7K0JwUX3d0mrlrAb
lXfXjhXjCYgjB2VhkdykBrMecq9fmx2z7Wkv0j/E7P3makTKDyrLFUJ60jIwSf1mDthJBRhSe9If
ZZY5UEGbbH8QSZN/Ss3OeZtce/w8uGgpG5T0+R8O0X96Nzj5Offtv2B5VKjefxyiQktKd1/Rwvco
IgBH8R4t/1Dq3X78/3+g3T7CgPl3M8cQW6pL4zd7SDPzutoAZF9xna8fwx4kYwiv7b8XfH/6kN9O
TQLNWzK/+BBzY8kVsEA3cjKp/3D8/+lTfqtameZUBfgW70ojsqtrIn2JBHH+g43xn0UGFwxUh+Ry
USFzuaT4rS4rDBTP5pLlHBxEZKSr6q/FtqTxv7tinqtLrIWGiWmSUuP38mks9bETot8f2fKmwbxv
ZVyii4nAm6NRlFX5hzvtn9fuVm3i0wP1aN3+tPAz/rNcKydCBretkSx+sxD91SQCkQc8Xv5//73+
efX+83N+K80Vlkoa81uw0r64D/nubiF0uOT7f/+UP/02vzkbMZO1KIf5bW4xdRljrncN+fa8/buL
RnfkGDpmZ/53uxH+Mv38rd7EHEKQnaiSTyyFmWky1tschp9/eEJ/MzfSAxo6z75r2yg4uT6/3day
x9fFkqd/Tjgqc6MLkv8h7bx2I0e2bftFBGgiaF7TG7mUl14IlQy9DfqvP4N97sVuZRVK2Dhvu7G7
lZkkI7hirTnHDA/1sIv5X710fvhJZ/dn/jABBQQzMJYxwc/6/hxY8BmFW7bFrfnKdLZ++Pt9+cNf
52nG10hZpjvi3Cim9VbjTb6e3Wb6nrpV/+/OlXx5bJM6VBUsGFgY/8GP/ut+EPIhgAFI7bbrvUV0
Qvb/w9WZL/V/Nsv5OO6YrBFCkbkb6OjOVgnwzLSDViVvN2PyqIcW2o38Bwvzbx/B62beksGkSl49
3pmvOKQtbwFZqU9OR4Rttya6YElt+Pf7cLY+GGXiBsQvO5+NLZb72SocqsyPdLMvT7rsQTiuq05H
6v2YIXj++wcZ8/Py7YqZs7zFY56k4w+U3vxE/OuWQNEzVTIl1slOlUXtZRxqictMQu9jIJJdz5ov
+rtHpTBbTQNvof4RK8p/1xDg94IIsA0WLC856c4EnX9/i6QUMlPV0N3OyWbbXPtvn7v5zwPq5IGe
HdvnnRpDq0I0LLK7NfXpTZbyGYjL36/jbwsHxheIW8M0aDdwKc+eirjVkT0jhrsdQTtSYQab/9vf
P7tAXQuo0gI3cFtx7GEOhHr37x8wP1HfnoN/liSvGfomYq5rvt8B6LqIU9lZ7tKyWkGiPTI2WeEY
IR412KuE0C2NIcvfP/P8ogkahWyXxKqibGNZzUvtX88e6RiyzeOE0h/Fn7Omov6//f15lf3r7wuz
LMhx4e+nKYGIS2xDf//759dsrjxp/sCbYCug2ji7KZHnKx+mpnEjJx/YcLCVoj3A+J0FMjkhrT4K
/uGHa/a9beMa+NYcusgerHE+ld7N999k9AHU5iLMTkX4hO9r6p89xUTwxlTPfpRjvPjRFT4/uv95
Mn77xPNHGxFvHJKtmoGDqnHsi5i0QFBxY/iR9AoNYMkwCQnZgXCeY1a2p79f4zPc+///eGzhLluh
6Zybi0cratAkBgzpqvrAW/a5ndDYI3jpoihadZ1v01jAQzaSPQLI4F5j7vPDV/jTNed1SKnPm8vD
rf39mkdJbRkNM6aTqVlXg9ZcdimEUlReX24xPVMvLW0vfBuG+rIYYGFCayBKy0GXQjanZu/qeNaN
Gsshc5eGWR/R6P7wuvjjF4QFz2uDulc/x4K1UObyESH/iYyLkz0Rq1h5wJgF0qYcH5FdjKvabt5j
J/mh1j7rgf/v3WF+ZvBKNA2ae2dLWJXKSKA7Z6cEB5UaadznHFPog2fygX3W6l5ddaENP7wuzt5a
v3/s2coeGb2EdclD4ZPOy+uiQu/Wv47BSYbeKhqefdDcqbpGM4P9M/xhW/G+r/vfP/2sytCLqMBl
lmUnjRTyBa7UY+pAYA4JSJN29gsUbsIwP+cIDLAZR0b+zuz1M+3sO5k6S4qLTTU5FyU+Kt5FewE2
cDEYJZaF6r0PyRdqQ/1G0nraGCSqlD2fUU/ZDS+AjAYzQyYvXLI1uZuxa79IS5mBpsFyFnf39BmN
HHeOZpMwjfEbFd1VSOYxANdnPCdHN0H74/Yldkpiw0gOIYVmZVk8MAFbfW8Ou9YvaYNa6UPqB/d2
rt/4SbnEID4sOoSFilAwo8wPbmWsxVjd9ba38UjcpJsGELbP7GRdkl9BHYGjFPcukdIZnSkjXlWF
ua1t87MDdIjdCtdp36zrzFrW9I6gjM9alDlyNLivIgLIYmU+GSo4Ou5nwgyeTuSjLeghGi3ZYBPL
nZBsexn0Bsqn7mIsxP2g9Rc5gazFSHu0w1pdquD2h43ge1n2/2484xbqWAp+3vXfNwL2ARpvtMpO
uu3eMOGFyeUNJaoi7TAE5pb83rXMsBfZ09aKp6Mx+A9h1C8NVAPMwog41E6YTH7aIedX8/cNGvEp
w6B/ql7gGWfbk1UwL45EUZ6S6kPyJuA+CeQlmvFAuIiH2kEb35ru3gItPdY/vAKN39cCSiRmX6By
ySzgf32/JCB24s4eEypVfFzHCVXWxtLMeh01YkIxOuhfNeqkX5PX4Mdw6vKa2MFfaB/Cw2To+lpL
LfvQ9l5zXZORu6DGaA6CxvpG75P24++3z/r9TcZ3FRw74MJwuLHP3tcuFgmkkrI41d4+6j6i4smd
YDZ4MXKAG4GQJG4vA/0VEemiqK4sR/9Vg++TU35RD9c+gBD8LyvLfcsTtHb518AQNAW9PBg4mFNG
fxAdAuti0CM6vsmNF/9XoJD56WNuRoqunO813aCzvRYqdslAaixPk2iO/pjcJFEFbpZ56w8b3B92
daplgyqQKSBMjPNyHGChAUeW40eeIptmEhF+IKxJd43mfAwkE1xHnhguYWaMR0Ti6P2jQfxQ8P7h
uXLZwzjoOpD7qKu/P1e2E2UAuFV5iqrHsZe3eTYhkqkWCL+99J1YnB9e8r+/QvnJvD/p5EimRu7Z
ItL0oNABlpenIPfsd9FPKZIYiHaB04Q7WQzmQ5YQdWQNBtaDBuXB35/NP/5cckEApOkMms4BSfDF
EfJVeXlCeYOZmsngIijy26jJ8DuO+l4EpFp69g+r93sB/s8T5Zpk+FDDsiIs8+xHKwKgGALMF5ks
cV+l8CqH/75C4ML+5zP+WZT/KsIjxy+1qWvKkzC3HkqHZhTLUj4iKMbTNqw6b50b0X5s8x8eoHk1
nO2KtE0tenPgpyW9gO8PUGkRPQHwmitqePedSxpV3z1MSOT+fuOM3z+HMxPcJM4wBg3o80ZgFaFz
Bh1dn5Qhr5WfP2hFh2o5JQ2P2RUSKXhH92Au9o2oNwykqaBrWKGYZD0SrfrE+OFJmjfc77/7+/eZ
n7R/XW9cssQlu25NRXYtFbsTTw7C5wUE7E2f3P/91//+Qpw/zGE+R8MF69jZRR6AAU0R8XGnPIr2
eoHQvG32k5vtEL7/cPD5w0cZcHVofc6NUP28Dw4BPA5GhGaoaOM7WxbeKTFKbxPE5ldARNgPV/EP
d5VPc4gCZTg+02q/X0Wgt60Rd838aRRbpdroTr7OzB82nd9XPQ0JmpO0rHWEEL/pLDyce004qFMp
67XK2jfCeI/kS7ELJHN65gWmkR+Wxe9Lfv5Il6Yoi57m9dmSJxXCSQdyn0/J1Jt7rILakayx/unv
z8UfPwXEH4cmfe6HnD0XlgcrGMeuOlllfso7cWdZ4Q/X7g8HQ0kL3rTQkYDNwrn3/RYh8RYYsyZ1
crMvkmCXVQ86vfoYXI6AJUN80ivz04SJKyac9L//ef/+6LM1ZuGZCVx3vm+q3FVGgxiww8/z9w/5
wyM498N4+0HOMenLfP99eYmzCcG5vAGoXsE9IjgBs3h2nCIozX//qN/XFpUbWDnD4Vm0f7tdWtxh
/rDj6ERg+sSDh9Iakry+GpnRrsoqmX7YNM/2KARqAkmOhXZJN83ft40koGnfFt146gxgqFqeldup
1YHbpmO59hC/cKhQ1g9zwt8+dM7OYqeSFhb9mbn2/Xr6qZliPmodckhUu/ENjwNPOCbHTvbOZuD6
kgSgJT89pfNf/dd2DIhUp1cz96Sh8jBpPl8JFa0TwrW1k4kUe6/XRrJpGmgMbWHgLleBca05Uf/E
gRJcEaXywQ0Uxi0iBJLnyUnwR5rhFC+9tk9PEZSgY5Yq82YKIiqVoQgPBXPyvz8MZ2uXvFmSv3TK
ZINHim9/dp2GOPLqQGb8feg+drjtzLu/f8DZ03b2AVT532+EwA/sdja1TmCXCzNDLUgmOdmLALJ+
ImieraH//SjEWbR+6W9yD75/FK9a5CjE5p6KCU/Be5wusuGnzukff85/PsM5W6edSiCkIAY+4Z4R
4gkSAqIQ37J+2A4gl/7wa85rVIeEahK4reKkG1mBHNpzr9I4a1dDxThF4e7Z9zxuVwle9WPcoQkF
L4VPw0HOIqs6XpWwruhK8V+ArXP3dWUgAc7UrNhNtTTaCasJ8E0CCMBASnzDGOTuF3E+9q7onZeQ
XW8VldNnomnOKUb7torRcslVGzrMBiJLNiA/TG+XZykowDpI6Bln5Ixb2bBgD5lF86GxMAaDWFTZ
N4sapxbmv4cUicIITm+FCbbcIiR+d5s6xMppFMugil6RnXz0aP/X8VA1kJMU+CklMHFNvf2JwIvf
aSbQAJhxbLMEoBxp02R+qjg8TcN4yKds16tGX7pAAzQsAvj5bWW6yyLMKUV7073rEdq1WPSmC5Jw
oMZtRrOmSHU06xJuAHk0Wo0iBh8JrIRINIvIxB9tJra38IwqXzkSdAK7uAenBXxMYg7+zpZxeWMW
6buVBWKNbt95cTCObi0QUNu8CttrLCLId01USEyssLLpTb9SbmauVcRepCcJ2JLIjtea3chbZXXq
qJf4K3FlqwsQNuU+ge2+MKNK7AzDL4j1DdRWEo6ydkxMjV6B1t0l5umQ495aTWmqrWsMoysHMeDK
r7tXEjrsZS5b4wtg97gkmmLajhBgIK7ZJq7lcWhhXAF4GgVJwdM0q8Frwv92QAuTddS10WqqAnIB
xdhXC8RWkiAhsEOelzcPRWOLVZLlxMcRGjhcpH1oXphB9lWRJYM0vHD3HeFYC3TS9qae4HoQ6k7b
kFBPEI9sDH3kDq+QmwH74Fpe665vr8c8snYlKXsrJOP1ZURGySHr62YnvZE5MqNebrJtwLKqfvHE
OJvUHK2XgJTkdWLCH+ragHBxxKKLoBlTor3HD7M/9oC6u3y8rxwfxlNIP60MiaH2/dLfytiPiS+Y
5G5oxw/E3xouV5ebQr7gyoaqQBJbCvusRMa3dQwjXrsqb/bKRlzUlwhoo4suOUTVAuI59o82I+iG
kKktAmjikVQvdn7RQtsCQYE2PrVwS/WC2Juk/ap77bUaJafB2vG3vlObV0pkNARVGbJljs4zlJfR
Xqg0w7tLhDlCtnraqrSew6kVvGPoWasuCrWbvC/cI9OQZtPIeFjkJs6DlnzvYw96ZmOXYOuasAou
lSM+NU9HqO42cmlUuKm6FKc0KVuvgxHTvqYMXubotjcpIccLwoaHvRFlBEuHVnRZJ2G3V77h3/rB
FO1VWQC1H6ri2huxu3oTvEqshSASc0jpmokXXgj4KAmewnWWEk2nDMu9ipoQKj5+mK0byncbliVm
OsRfSeX+gmYI8A77z9JNTNwnmc/RoyhrkocH3od6cNkDpNjnvksrFrsm3ZHwxtW7YRUWbv4YZDax
8vzjxhKtXA2g5DZdTNT8JIuJziVkVCApOKC03twQXIZdpczLVdWSiBV52KYjc/YVDhh7MvInIQzQ
s0JdGlzY/CM5gxCLwraIAKHV5XugYZcFywXwUDgafYu2GpeNdD5Dm8jCQM1gfdcNSUYI0qXVzInf
cTIg3LcBP7okgmtdUKzChvhJiQn6aPuRWKB965Z9ULV3Ab2zTTPbY9tyKg6hixK8y0Ez2MVUYZGf
aPonlb/g3/BvjAnGDhGDL3EbWctkDMA9qEjwlWuOhhaoK8gSDYg3FN9hCPQl9oixgI3vrYsI7doE
/2uTaUlFBzYXvzJ/0JcVzqdlVDmvpMKRNhElH32uPkusOYwd4o9Oak9k80FEHKz33OdNACsFJxbz
5QX3511K2jmO6ZdLo22BqFoxMUItM52sKcM7DpzJwndgwOSNdl8nA1+zIn8qNkLkdZk+IdMErBU0
GesmqzFcurm1tSE9LEhrRLhIGBMApnC4zLsR9RfMAfXAv8hKTKMBA25EznvFjvEQOQrXj6zSRyfL
HmxUik9tq2XHHrPdYZyK4BigBqiwrgJ9amd9pzNDETCUae8icL1VlmM4xBiI4NEL0DUSK7Qx6QSs
SMOzD3ngfAoX3daE0/ZCOR5csF5pC+pj8o+kGvCBc/oL6o7xO+nVW7MXYt3FGUwL1gkhmb59G7dG
v0WMpC5Bk0EHK0V8qDP23rnWvaCITlbJEPb4T+UXmxCx78h52e5IbOnsplogU4s3ZUcQMSCWYRMy
Q+LR7lv6Sni8sHxhvhQW8c8qng5m1/arSSnzroxDu0Oi27YwroFJbiMEyYte9+JH4Sve92Yh8/ci
HrqZbZDjAdf74BQPMyPX7LDZeYy+vMJ98+J8DsQ2QHR4k7jCCpfAHiKDYmFigITTKZIL4PfPjpIv
sm0fRwm+hZT46BbYZIIBgcpQdmAGbXv0FsBw6mNKAPWNjEACeJhwlw3J6Us5JBhWen8g0RESLP6h
yBDWzk9jrv8YyPqQl4KJjCslrq0guDa5YUwgvHDjJDkRLhS+mybFL5TPmJ08Zd1z+vLJow+gRzst
gBKy7xYpySCHwRHDxqyteK8w1F11iWAAGQjwsL74zAheWyuchAe9aZo1kXXuM2FYZFBEWbFLJTMS
tPfWxgWIsGLCbD4rKGcYtZGcYZSZ5D0ZjHiTWxFjegmM7jYDJMTjrueXhNYSxK6lX+XE3hjGqBqV
btfAT7XoeipQGWeyS3bMS6brEg0H/7elggtBoNUyxrd5HOdmKkL8YMXLzr9TTSq2gVRi25AKuk4x
kGMhasvHvKKN1WaVi23IMjYaerhtk2N7XBZaU0NK7rxrrOI8wmPlvbs19gG31owV8DTvBqgt0Yh6
j0Z4IJM+SCmeICiHuFPLRzPXmjcbyyCGqmTMgCFOmcQnObHPm0kLYUD0+smoKv/ebwOYIG01bJPc
8FeBl49rO2DU5uUTG7LvklEitYxYzmYM7nV4I7ci5O2HvBeOgDt0xKV3/przZXkvZkslaG933Wjs
O8CTGBMOVrxBfOtuI2LcVnHV4c/1aHjHrXtn5woylE9NGfZuX5BwVH1auH4gY6Y9mgIc8alhf+qC
mViVU+IqOHnsszxbi7RLil8QU+WG0Za+QCsqNlE8kaE0TvW13sxhlrHHb0XLXGTHODKa+8ob32yl
Kwqf9mMcYJaNg1VfdrWprxLd+BjkfNMGGm52aWJ3611SW4BPgNoYw90wMPphQoVvwGVHL6vQuAqZ
0Cy0nH3UbaJpU9aSkQG+1o0YjeHOH8h700IWY5imDz2K7xVt7i/XjB087kN0ABl73WbGykTfmm3e
Sz281xHXgh/m4I4TY9z2FRE3PbiIhT707RYNcrQb4jFhvmMbm6oOhrWwphR5vJ+uHVANS1sFAGSI
xmuPozQ4U8Rpc4gIn7yVVRbvqsG2loCj+kt40s0bF37cml2CFa0HD08U3D9H6EpxCYb0SDhQjEM5
8e+xguNMx164zTnfwjh0AcZSfRho6cP6aMZG+9QULuxVNCErj/zES1TcwUZOVE1WaTc3EK04IOig
4F9VzGFkk9RjfyphTNTUqV31QgzOxTDIV7RZJR5TN8yxRsmqiayVXzL+mUs4QMe4Y+fnMekACCiL
DJtcduvKbgjJ1TtyBKPGN4y1ySodWfGQiy7tnrdyZ4s55DCu97LB7WnCHAEwxQQ5mmw8xbmw155b
FrtkigjLNLSXVDVY6eqq2LulXT0llcHRhuxdsMW1IPnZQqKaccyhuPZT4PbLtLGSPV2Ecd1lcXhj
lOTuQDaqnbsw8qDt1uKu67FvBCEzMbZ698aO8J34DgDPqq5wNIHydpoXlJZoNZmCuIeSwm9vdVq0
qYA/7OOUgbxGRb1K+XSSV/oPgCFyOYYKGbtKoG8JyKC0u4DTZJQ8up14WFNLax+XzpOHOmyju3UA
4qzGGMuOtshD/yX1iSUWiTAhuZrxishG9kKMoIvSjkNOTa5ccNQLLys18oehZ+X3GRipeOVBh6Oo
dzW+qZFSwgAVYcuU8XgJpYUoIyOW06VrlDdJlb60MHx3vY2JkiRB7JFa6tXADgDkOINer0KgAWv0
mdmGCBteD2BwcTLyaOJ/DR+pAmgpQQ39sMNgeHd0v7sZmeLv+AMDQJsmvAKaiGgwmKQBjdnpSGFO
jeK5ybCYmrlr7Z14cHbmFFrE44LmouLo9mbUOteJX7Pa85mE2JFPAH2ryla1GmHkuL53TUcL0JlU
L4HjfBJA7S1MDiCHgQyyJ890tS1x28WbN/oQGZhvrRBmlcuwAVOhZWGDd9HXGIhaOD7ZGZZSq7Qd
xjO6YowBFzp0+FXlB/WF3eMI0C3XIv6M15QYNaqD3pKcpMqRoMK+J3GKtMPoRleDuwCrY64NH/SP
DMh5yRLQhGSI0QCznGlJs8fESWR9egGsj7KA5W3kgVjkQgSrSEgYJaFvUFwRjaQ8XFr6KGAI6taw
yThXlHW70arqqE3ZcNeYtDgqwhd3tWS6ImQZXNRKYprPpAusL2qvk0y2xKWZ7SsAc/dok2t9hSsJ
lmov1SYDv/8cstUcwQskq3hIALnyVJk3lLYQM4oQVp1XtHfQ2T67Hkp/2HTegpHZdGGGd226Icgu
XnIA4o6YifFCCduxx1D+lJokQbZVDJGb0lmHKNNXZmDKhdGUHPwwuiYrwjETfp/rPYvCxlouYSP8
mnznDU9R/xCYebFvpAakX8/GItoz84AoJCsDirwbNvZXmMhhn9QD29AQp+uU3NtlWfoIKgwcqqRm
qOJKNeaHbVnaATTesEinzkSmhp+N5RXBGuhY/hPBCvAh7NfcdpqdlRY0UBxhUADWGMQLixFkHtMy
wVn86Okjuc3TfMAcAfSpkkJPS7Wt05JSl2QDiLucmhWhFvCipCiWNQkCGxt/98KpGwXiYDrRxejQ
GaIlYRZtX1sdfjOCL/GyV7D8o0wPd5Hwg51LmvBtaLrOHT/KWtgOT2fkIitS/SsUMdxqApu1Ti1F
ZG4K3KPp2nWfZOKpjcpoPTap9dqEpnnlxYkZLSpCqL6mJiU8jK302AlEOWmjoPzo/hPWKeQToUaO
nAkwphFg0vK0NnfK64IVdtlfU510ayA1uLFdi+0TRewm9hwfP1j5awDl9UDrCfIMkWAASmsAa4Jb
PI6juM2d8GGKexIUNYJrLcstcJWjGKUpyXKy28+epLVlaSTlLmxrorxT7p4ekrtSjFLdyi7XjrUs
nCOs4/DKEem0yRI3WU8QimnolvwMYz73ay9eYRXXiTNQsDZ5TdNP0LwIfFanfOfl8km0CZwqVBJL
MWJ6b7QBu1UvvZU9a4kCgnp5gc7Ed3LjryMciBdOzhsvh//B97NDci3Mah3o3huTZSLX25xlqUn1
NnW0JxEVU2apfmOKIruiOOwIlIJxZdV+SIKtXsAflPXWz9pkxotwNphKO3mZMJFv8ryj3BhltuZA
Q5iAPmJJL5s03jUFMPTAMb9AdSC/K6dpWVYS9pxwv8pSr2Ajp8mBLVdeIi7KV6LpUUwFgVXfVlk7
cIJPG/xr5B0uLKwoJBEHLYlkvtqUePpIo89+oewNWbb1RzhAiAFRYFgHO+fpbyfjfbblL0K9pE0H
7JmqmlyGz8Qnb6ZQ0rgmqa5ag7mmJyc6a9U2MwA0di+cCWivhZT24LlsCvS1WtKJEhe+BGAKxuPd
wiKg+DGFvX7qLCM81crKL73EdZ4xCdKf4ly64OKWBEICKgD5InfCUeMKx6i1bgjxWwsbBqNuxs1K
C1oThFWhspemsf0jAMF6FxLnt/MNFd6AVVSrnGC/7cBtWbZxbx6tjlsT2IG5AIol10UPA4uw7Wlb
xJ55NMEXrOvBwFlpgWn3PKPY/pPxUQdqM+XTmxa2Dg3ZcrD3TS/CDeJUOFFUbRtDQVhQpdbvGNOB
wHJDbkfakygSCXvfD2LnltF9hVkYEZ1q16loOJcRi7xnbl5deSDLDyat2+MErJQ3S22Iry51yhfb
bZ79Mg2PBuCubaKgGA1R/BGooefr0xAW0xzN5zctTtFI+TBg7GHFVJRGVcWxQDiJfg0cnvUtoRWM
gaevs8JqdixOiwBvGvhabpYHrR7yO9OPnedhcn9xwOV50dlv8FA2m8IB3TRoubsXsirYS6r8Xmmu
WpHcBI4kJ5/ISLTopTOd5oLITeC8kdatw3aoltpEsmRcprjxMq18mKKGOAT6EgDe7cb377gZBoe/
tPSIuYSu4BglwGQbbaChbPkyTrI7SDYMMIODCa+51vsHXnVibu6ae9QY+nVY0powHb/bjZ0zkxcT
gDAZls5YQHDJSs4Bkl78B1al0ANPVmXvYQA9JW/T7Iu+K4Ixt2ZDHtvBvnQJP7oNyZ856ZkAcCjQ
0sdQSFYyVxk1CPZ9rHBwGwQP9nU9aOkqcIaC5kVTL11/HChJm05etjatuMmEPUgS6DOmUFQDQ/WJ
07DfEb8DJGXoG+QTOtrnDXML6D19mW8swwovzbro4Ws6E4otaOg1tpsnexTPDNdICLfKV5mECqJA
xekfBE2zFxVCUI1kVrK+2w8r84yAVu7IMSRuyubgerCkcrwkeKma+tnMTMA2daZWHUZkM3+e2Xu9
ujMLwZuhyeWXy55/4WT9C4rO8kDEziJXyYIGoPYSZYiSh4DUHZoHRE3XHQdLElzWYIzZfql+X2IH
uJWZYe1tGye+64yiZkgAZxr0orPx4zzc9aVhUq6jFSE3JTsomwEsK06GiCNbu1iYZusdS88oX+RU
EifvMsbYjCJ6aL2QE4rVv4TlDOkWXL8lLwBx59IvAHvcptEK08bUbbMsE83Gyix/ocf+bRn2/WVI
OGe8phldqYcIpXW7iZu6ebBM0S51FXkAkRQBBVVo6Qeoo+5+gNn65Ne6WrFqmVDayt8HIx1j0wsf
fWbZy9wNyCkhCm7rY5ffcbzx9zhJjBUh6UQTF4T2TC15k1qg0m3c9rTvvK6YSbVyVbnlr0zPfyVF
ZiyBhuJGlw7ttWPHWbJep357k7pgI1sXTDXxKjFnptBcV1Cb6O0mv1qDXbErs3SOIWacoreO/1Tp
Y0EpPXjVjgSKtRe/0jwr/Is8bx3rEuz0HKLaNVG0rRkRX01YWxFEiWiL5I78Yqg5BH3WkFQyA0K/
rdkfUwK3N8cwhfW9ePfTYG5JPtZPWXy0q41xN/8AFNGrotjY9lFAPAPPDyRLDNl+4iWyiCd5V1UA
IgqfhBbDqoytbQCxbRgnQZDyemrf0mdTZJcYy7Y5OEjdp6DTFmOcPODiYFaH73sTp668JU3q12ga
xzFJ7ifW+1ZH7EgaCQ35FPo74WeXoh8NEoMoeZUefcJWxtjjHJ3uJsOsKCFR0uk0M5vCPUv954li
7NLMGPIsnVELv0rRt/ex7apXA4bcyhshC2B9NiZe724s1nHWdCdHt6aDa0avrqUeg1IH457CW2iM
jj6YowFoH4qaG5xHS0+U7DAF6IWFADF33ZZ6fxQFoDX6wj0B6Bphmhrd6DyiO9HmRUDrt6nJX+Zo
CkmJGYkFdNPqwNVDROgXaU7MT2rQ1qdjlDLeYBMeuVpLQUr8sivNjuSCNtrA10LDrDJyU8Y8BLhK
w4ZwEF5qwmnv1cAwpSJc/kgMwwvbubl1mHcsLeIBrmXmxisf8cwyR6Nss/BxRi905BnoAukBLYTF
etbgfdIH4t2zSLNOfWYOZyUrcYt1oajVgA+QEdUHn4MzhGuSsqZ8zZDjuWIDWjJegUjlD2+4ieKF
RaeIUYxOSQLMeWNqgpNhVA76h6EpdSwbcBAx6TiLgF7Oou4ItqUR1VOXlsXJGovmNo5C5OAdjJdb
x8xySuOprJZj3r9a7FOrFEr4ErbRG0nizGNNuxpp17YCWHYs3szANS6Z2hSXkr2ELyJ/FZyIj3Fg
jzBhJXRnSTeDZluI0cVgYpv5CQf09EUPgmqHHco70Hj+1YRtz5+N6Q7GeTXb5pU/rtKma+4qT6dj
6yc1nDK4k1FKSLJ0gpBwmqC9zrP6LXMncy0qD21izKuaOi5dJPBnO1C7Tj0ygmmfRIYdCm5mdqm1
dVYeMzPJLnXmSA7S82aAzNvFm6TjBml49dd5oGdX1pCa1yWdfGB8ObWi3jYPPY6klRVrA4z5ck55
MB8LoB6Y2HG3t1LGh8nxkoOtz+V2zb1gpsoR2gyqTRUk4ar2mmZTd069Y1xDylWVhxtqDjgShWey
9eX6wqO5vvJj+Wzk6SOheS6rWoXrKfLNHelbcucNJvWb3wzuhkHleNtZSMAap7f24COGda9UdlEM
NaBO5U5YzfDnQmjnmliBR4iZzaMo7OFSmzz36AT8F8QAvxYKVuKQGEwDdJNUdVUT4UI2+ZJzL5sm
TaZTaNRhvdJ9u4b0qSfBZQ0WncmMYy4Ys3ebVPk37CaC9CrfONhGmuy6RkS7mdbL4YYMRSP2OCCQ
FrJOBqDTiOXLZT/SyAIGhc5TIkBAyl8zfSS5A5CexrgDIf9AM3fTBLTGdcxiryalEFONIFkORqWO
A6aXoy4j8y0hm2oBWJ2GTA2HDGpqsXNFl54MKrJtELenhKjUbWxX5FGI1Lhs4lnHLaxuFdrpdERR
LQ62Lcu90DA/FK5PtFgd1a9hFJXrgDCdpaD2JNw9M3mjsPUTTpEQWaN3d1bHIAaAijqSRVCD2m3U
WuYT20dooPQ2JIFsNATrhTcS6+Ql07TzvMBed50It33aM1qenqaqq3ckhxRrpxPtLfvzyJgI62iM
p3dnGX50UZp1eQSQAgHS6qoTLUWXadbYUtZNTGGrIL5WdX8nKDV32mDRDWs0QdDfPJUW+pv0anU5
CtwWudPYezWa413ZtbSZqCmWDnVMDscMG2F2XYe2u9a8/iMC1PEc9Dnx7+OMc7ATdoKyDz6ybrQ3
iRv5nJf7hGG2zn/QzfjCvBcnjhDBWyOtfEvUHFlIM2JJBFW8TGKnu0JODIJfr3ReYX6FrCvwDqRN
eQfewuY+SOISdUUGl6ZMiCzgTTypZNzSVK1XVPUVAc5lf5kbWbJzXLedK0NtSX4PxXGrjTtDK3P0
DDYV8ViAve7potqxfEjL1tsy36kPpa3mjLdK57zb4cuwG+ievgdBpfCXWtQPV+UQFNC5Zzy45RUE
CHlfREy+15xCmEu/S+QWe9vV0qfeEsmpG8d+qddBu8YEKK6JfRXrpGOka8ogP8ReIg8g4qJtnCUP
sXBSjp6GflTSHLgADeyVPPkfks5kuVElC8NPRARjAluBZsmSPNsbwuWBeSZJ4On70+1dx43qKtmC
zHP+kRAV6Bq4JmRuQqGyg7qa96YTxW95PP9UQ/uByyYJDC79oKz7dAN1qm9cnfHJ1qhRuRcLoHFx
9UscoWL23bzf1M5iriioMcOUs+dcFX2yyucZYlxML2Nd9FvNTwpCmCEClIhKkrIN7ZXM3D3izIe5
NtINXMADPZfeZhmdz9EcktCZuVw9g0eckLrk5POtbtnMjAef7MEbctY8sCfwONcnGz2ShffDjGaQ
ROrWkEU5kUGa1+3nnnQZa3Y+O+a5HZJTZCR+RAK0nKxVxTa8Segp5VWwPr0Mdg8FbEvg7H0ba/X3
xVbpya8ieWCNweQACZ5y0WoKURp4QIoMPzDsiselyawb5W352WiI/lwSPENLkrRrwlNob6w742Le
CQO/Yh+0EcytHEHnIS7x8iZi4ZHXoN4UGOmGhywJQboILzJ6Z7dEPrS70Oy/COP0/UXg/8+WEUR+
Rhy4q/04QndJwmw+/IlIl0RJec45rHeZxo8TW2A+TW+/IiBI7j6lZbfQZxuIpbx5ahneBB8tBI/i
G9fN6KjRxxjmQ/KBfoekZtt5NsfUDY04Uc9e7br8FGQMOzlwEulLw74Z3GXTk9XjDeNrHcEkZorW
JqOT6WpEeBnCdkSB143l2k+MYW/KYrhKPRq2fZ5Wz4SOWSGlN2ZgxA4FiCT9VUHUKvHpmHq/G73Z
eo+JHXnRGi8mnbOm3RCyxMMiVoDiIQ8KetaptZcAD84tUxDJwgTHN0LeOqtaHsdxxHME/EQ9glwl
yB7Plmj7L0rLqhNIlA2370bPhCTx7raKpMu4AopNScShq2Rg4ez077z32HJwU/1bhqh9Lwxv2U1J
5m6sxAJQhHesNTuo8Vub5K8wo/8OtXpLtPiZZjCqNO7CnKkAASSsx0OWJtSrF/MvkKlYr9se+pCV
SIb3wLKLk6nunz6046uhs+1kbLgkd89yzXKSg9Vysfaepj+wIMaE+Us3kLkiz5Y8k9B3pbGOfVQH
U1TFJHQJ89mQ1q/u+BmSfzqHJ9PKAsNoo5uPE2rVO7Vxy5jHVoOAuqDtga4dk0EHPSopzBAVO8Nq
YPG1MbtYkRoDygFJySi7TK5G8tjf0T+Zm3R0X7xemI+W3Zg7ti1kOSJvOeEbrhbPiU5R1i6bWZUZ
1S7RU0rQ6BG2sHwZHPQU1ewVJ0MckEN1BKlq2RvlHW7Q1C5NozUbj+0hJYOa0B+t/BP1LAjOLRou
TABBx9uqgzenxBHlUP7qNSs3BjoiKMRzW32PRvYQLTP5xVdqsUlL0M0jyAz1zIwq8Q9R8dyVoL0F
2XN3Rt87y/kFcePGEd3OFs8072rpc9bB7TlPjXF0HADIS5wcvOlCqx3v16VNI2y1v62NNKBlvDtR
dxHRO+KXFYuPTU3Ru01Lk6XxS94txU6UP757Y+FapTo7Q38CgTQWliD9OIB5VnKddtwtRBvxnX1V
7q3WXyy2qeqSpNveBdZz9nNNl0/xW6pdAfrUa4HZQ1DVpxk4Kd0b0/VOOkvoxWIcggzFV84N1w1/
ZGcxKvz2Wki2dydPU/kjcUea0cMSfxtlR2cV7Td+fq2SbhPXz7H9rrUno8n2Doy1sG9u62+4/E51
dBfX1OuG3z/RziFNoUddbqb+Zwa5cHL0jWxUunqdgaT6eK1GJAasRBZzF5B2oXZGdrDno5dAtNoF
nfU7vbhVzXPFC9SxYp+9AYSfZM9xKMLGotHcC7zBC+vx5/7dieSP9ZJKUDzPC20Za8e71N2bzrEZ
N/khN7fKOFLhsy8LMk5ZnzkfpP6dJRRBIk81CFyeCb5TT1GMqUmS7Dv9cA6tShIUJSCc3Rw6xfVD
RH5O3oBevdZiL8Ag6LZcpZFatdYhQWjEc8N1EvKp82TTGleNglv7I66vhbEfkp97Bjy2o0A5/ALP
mkkL1Nkv7+zXB+iKcm8+ETq9Q1f7t208z9Mr5qgV/EZvnyNv20BjIXzX0OIM2wz5TOmsB+OngEct
uVxJJU8Xjdqxcx09pDaFV0i18rPHdS4onLJ7vd3ULLpE5CP9Kmutg7cd7ZdkdKo9sO6XmZv5A+GY
a3dhrcrPigJnj+Y8ZrChm1BC2VfP0YLSok65oFOXo4foc3GKzPaYkB5pFLvCrVaKxjTi2GhboHqH
3CFUu7BKZR6609miG8rm4PNfxpbz14dXK0BQo5U9vhAxHsIMBy1DYZZvU9hkhd8MJetujlMMjk8T
RFt5FtTgTKz2Tv+eEfhNqA38rmedc8KU/Jwos+HiTC+6/9hG2wz95dL8AUxute5VXx5N/yXutkvx
p2iJgLmqW+NuSN/pY4YYbXuvHzEdIubnj7R9SalgHPVdFE97ofQgJx+qrfHS+oTpg9YzM0Ad7GeU
NzbqN596ga566o3X3mLK1HaMuPvavHde0O+R/tqUFRSwKjWfCYRh1YzVqhT/JsHXl50Wvi2Z7psY
MGeOAqcqQJK0K8KikJzHySG/w/+hRY9L+OqKH7R/QYw69m7SNkDaF3MrCcnKOHRnmPj9XQRp01aX
nP3ZYDDhWOQZYFsKtaJap732OqI+I3935UW33LlSy7LLrU8TuftckR+MrCFuPusxRp71TKLg/UKc
7ru/bYWFhhKgWfmUxmQFg2lpoFF5pj1WZ0WkaaKazzaljxamiSl6c3xkGUl0iEhFdqPVkP64Gp0n
1lrLji1dX56D+W68GgTzjR1MOEwRkyunfxvS237sqL2a6SxMnDC2XquahnJ+IxN7D4KAWhCbtIHt
5At7FnEP3vFAurCNqTf2PgfzrkKdHvJ5CEst+tePTQioTKvUWcx7rXyT6tvRd3O5NZidchIt/a/a
uWIRDlLCgHOL2FFx6FgQK2dbUeakqNbKDXzBN27XlIBBJyiUFkzu98KZq9rvLn92nRNbxsppPmL5
gZxs7aAaQMGA4vJhyRC375R29qYdnvPB4324Soq0ynet/gCvChub5db90vqn+N6ilm7Kcmtmr/34
7VbNdkZhi9gAeRsRpSxAyAsrTR5I/ebIJtmj/LLjq9sTIlrvIWbw+T/1zdvsHUt6GP7zMdPEwxbI
X4yIcfzXONd7vaGv7RzxWEx/sB51/4O8dkfYOItzudLNn3Kmy9Hfzu0pa7lCOcUHsqxdVIpWtl3K
Z+khi10uwrlyu20YqwNSD6K/FqzkjyRiWoF/B7Jz4tdsvOnze4k2xBiOGqNW7PoD/Vt2jjwj5UQS
RChnKJjWtFMNh4KWpS3f/kCoaE0xuyWSY2sVV4Vvii8+2TDFBELdRoVwUIIOlg+GD/aY4VJ7TRVt
nc63O/32yE4yAsGdiQznhUIOvhIehmDOfjUIB48SpgFptUrsEAHp7GhbYEWqRN6Qla1FtDxQD7Rd
JnGJqM2G0F4bOe515E6FkB+zYW36eF967zAFbNTFpnTekuhXPAwEu+jlrv/y9u1wEQ3/4cjKvBrL
7QAVt4zxXiV7Qf9BQxJzspzuYp5xfrE4VfOSM+N+QNg/JfcUFeFEd13dEtcY3XD1o0fHRpPzJX9w
iPnUA5KLV+VFKChY5mzxDHw5y0fsPPXylPm/9CMU4yGeTvQMrsRwvr9pUNG8RHufudt8SJvHyISJ
d9w1LWn8bb91sZ6Z9QBJVP/PBwqDPuHq6YLuHmGdfmX5uUF0QCDCItbSe9OcB9O8zMa+69lo9Z09
uZuRa8PyDoYGE9Fv7OxBwI6o5YY2FVn6w9w9zurLNXhiPor0U0togffQ01Pq02hn2YbQ/msCNAN9
/FDucamvBEvWMIJNclIprZhfgD5aNe2IHC3bZ91Cefmlu0dhP0bqhZahOt4vzqZLjiWxYcsWF3tg
lw8+kGytLkV2tRHapsNnkQ48BEfHexmd7cQtlsZYWF4c8znOrnI86TEV8sikhvdMHAiLkIvHvLJO
sa7yhJKe+uibNJGSFbQRo8P7+L4YF1+u2edCZ/jmPoLkJrZQcMv9TiLfWNXJo77YKWhI0It1R04q
67493JKcbE+T2N/MXhn6RrSYZ9BFRVzO+r087FzSlxXXe+k+Zro6jeZnLKNtYfqA1DSMdQ/sNYFw
O7afajXCXUz6FrshtYrNmmGdsRnUmj1AEzpFySwnyQNFJCuXC9irHvFCI0B9oR+b0y47TKTcF/13
imi6rEhgr/al8ZuM7qo13zIOAFPPcIZmAWh0yRg/QSPG6lfOSailM+be+ZL1JfkgwLcG1xw/vtG/
EnHXN2ov/St+CkaCeLPQqTYzcUzu2iUAthFPpig2qeofZUza/2JzysRhF31MDpp99RI15yJyAq2l
qAvEanH+xr4MlwSrzFeUkF2CrDPjPKjBLjstTPVL7zvXxc9PQxNvlM2NFZerSEMnzS9d0RLsmwgU
BSeeNF/agqe5Lgiij79tC64q+23HChYCxT46Gm5EyuHlYcTuBqfNmUtGP0hzxV9ZIWqJKOh1wZCy
7mkc36lkE8OFRHtUF5zY0aarfiyYdaJT4Tr/am8tpL01oogQ5Yx9vN1T0LwZjZ+27VaRT4HgPcFH
lt2+AfvU8easkFb2vvauZdO+ruQejckd4Y//uohu6Z2Buk3z0tU8cZElz7NJjG7drcH/TgPG5K27
OKjp/xqP3s3udRDWq5m3X4suVgVt1Lb105Z/ieMeHSouYkI5yuJddSl7Ono3+D9I5mWk7u/aaFy8
yWvqvySmsZYdut7l34QgJHqu5j+/pSkMs43xIUmIlXziZGcv+3vN9syuWIjPmAbWLswWfTe640mK
Z9VuRMqsQjBNpq0MuGA2Hr37oXtStl+OdWvru2cMlubY1pvCuEiXPOC94xp0UoSYMNbIJoKBGVFU
6VZSoKlQ9Zn6beiO0j528OEi+SktJ5jAjgdtb8KRNuC5mfHiuudRM7aoPlc6uxTZE2Ql881jVkES
EKT3jQz8Rr5OFm0XkjrV4jZ5P9SC/VsoxrBLmwTZh9p6RrG6SusJ+OeXM96OHjrtaLj7MtvKnIJP
Pht8ubM8+s6fpI0Z+L/oNmXyptyI0FFOI1xIB42nCKqAvpITzLPl/FZxg0z0GZ4kReeGvowIl6z4
06ez3j47CFWrk5HxcOIgjPUH0aD32nX31hPv2PTsPs5pLP8sIcKYdpIO2Cp9FhKeiWKIpr1G4iVX
TjDOD0MbwfMzlr0ZSL5mEkNcEHaWPh6APjq7hCvX1VM5vmrtk9c9qnk7djc6JANAYMDzg1PwB5pr
13+YbDC2f+xTfV+DaeQzExAOxLJ4pU33MqUPjXbEK0h/+mPhHkvxnhHrvsxD4Aq6WmnbSsglpvJu
MWDk8eVZYKwl4smEuU7P/kbEp43cxc05o+QyrVlzub2r6senH4N2821qbKlAtEy63AmkjuewzShi
jJudTF/Hmv4svYO2/k7Vlz/wEyI30Kz3yvzXduM2sebQ0vdUPSDm4jlePHmTGjXBBLaKGqUG6dpD
V60TdAULHUCixX5h026Vq382ir5Zz8lekidMXQdAh2iFx++VrpBg4aRGVJ0fIh+IX/MecBIGS16d
inqGKcf+COpDi0s6r82xP/SEevH7cDuWnvzeltVdLWJgpKH9RXa7LiM8/60d5LH+53VokcxpTTT2
hx/jHQKSreh+H8tqi6Li4A7zbqBYRr8LmigCQx8/EMyemzoK6eXbiMxLR8oRceCsYP7W6gea0u8V
IGPYVvaunXnZ3VntvTp+l1P9btvazl/GtSf0U11TldosAaDYSszFFVhzbY3TAaj/w2FAFP54UFZ2
o+QwVGrepA3N4qZbE/kkSNXT94Onnco8PiaWtqng/VeQGr+dJjaynB7jWYfCh6lSZrA4/b7nrUl9
j0vc+kDywixBRQ23cbdKcy0gx+cpsazQ6PRzZbWfU+6JtVmTJeAX/sHgwkXsHejSWrWatV5INA/I
gcbd9zeXt6F/EvbIiIw42fTv21zxDi90VWm+MSbsAu58WJZ4hwzuWvgQRJa/rToDipLOG6M/VyW8
XgU9L7vdFEVXMx1JYyGLTS79g1zKIy0LYQ6dF+mUKIEx03F89DigV/ESXZESnicifqrYeTObYTVy
aQ65idEPQY4ZH3EnUW+SvRgEZk3m8tIv/drnz+jIIuUcB/6U0YxbrloqF5d5QZlDwU7so6xYtppj
nPq63Fk97ylaSpWIoPPcNZzlR6t5u7xW586YgtpRLz0VdtCZ9C3P9zBN3diJbnoElHxTozzYeRRS
hEYDJK2+JKew9tz3WlUz2/Wg8/T5eHONhNe+6PJHRg6pKtou5T5JdGftwDVTWgdWpG+Qs980hytY
8PYO83JMCqb3HAvcIIyrpY9r8V8BE2F+dh8iKwuSpNu1/UDh1LCV+kThEEJbqD36aPeuWYcC95+V
398fPjsXM3rmX5/GOmW4h95YQjKcHkTNxDaa6mkERBrcZhNrYHI6yM/kTGEBFg809avP/mNKllHg
jHSdM8P9djXft4eYyOGKQlvbmqjNLEZIapcp4LYp7yU+FlkNqg81ZPtcFaHfFXtdrzB3Ztt2qj6g
kwtKy5OYn0bbdB2MzF1saFYk7VO2E7pqIiMw2sAX22uJHz/JYpLua+rOIm4DwV5qivSYe4omoXgb
jRM15b6GnKhdF1NzrGPOcm95sZG8jgMDcUtqP6V0sGDjvZLYBw3U9e6IsmifzwTo4uSL/ISFhC76
etmjGZKsdXTmCuuJ2jvkU9OFjqdileFBKLv4reXhpSKBTBx5qyyXAD+7bDaakT1Zw2s+suX1mOUN
gTGQXydHRts8OUP+kc0CESCV8k61m8qYqggmK9kw1uEHRflYoTYrwwluKTKKUwcp1gwcyUw/PB4Z
90crm8uMXLJPeCmMKvDQP6Bcxc2NBHzhlI9SWsp4E5qWAYMFx+mSQxUNqyxqwqqG1MbeQKUcWkhS
62suIkLP0FsD0TfrpPN2JgArQY7rbJzW+eCuzNza0hARmk71wJh5wOTLpsVQPGhBTKKWZ2Jq7wR+
IYyWLh7ItAIPsykChSZAZZDVgVNgyhrag5+Nq/q+syXUFpdGv7OZejtZ/lEfQb2ctbwbCtZtnM8j
m+ECLNu4yJ098nuRGHsD+d0VJ6bAP1TJHGTPxORHmvzZ9D0Eti3oSn3sWQj7uggMTW04GfYWerq5
70ITUZ6vitdGZgc5ZXqAUPayJBFlbHb5WDvoE5FPsBniXsvs6r3Hkca+Bt1iIYbNDP3cjkDmHh+U
Thb+yABLy0h278FOtliz1iqDAF74FgFG8SiFUTQFhJJtrMhdSeEhI6BEsRDYyOjnVWjCXYD5vLHA
TLCj8n3OiJtSlakVEi++nHvv+hKtG4K7ikWVgdAccI2sDKn/2DadzrWLeyjxQrRaQTzd9/U2sKrq
pHuYjA1OlrqvkCmZdHCLHwtrSTDndpDYMP+6h2Saq1Sn0q8QuPj7/rdmEG/4vNqi+EKb4yS6dbTo
awt4rzGsswEB0OLZWMUjeaJxZx4re3m2MmuHrHtL58oTSZ83yOFzwy9nnMRWauvJr8FEM7VL6JKO
B7HFMRXiJVvDz930gVEVOtLDHUg8x80ttY9GIQ71IAANfWHhwIYhEghkP6QtN7CZ4RKpPfoW65uq
9gMTO+WVFEc6E5Gu1M33HU5n093607+7tWZs+NFwP/SIc2n6HstwEJgd+K8GuQvpwChsxwuid/t7
Jr4Lpf0Xzx4HLNZhG9nx4A7vBRpHq8guCoBumBK44QqTV3xMu3aLlx+iZwjElF9su94bEktcPW5N
kT1i/QYPhaSFv9/rwtwbtv/XipRu3hzzTVI91aSO3pl2S/fBZHgpJn/YS1jzMrKvtTGEuOf5lH1J
uyg6Q4sDyXHfZw0gfujdB2aPD4WIMIi09lbIaYIc4i+sTOgl/y1votMisaipAT1lEj/71XQeCol7
ENW/0xB9K+e7+2ist0DM0BopVkE6ZtMMioHLwcaciOL6TqhoxAjgcpxUTeXr/GFm1Fh7I2oesheY
tnVMCmkhGaEH/UDTB1RA1JDG4CDk7uBZ18kwUQaGZC1iSTX9ZXcXbc5uf6ZTekus0dGVs9xBtP14
k7Vx0uw0gTLiPFk3sXjT43Ejo85+UKoGPvRIt6h9dhovdKGWI0Hlz0hWptt6YXxfHcuZXR5fqs46
Ibr+oS0iNnDjZDXpX215v763nDuyPxvq7Gy7Zy6sDqrL11SCkgiWHJy42N1lMMy84ewhRbuDQGBK
AiDGMDswk2lZWU5MwygAfK1xY3sAuQCU8f0y1EwTXzwqs25GdUQrdpsnjHL06WWCCI2yjddoGzaT
SUV3Q2Mk7P1mLKBfe7zk1dTVezuxA5MwhXZyGLpt4BXSEhYLTHwYt25Roa6UaM2zyi7XkmyYR23G
mp9hpXuoG0HOKGHNrEn6zecFbYqyo7DWu9NEo3kzvLrxNpSUDtsyTbB0Usv7nfXeP73T/QfdaeEg
DMLJXhcLGst0Tn2fud1LjfzjjRSdYquwboXKkWiiBTIhi7zTXeRSQ7Nq65xue6u41AL9FwIicmi3
URJXJ1sSEoiFQWPbcd7laLdHSmO+l7yXW/yFKX7xStCR1OWUEibRhfBrPJ7xkvBMW4mJEg8gzySo
Qvdem6Yz34059q6mPZd5IKfO3Npg2oHmUZdqVCAO+Rhlh9F0Do1PGIbd4aVeTGX8V225w+BSnluy
QLb9AkVp4r/cwccO6zZ3kS71qPUmga14wA+JhqjCBu/k/bk0f0njR1+bUQ9jea75RV8ocq0RMXzc
DHB9WRwd+pSlvszlhB/VN6GeMFI/IklL9jT+Ilsyo7QFjW2z57oEphN4wpMw9YGO6S4g1sXEonPL
CODwSC+J1VU1qfstSoeQklmCeHpUzOYjRceGY0eUEPUaAmw1P8H9b+KYnkx3dgl36GkpGigpAZAa
VfntGcuyIZu8DPWC4A4cSV9y0lSMOqoH1xmJGcA+GWaFg+idaarn5JyTm7sM9V++DKy3aV2xgNqm
8FFfu0SMYBc25+cctcRaSf2pnNRPo3fZoXKMc+kU0db2RjhyMkfeiLjhqh08PMYO2SpXP23crWMM
/mbplPEO/+w/I0ueXkl+IdKeGgveh3k8dn03bmI6jY66L+TL0JuwwH657Fkh8fIgzLrxmNjXivyB
da2b7Y+OSHLbLtO4q2BNyUoUKa9JFsHsdLHFdK4s7ccVVbE3coy4MmWlwErw3xNfkUTBiZZnLZ7l
Vuffa9R3rpOC4k9EF1uz9ZR6rbl1FBISxpYm1w7IVXRw6R6s2olLzicDPBgosHjFO3sXfC6Vs/HT
Mj0hjDFDmnvkocGMyihWDdN+NEt0H0LKl3EacWP4HvCf7tcvtBEymY4ax3OOnUVfFZndbe0Mzzvq
xd5GE+IM2/rO8DTKd//5aVes76YvUgDGFjNiTiCq6JnIisaZwDBihuk08QKDslSwWk6eiiirJ/4J
TiYT8rvWS/lgSj3m7JzuNLSIcdaBKWz7Mf0lkTpF06xAhKrcx6DQQn0lbcn/WhoKIIuaT2NYvUco
LG2nRTlz2/ZkPMwJSlsPJDTL5HzRqDdLwc4PMlWX1KBczk4J4c5chgrXb3ZNnX9b0fJc5hPelfOY
iquXkAyHG5MgDn+a0fqhrdnFXc0pbjZPGSMUZUUJpygt6uriRE51yyfL4y6iMoFl1I72VJ3e0yQM
50WbJIAmBaQbJ+I3nUc+fpBezNfBLentqkcPoS7oQjiZNA37bK+S0fc9n40aj6U57tUL4QHJuOGj
d/u0X1refKBXhkFZhyXlX9TKFvGP5cefjCbL2Ziq+r0AE7Lnl7howLqjVUKcRkScAe7yOMBtytlW
RtFfp7fFoy696HeYhRHDh0fp3o28S8T196SU3R1tDWFhqdEhRuqbz1FyPy+KxVhPThr00Xa2mGZt
D/Np0fXj3rENSP2YavGQgSdzAj1RvkEIsxRy3XcFMQb4XJudhYkoICAXdHWOZ8iRrNU7zLegrNlk
onYEs6JxL042fK3xXqNknKoo7mQrM3gAF81wjoo0B3RPLAmnonsvu/cNppFQRRVeXxv9sMlotngR
3OxIGrMmaPfKB415WbTLu7bAdNtKs3gmnM954mkZzHQ9kqCEGpZ9hQRnNCSJhpK9A91qrP5T3QNJ
SlH3QdvZ0bbXOhvcJ2s3cu6JDWm9iGlDGSVTN8KrITWwrJQFUx3GCeZzPH1EjuvkWCWRwIaL5Ic3
X8836GJ5h2SJgwiae9WZKfcQjbiooSl8JnkegeY9aynW3K8Fu0NY6JIO8JwaDgY4H4Aqwgcih6IK
mnQmneguDIx84lVQ27VBn3QxugVxi7GLxEHSIJeQ3RCtwLWymmKqKOrCcWnOjRp+dfJ6x0fBQIYC
IcqunbKKfd/ZcEQ4lGxAdJrT0n4iRl7zo5dYM9VfyVVODJhl/qPN8AcYy183qmS9YtrPAz+C+fPj
8TC6/1Dxoi8oW7Mh88DUENkSUMyNXr5VrWPecDfId0KAcN7eJfPKMz+Hoc6sdVoog8FvII0sJuls
D2kw7L0FxY1NdOu1vesfMxOQymW3WbtDXm6KmFsYVxYmZbv3r21homXsjWORT/0Fj0CDyjJtAW2E
hsOmKd69pfiONa/5YnOVqJPivOH9ZzIZO0pkA8gBPPxeluRnggo6WNnGw0vf55dmEX+RTO+zrTN9
I/P9aWZkUFPrXnyhTecoiXDz0kfaBq7ejsOalDs7JptB9DwgeKyAqQD2p0ncGXNf03dWnRlf0RTR
hihiYqVnv7xioHROpSS8YaV8lcCBYmx+LZHDrvH7gx3QYKydzQQJpKeozR4cF4oYr0SQ6eQVnGoh
Mv+Wxj58tU354RwLQH4NnkSQyxJP/kc7oNwkqEJsHCe9xCDbrTSC2HyPBlYJgJaoTqAHqCL9pRTz
sXPUY2tLAMJmvFpKO1Vd3r5GkZMhe2gBBeRoPVuIr2FB+vGnNHsd3th+UQPF1ZVbvtI9kJztJJYv
DjsIe/wEWGthUKdk+jY39SPGqufCwz1lY5jkHuc4XS1t+zZkk3goM6Y/W2gkGaWE6uR2rT5aC4Hq
N2ac5wV/YHnRm+K1je8msdmF0qqUZlAlwmB0T0kqg1YukAMeV4YHOrEqx+GvqMpf3c4qACkkQsKB
hm7JoOKFyWI5Bo2lkcOg85hGWyOl/pYSWBs1Px1PKzXgnR6ZSYO21aqtSOWnOZYkm/e5d56H+F60
4CNgsDOC27oE8HBmQwoI6iI1rbfMnbRqtPvp6NdGOGWlZcCz2gaB+ln/Rz14uS5ypptiQXtdLO53
Chq3qer0o2kq7CQzy09TaMsqI6MlkLPbAiAs8B0ekRfrak7K76bUyy8i0u567hxkcm13sGZu7KLB
F3bDwW3OMJCWdJtHw8wMNns9aRfy1bJnIA22Tq4xJAk9bbZpnYztTlO+M29kl9s0f3qTsaccUfH2
RwZ6w26OCNSJ0Yq/sn+Ifdc0hEsMBupBoXJv45AwDjih6yQ8UoZ7NWIlvwte7XytedqbmsW/Moft
JTeu2pC1TVqUOzq/o1XIOqhMdVFjP77ytyCAFj0aqTS5JwmQv8qK2D9D4T7rGCTDItJc7EjmsGkL
qHzG7gSHg/5qJRSV7BCP2HR/er+jxy3BsuOux5LtedOSx7S3nAX7b+HN5aWfwd9a1+/5Qw7bkwU3
TrlLdk7y/rZ0mPsY5kwms7y1byX5gVCusw5XyvC0yiuJ+x83BhQU3wktjWWY9oMLhtK+zEJ5N41y
ks2YjOUxEtJcM9m0YJ0Ey3sOEfor1058CmX97je/57IhPWFiHF3tKomU+iEbazoNtj0eLbPv9vHk
RSHQDzClP7g7YS92qJX6wC6iyxOvWB0UNs8asVhqJxAmnUdftPvUS7190VG66tkZ1lU11MBmhg3R
MVWXTnG0lCMAG1CldQeNMRx1RJIA52nIPO8HRzTG4zuJNiLIXek81JXZfuR63x/azs9v/ZRFZ9Ma
szfdpbvWVJoMVJ7Om3HO4Z2ItDq48BlMh9JO8J9088F29G/KmhHuWN5Kr8lWLzNf24+YzXd2bMq1
AzoWZK7V7IBIECyYOse5x0eLEss8qCoVX1JvjWB2UhWaBB2Eupa95P+XdiERxMSAdY8+DLmeUg2M
zTeijTEav4sc3sWM5V7P9PnTA7o5WhPebZj4+kD+ff606Gjq9GKaTgi6xRDgTIF37svnxUkJgBFg
lLaGjEwT2b/G7hiTmLxWvT/Yf+7g8E4ySwc0ms+PWLjMYIKoWuEzM1aQ+WCs5SH153uGkNYEU57e
FetjweG/qGTdo/8n64f57H+kndlu5MqVRX+l4ecmQDKCweBDv+QsKTWkVJKq6oVQqao4zzO/vhdv
A25VWpBg3zbQMHztpDjGiXP2Xrv1cQ41QWnt9OiRD2oyWu2aqYSOQA/LQdeSOe2Wtx/ah1+6V7Vr
2b8HG3tzM3ZsjtrImHcRRfjPBCDT3eSZKNbCij0A7J5jN1p3BDP/AlbWrOqwZUJFoetROSQK1Fqf
+7vRDSRjiMp4KN3E2SRqxC3ji5w4MuQMXxKv9r+qrgyfqDi8r00hZ9q2/cw7h6d550yWG3Jhevep
zmS8LzDYYPzDWUxjqCqew6ptmNwlyboBXbrrekv9Vuadg8xxxlt6X6UAJHdZwLSw9AKYm9CoLouS
Vq7h1gMeTCpwCGvpVzlUYCMKvBT0G6fomUCfiU0J3kjSnjsy6mfaOg4o1ytl5DRXQuRO1ODsvWmg
XOZG/g3gXrIhPvdL2hjPlkf8Chrr/gi8qn5EEt3cMJkWuBEDWllW4l95mPvwEFbBK70cIupNLCu6
9GtyXMrgOstM/aVKG2Ru6UCvZa6dI09aCd9C/Eqr2sFM0GWHMJOzfeXYQdH+HF1DRdsi1s2xcwOL
jrsdXdWIuC5Bggz7rFcDuqYYvE2LpdRNSait44mekznZPcUvjiZ/7bHnFoccyi5u7yxB0UGnpU93
dcb3duvIUd8ETTzQnLbEVSUxQE6ZPx1mtPEPkqkpEvwm3VGTEumCAeFoJTODzVgVG9szLNIQPOin
aRRu07k0NrPrDi49JhP5ez2VYuVqBaYpMR0kt5N+biO68YktgmSTi/lJzIIhEhApQcvUD9B+TkiS
Sr9MDq1lvSQhC9VUTkwfmmqaGX7GZf11TqIOYb1dIB/IxpDg0LKD4eRa4k5bdU/j3ZY3IVHCJ98E
xjT2yGTGjnkcdK95m4VNvY+HYDmC9+i2afvDtui5NQ0GARvd2YahQbZuO+ltszlJfxK1Wx+TMvbh
yPnpoNaNYBZYu8q6nWWpsXbXzq5sY71N2cddZmXYMv1jKNWonEohtJwb8nS8U2U6HbV9CxPfoGc3
INibIjio45zOjyB5i8NcDNadJQy19nTc3uHUznelPcMwaiwiJNmVrksl/R9pT/VBr5LaYRbmHics
Ao6Gr30UR+C3cjRzPjDDfaoLCxI63XUc5Gi2iNoj0sehgGuGlyFuyts4z5xXKAJA3Bza+Rmcx5k/
mWnfPFbGPmx4VxXlwwYXf79Ro5Vdz+WEeEEkPE4gDUmy7uHLJEDtd/lkRVjZA3/Tuip4FDETOdYP
QzyZtZFhY2+NI2mtlPmsEnvadsV+bMxsF425dcdbsEyg6GxmIV1RKGikFfSZBz2o+95Vvl4ZmND2
tHTTrWVG4fPoTuZlZnb1l6zjCUF1kSGxVCRsGwZz0lSaBgrOsISBCgtZwzgBNMtQLMnr71YYVT+H
CVgQ/fiOZHci7qogK2/yfnw1lQpuqCoynitUzV5NRP2g5vzgqXK4m8tcXeELBpzHGHKjWgfOjAhy
jIR45XrNF76smXkUfUX8c8B8zotofkUtQdBp0eDTqQABI+ubBzTJgJSBFBOEnOPzgeuwCxpeNou2
/TJTp8RMguUB5hs2TTQ1Wuw289ck6ORjE1K4DSEWjbxvFcBH7e1SR2YHkw7WKo6mZ5hu9MTZIQPm
UCYNDBJUNq60y8dxTFikKFsYCIGBwU4/7iXwxN8hUrJVWgz+wcywkToZOrweyAeDAPY3VgRUX6pk
oAHuRTumY2Lf8W1b2EjF7fLdWrnYL1c5K+82J0wBF3IBrqqrv08m6tzI8W98handn/J4UwObQr0S
/o4oXVfKGr9OPQLjuvbFIRzSR6qmdq1N4yEVFHCrbJDVc6dSZD/WYB27pP4lyeGAmIDZ/tq1ccvq
ychubIEftCVX9NaFY/+1KlM61VIglCstxl1h9CubNUNiguSeSjyRG5uQjAtwUsZF4MsG23LIJMiU
UPRcN7sE3oeQJJwDe1niWKucUZs/2MrSVhIGapWxFfbW4PlYh4oCrpKW2uuCDfEgrP4piHP/Rjdd
fSyivN+yQULZN2TRA8MNfOQ1CuEIbnG4mvFHreY6+uFlUXHVF3V6hTSDPx2O0gC2Bql00bXWMU1K
+i26BSMlAliGVAcyfYBCJg7dnFsnpkFovJscRVqPWQHVznIfAiumEJlbp6HvWonvzmDmNzxzgBfC
8BckDcRrkShuXV8gj4gKwuyiqBWbRtBDpfMBba/NWC1Lw15pmVOpw5T2dSa2I27sfV+RMBVUNbNW
t6DBbufVmrtLmFjXCPiMtn01m6hsRIj+GA0ncrC2wHaBRGk1QtLa23N7n9JToUWSPYydvEu7oNya
RTDsgX2aL+4iKi8WiyFvDyWkdGpEuo55rXrjh5UO9S5q5FitelnW2zi2+ksvcQc4+fELbmt/zdqL
mtfWGHqDytx5XjVdhbOkzdADLoI31++qzjbZfUHHdbvwBcRNtguQWAA8S8ZjkRdsNFoPUZPBVmAT
ypK63kRN4Sk720dz426DKa3bHdI0BtSzN66FMthE2mi4dD0yzhzbKw+z7HTUUw7Vy5deuHz6k7uQ
vv+PwJkf6VxhBGsGW12VRWETo5e2MM4ZoSLwZ/LWHOy2rX9ZTRueIqX1nR+iJq6JW7olM23hU/k1
38k0iWmXx1NRIF1Ht4sDCWdNuIjLW/QeP5kcOzd+Poa3lsYbmNNYBmkCj8su019myJSVLjbmPmbb
jMkD/JbZLJ8qot8OIfySPR5ZLP4qMKGPEHc7lCBRVbDUdxTpe8PGEdRY9HDRz6qNFMHLwJ79IPty
OIWwkjZxjTfC6KpoPfBVXiejp676nMwod8yfA4Jnd4GH4zeZigG3UKi3rTWJL3VB5Hk7UFdZRpvu
7GlY5Jjc1kwW3+JAIwzWBs9zzyslrOYnu1sGq7ONryaecZrCK3mw+9bj3TYXYwJafN4PoEVD0+Pj
oOxxJF3k1Ad6mrWiBezhNN6FQ3Md5WjmAnYKGJB8ERjk+20zR9NXvB3N2mtwPEe51698tYDLrYnt
TK3RVYiSImdIE8rGdogvPTFOa5l3D3lFA6pLTWPlDgbTYKBRB9vt9XGQ+AJWsqiYx1VFw0MTB/bI
kLs21XSVRTbo2H6Mv/hl9pMPMEDzXC2joSK+7yZ/fHCyruCrFGPk1C4qcRXaXyfoa0c5Tgk1Pnof
j8K9p18ePeZVDKx/Rs/hu2O4C026+lL5JjqPWRR79AgU+dr7FbjZS8tuk4tiRfuZ+ISrcqyINBxc
6ryynng+QOCx9EUIBGg8mo8BVArka8h8TdjZuG3mYCNGhlCrmGHDJqjmiOayIVq6qlVmrU3BJWtn
137A4mndiyxG/CH4nTj6Tu/AY1ed9Zt08KkIRhxAdIr8w4ytAN0vKrqxpINn+Aw+4p6xrunzwU4j
45B1dfg9NRTjA7plB9sY60svdYsNmgu01Dlgx8s0s1qWVaMduTWUtEQWJEdCPVGp9I2z4yKFu8nx
fhGHixi8CryrVNTsuXlngIiXM1vwyKCT66VEBNQ+ePDAx7JKS7ufrtK+AqkfFcHeYg+2m6ae9uUY
LEAQeBOMlOMKPHfQbKVoin2sY+dhECp9mKIAsoJbxguwQqycBstlMDDy6ahQXNttdmFtf+vJzbud
YMtC0rbwHvuSdUvI3SAvfPsXpNB+Y/adAr2nAushGMPmydIJqkxMPTTRm5YWUsNZNQYyCLPt6sta
GvEXqamR7VYoOiZdt61zJGZFlLbfRrCS90UbgO9k/X7REdbVpGeXCDAcIOmAQiCRjQ1bdwJvrZH6
5b0Se4YCFMY1JEkQPyNDwHg8QY+2Lg3ltC9+5TgLX2ys73oLMIihk2ZtpeVPugziV99ZfM4Zw22V
HbN91jAcZiNBwoF/ADeMVCu/Yp9sdWH2otJEbLthbL/mHZsKaCTU2IN+tQQrRhf6YkcJgcpFOzW9
+mbsTmHlRldFR9fUQq42in6xtYgh5KtjJd80Q3327ugV2qky7qpQZ7epVtXJpqFFR5WOsLAkLh81
o8QcJ4VAPokIYQCejxVkcPOdFlEPwq7tSLUY3E1o2vON51BK4Bik38NcBVnTdgQ6s63iMtp0BE2k
8fgLhXl+0Ebr7rAVT3sohPWhr4gTMFFovaT2MMyIr2VzKPhibOTc8D2VY3KccCcjh7UI5o1B0/sV
GVxpSi9ToPC4tifK8WjAhQOfiq9fYf2i9KFIc9JlGa7ry8agoJiJmtvCjCRNsyGs8d7X6G/hrIV3
FoZzsPww2y46Eet95w4ZRnZV7f1qbiFxuNNLTTDEDrs83wuggHz+sbMyLWifCJUApCUzxTRg8ZdQ
Hhws5k1fxhb5uDmY8/VYtYSFko66B/wKE9hk+R0s27ixtex3bL3sw1C34Y+8tIwL4cfJei7GH71D
CF9bZNHvHOgemsex2VnxUO4Gwmh3Ds0uaFaB2Fkzgl0mxewZyQLYSTI5UKaiSwsLq5H7dKLdGEf2
foTMvZoEPu0+cJj+xH67nUXjojElNKNoe/W1LgdadcvHdsLXd9ELw8eKTA98FY3198SQ+rucakaK
hSqLCwDA9UbZDvcDiEAQfMs61Ico5/ItYwj/4Mb4bnyyU7Y56cqAIlzjkIRBvI2CzuDjGuRbMSFN
rmz9u6Vxsk4WEBiNHtg9YQLQxAKm084VPUPAG/xbWguMPBvjPjALebVkAd+P0KtALgAlwXyCVqFz
rAs/YZA3KFufRNuTt6PVNyoL+0gUgHGl4ApSpECYWgvIyhvMwr8Y0y0SKuW668h0IS81BcEdSdIB
gEy8+CJ1UHCnENSUB4mZDgCo9fSrmxtwGAu/JPoL903ozdaVkZTls9PBnFGYzrYdj9OtoAS6jKEB
rGuFKiWN4+DaZSx1HHj0WaTaAe0DjoA8mTdZX8ANDJ0fzIfEHfbzVwR/tOYIO973g2o3VSDU3mP7
d0kAhXWl7anZsf6W+3Tm4xfXuYfnMxuARcloFyWN942R3LhiH2muqgzpr6fIrMinuFlHNS0THsA1
7DL6JRl6yhJ0yIoRTPyD5itAJIwA15SIPI/CxHlG9vV6LAp0l0ZPY1/ncqnk3C8gAnBHAA0CPAf+
EGNLuBjTp3AfqoFkxzgv1rEyXlnkIwlcjA/TEM9yF/tucETpihZwpk1qkCa7qa1C7mwze6bXFWwr
eorrqbcNCk4juqKJF24nw6Vgykrz9xx6jzW2l0eVGrxSfu54J7cbzWv8xfXOSyNqKuxuGOoFGb2A
iyFaoOkjikxv6hlhTZiNziGwkZcEIBVqIB8ug9gbppD62QpgR7Mr6a9sk6djLuZyE8YzTK8Qx2Bu
BvcgSQ4zGXq4tirmdSSGUoNNKc0vPIy2kaf7JMNdTWlAD68xzG2TQgQOXXNYF2ZuXtDrBU+RRuWV
6fIdWntL3o4YJvfWMFEFtXSEwIBh4kkKd5+V5XzbzMq/t9LGPMLenteRRXvAU1Fx8JhkHJDaQjiw
KGd2mQ0sYIzypyZnXs4HN7wQMBRdRP4TRXMJ1XI16tbdDKTTbEVeRc8yn8gAoU+IZpNW/qU2HPGM
xMnZNUtV0fd9uW9t+s90wuTVjJX8EAPj2mUjOtoo6gFvDIiHwRYUT0nk5veGg+eWLfOEZov+d5KW
X7xptHd8JQDBMYA5tInpntLQKHbIOdwnRJ0QPVLNQAqFAhPPwsK6ypxmTDvI8kXX7cwEpMdqZFy6
0ctwSM2emAG5JsiXc6tC6tF4tJ11y9qAmHQJNTSNR5lkUCvSsH40shE8FqPCG1jRXOK2zE5g3KFz
SBCSzVw2G98ZSljgJh34pE6PflrOXwoKsCOh1HcD1IpNnHe/+KiwRfaCjnoQPLxPpglkEapcB7nP
SlEokpVBoxkAGz0JMjPatL8owQQe/YyuTV3Rk+RiIjoehYWSuDX30LW/hpplYZV3IbBjNGB+2pfm
xnWS30A/Cx5XEAUYRSsUSgh44XNYpzEYXjCWfG/gXFwMczg9tbTLN4xl+90UQK+L8tajIgjVNYO1
Yt/4PVsTnNJAFUjKCcg/+kuUhUMaKJtHz2INXcZbJQmzxaxUxVo0qoIzzBJUk+3+SrZ2dqx0xAix
p541zTm8Zk9XsTtB93Zf6iTb696TG3+iPbRocjD79sRspVl6i9xvWA9826iYkf70hR7hc9LLbPII
SXjhu8fRLjHMJse5OjUm8BNQ/uY3p+ycH5G9gLRcvEEK+so6hnl6bfmDu1ZdMu3y2Vc7bXr1czw0
9BNctsdENpt0Z8LxiOLceuULgOk0Tl3iZxJiONgbXINwZDG1gwarDqPoNPeyI/rRjMqqoPqoSuO1
XpTDRQVGJ0fktye9271i2Jds7VE0r37YhT+NAhZlnPjRzqqinoDGBXmZ9CiiEb+BtRa0s/qye4rQ
eD2bFG3ocDGbuj0dq5Xnk0UUl134yFzYpyxPk/uBZJGTB5Iepf3Ugq4aiBhzKkYGEukN/y9+Glwh
Dw4KiYuqo1+5TmjWoIRPU+SwEbz8Y5XkFS2TKrvgazU/2qI0Lm1G+Pu06vjEUKxYHZUT4hh2h7GL
7843XwDWPDdmcOpAuYP0p7+Ueo/l8Fi49PUsmji31ejqqwC9OToNBHUMYEMel6J4ja0x3SZBUpCZ
7C4GchIA7725MC/srCNHgV7tXthJ9MVeHGGma4VH+mXJr0wwjzYRkt2YBVrT2urGrdeO6RV7jeJu
HjO5M0hB20FpIZtAJU+RIapi3RziglgXeHEebVpNd51glI0TQFA+ZHor0DvKizC7xr4Kl6TzGYiU
rY3FI6YPocH+LISU9inqF8qGhnFaDxnqEqSeTAGQ840imte2WxdbvibRtiUpgkMQdDGwb91MxG/y
PIgaqX3hz69+kUqegEXbkUfVZdAEMUpXA0K7yX8GIVmenHkWzGfHYuPJ1ttrwe1SNUAC0wfwBezn
ifay+UKmkXNQcXFvVk21o937fxo6vNrkjq+s0SPiKBm/6UGX19icwldWt/EaVQjCHaigmEcdHFUd
QQGAnrrsjp7w9NwXfA8YxBaHIXUfq2qsV7XLj/SW/ypmy67Iu2F7B3caHYGcnie24SuRzdEeZp9e
4G146IS9zHhaHhletqu441rAhid5BTNKx6ZEQjRcolZoRZVXAZr6VaSos7w23HbgiXP8s4O9pMO0
EH89LxzWrXvXJ2H1WEjAPEuaUXDljYm8RNVXbtQ0MQE1xXRdxZlmAW/1jZXTKyPcL90HncdT07se
0iDm8IwFCd6YvPpY0Xm+Y6gRAYfNf6DtCbaAo4M7FVbWYexBycUMEtEX2dmlDgI8uJld7HsBaM7v
6uB2rNQrePr80ip6DL5i0FD2/Xk1sXW7IWGK7zOacr4Z7NitsfDvlUIrGbglnZUcsmPCRJNeSM30
iH3P3ejiMYgs+g9iAEfUxqW+qfuGddSTS52G9yMezYTOIbduMjExJQlxCjzxxpb8yOgQaSRWbN/s
hfecHzreSWC3fLCG1iPBNMKNAj+juXcmTfgUq+a1ERC/hKjRwI4DMpONa8SSqssfwVJB51XV/9J2
371mqgt2KYlfcOYgsoSG3+9pYOYPZj8FRMPIlgEX5Nk4RqrjCnOiZQ2F0EdsctW6+K6JFyVbwgYw
ICdO0q7bq8bFL+B4cnpq3MqmwejLS2Q5+MOV9U3DlIhjWk6wD1sHkhup4yA1vb2DdOIGmFeEMQtN
B/F2w4Ycrw4VRkk7LUVPbOCotnxMZjotCVfI/RECFCSf1ktNMhMteVmiyt8p0XsXVTaXe8NCTNPN
Rn3g7aOqbmi2t7EbbQI701cpytgN5R2fpLb7WiIvPDQIaO4rPTc8WwQpQlKId/SjhwuAn7yzbkPd
Ppn60bfMezd1hk1cTPI4u85Xu3fAyacsr23OkALlpb7vMNUdk5ZFr2h5PioHhXZqdOGB6UoMuIG0
jMkjLLuukGMxXOUloWtK8WUIALbMna7/EjcPicCBA3CbvQ2u7GZqJj76TXFlebgFRIdnlDe0Y0Kd
5wfoWibq7y5mLOpULxSulDuoUmHCJGnHd1Ca7QW0LR5cGEEG0iX2sNkPKWsTcmBYHZzYiK55rsQF
GW0zMKnZxUwYNsTzFflPaiFcsm5bfiMUCfdwb3TuymKHinTRxm5SIwWhr8cu3RUWH0wkR2NS40lK
MM8YaNDvBS8X30FLbtSMc6WXNVaryG+e67puTmZDtmNQ6WQfTCNR5qF0Nih1XxABMBYEunksWHy2
qg2grpcMnCUu7TX6HveQxsAEROfxxZ/s793oVseGKT5GI0ZAjYWEOUXavepJLtoM1vAy9om5x3Gv
dzqT3S9Si9Sl5cVMjzzzFVxftqvhrt57g/cSuhpxW00HgQHaT4S+1pbpDRvVKCUw24D2pssBWYjs
iNLqFb0/s9g7klLNwgsOrMbxd+6EK1CS4LWRgYF33iOVqxjtgje+FNmhM0RwZzttdi/ZN6Ieb0ca
97SoL3moXquWOUWZFWwgdMhq5PfmdrBNpKWNZa5c18g3I0ZekkpyUIXUcetxxpiJMrDYdgHLX+sz
cSKgL8QiF4370QhtjEA0ZOjmTC2RWfAQPcdtL2MyLzbcCrbioTltdZr/tklQ3MB5Sn+0E41ux+2M
l4qgL5oNosWFKO8rKswbBmxwqEx//E7Z9w21maLpii2GGNRxU3c0joYemUIcFz85OV7pYsTqsQSO
FDHTKF2GzeWYSrlq6qo+hXx2DmEJLxPdHxMK5qp2jo0dNQ7JKgwybCxxiRPfOMREb6wME62M2EG5
o9dh1fcn/8Im3YQiy52QF7OwmTP4mY7YD0RTKJsat54vPa+Hdhzq5Ln16Vxrm6FDk7A0OObANaQT
tm4Lw6D3VteQ8usGic7wjbhJWstJ6gIYMeH44yQZx+LAmMZYJwkWyN4S0xZNNaumiZnCHMgcmnPc
kx6RT5u2b8XeThoc6vVEOgKzxiv8J7dxkuhHFEHxusord4/MBbwTZI817f4Q/0DH+o/gHtOMifDY
NZqj06qKoQNaG8YEko1GN5XBVvfu78Dr+oAJ6Tgu230DlBWOKVw0zqYYJknz10eyDBO3Z56qpu5S
IVgPqALjIEHCXyU1ObMkYlDWtY31jPLouTqSHNkx9CfIpwEOjmzBc3pGrQ40RmPp+EVek3wbOjRa
tjKgnYMyRLsWOJdNGdBRQbDxUw1j9ztQ8AsloF8jLX9pGrN7ZDgEY096Wv667HdjZXLTC4b5oc3b
DSgCpuCCMDX5AK8jDcI7C+H+mF8qGJqromZCqVM5bCplJvsaWe6FpLIiIJHSbdWw3OJ7c5NDTdwT
dFMgZ5HGt9J5NnTgRNVHhljzkyIY4YH/LskFbWhssy4ytrILJ6x8aJFQJJo/jQ4lJg256meiRMRO
IbHZo1ZcGrHwD2SPk18JzTqfC+fKVUj4GjwsF+xKe3wGcXOBhgOOFcaVS5uRHcwQ4QIIiZ1L20oi
EkHHnaiwIpdMRwHW971hPzHCxhopbZqSylWX0qeiZIXA12SJYFtmU30NPtzZ1nNWAYggH8CtI2xt
fOayUUAGcvgRv6aQLIuF/0GDGgVaFK1l3YGuUQ5SzsAx9trqoz3qGYYIWN0Z9oj+WyNl98UG0wVb
lc7SqRLoy8g5dtZz6YNcFjx+dQTLhZTJJ80gfOf6tx6GBsq6JZLEnFG5VgYKGof955HmIARi3GEI
P5dJad7J7wHlwdcqZyA296l5HMLcuQszmrEGuvt7sywxqY2eh8MeVSt6yJp+vMNMl7k31iuE365j
WVdqwDEJpfzb3C2KSRsqrRnhJmf/2G3bNvomWQlXaU+jgra63PO804yTgwREg1wtggO+h2eHQMIE
ybbQWQ2DsiM2PUatFrYjyjfv2iGCBDnMWD+xA7b2PdZwzNDa9y8ry+JViXsKYSseDzZrFmJYY7xx
6Wybh7FChkzSWOKWp2LExeujoOITRH/Mtmu90mnK+1ZqbltGcE/kORDwnTx7RlL+5LaKr0yfkWgc
ESSsPPQBIHsRO7HpbWDJqmQzZxNEMWKIV16FMXYK+YAbI5iylj90HVeGcz+jiUKSF9XPRMPYe12m
w0MSOoqFhMeusZmhMjybGSNDktGRLa9sG0E7y7WFUEV0TFPpYknpVtDe8mI/t0ITidkSsKkZDQQ+
YqmP89PfDWgXWkv8ptLl//7xX+Xry31EZfs//7D+G6UbockR1GLgaGAK1fO/+/OOsIVnO4LBj2Ob
Z3nmnQwkG+2pOOGC/hLM5bqwpu8fH+JfItP5003tSaltWsfIpv48g9JMbUZDhQFo6yWZNkR7Mw1K
pqu/dxT7z6PIypmTxWJ1Gjz9wBtTPKiQfiuSNuNIVS12Hx/uvdvCDQEnbGtPSCn+PFxisvcWkVud
WANYTSf/kwD4z35/+edvbjtG/syqTK86Vd8ZmhC08/f+/CV8/s3Pl7QOsUnz58tp66b7wt98/PvW
cv4F7Msiv/j5P//Qtulwu99cn+WheHMAzL4uLjC/AoF7p5886xT0AMaQ8+EoXcMYg1rRoKZ9no37
j4/82YU7e19aBI984WV1MhwQrZuy++TMPvt9/eeJlWU2hMp0uDHIHvF9h3/zxnt//v4Ea8QwZ+5M
PmPNvqfp8beuj2P++fuuR21StPx+wODXklhp9x8fYHl0/vXOu4RnwbWw6DT+eYCGKXDZKbzkWj9U
KAChcTWvHx9iuYcfHMI6Owe63wRDFQGsJDlukUOsuo7qRj8baA9zNhMfH+2TE7LOvl8alRDSeF5F
fCuI1IfmopafPFSfHcL+85oVIvXEtLztaBtyXNvo3+ZPDvH+c/vP2/LXC/vmhYRnFVho9qoTAsai
XzEo+Pgqffb7yz9/8/s+aPEclVF1GqgxMZQ/fPzzn12h5Z+/+XnLYPeSzNxyeENRx4AQxdrfPIOz
TxYRgqmKUl2daqo9vk6f3IDlf/4vD62WjutReGlHnv18ySLM5LGpT2MGqZ8iOY7XPdsIfzp9fKne
vRNvDnT2BdSNkSGnq+uTxwSN7HkQSx8f4N17oUkNRz0vqfvP1r7MZW5qNTGY7wU/TC2vqtvMvf57
Bzl7noiOHJUi1/ukImi5s4PL2GUul19+fJh3PyWe1Br1uC2Uc/Zyd9nck4ko+FrtUQ8i/r4TE4TL
u4+P8u699zRHsEB0mNbZLXH6xtAEC7HcAtfzrwSBlBv19eNjvHfbhW0LV3psfh3v7BgEmrWtL/r6
ZADf07sSF+LfO8DZyqcYf9az4gBes+6q71FVf3KA966SNC1p2sK2OIXzM4DpyxWcy1P20hDtN+5p
2pbF8eOzeO/hlZZ2tG3hfNHnl8lPWx9MbFueVHc00q9jfdNan5Siy4U4f9Ol7Uis0UJbSpx9q7SX
6qDPEgQRI8kOXnU0TH3jwJpOguASJ8VMCNaYf3Lx3rv9bw969nmhSdxX9NRKWlOvK9v78fFVe/fW
vDmls1szMecasj4tT/S3VXDhRzTKNm13+x8cRVI2MMxhaueefVjyQMdUpkF1onEU3erwVSZfZ/uT
leTdC6WY0XgEgwulz95426TRXaIVP6nkEi+9+uTmv/t8vfl5+8+FatZNP+FF5OYzFI/tE4sVDKWP
r9O7D5hSanmK2bPLsxJrzsoituVYngLGfeNMRpEFCHGZISf01A6O+I8u2T+Pd14zogJV6ZRwvJSy
JJsfJuQPH5/RXyXbv7wzHnfdVXL5Rp69M26bwaTu/OJUuyg+9iHKXL0DsMYUGZ9l9gOM0cdHfPc+
vTng2fsShUWmspoDwqskdyM011lx+PgQ7740HrNKz2F9EecbX8epCc7OOQSRldYIpbX6WTnuyr34
+DDvPg1vDnP2xPHaO7ObcRg4CeSz7SHxAxiZRLzpGVoFHPjj4y3v+vmtckzLlI7DfXLts6evgpeA
2TIsT01+l/g/M3+buMcKgH3/yfV77019cyBxVuYzQcMeozmQ/h0VRyFvPj6P954Ax6QtYTk0Qk1v
ua5vSkoTqZdFFCA/LwhuQ05MzsgnZ3B2CGkKJjwenzLlSJY15+xSNRk8hmys8tOEkiJtD3V6CMLs
k3fnvYPYlosTAV6QKdXZeaQZ4uQOI+SJllhWfveHG798/vhSLT/x5pb/dR5vD3F2Hjqx0JEoDlFG
LzR9L1LG9j5acxx0NvpkTO//wfFsOlJSsAzY5tkjjSFB5wjd8lOPBaOFVy3BXuMP29T9bRm+GvEn
r9DZk/bX+QlyZaVH+o/ihf3zUSBr3hAKL9lpQjSN+MkFMPbxGb17BE8pIUxbERZ1tuoY2DcU9vTi
xBQsMH4N7id17Ge/f3bF4hI9DDPvAiysgL3zCxHlv38CUmHgV47tScdbnsI3b0vXxnbR4bQ+uWIN
DffT6vK9p1hqx1PcdPoG7tnLHiWmZeTNHJ/gOvv9BfMmtH8fn8Jnhzi7B3WAs9qD7XYahoowoeFk
ddVtxJTp3z+MYyqHli2tQXHesSWKDPVs0SWnlujZdDegH5KfvB/vncnbQ5y98iFTmxHdSHJKobxg
R/uLPRzzIW6E+cl9/+xQZ69GhcYXnNeU8JUkImUIb9R4Mff3H1+ys5Xyr/fPsUyTrdFy78/3xlWv
vbnu4TwjS4UECV0VnrT/4+ODvPeKvD3IWQ1bjiwFgWcnp0l5P2ejmRhTDJ/c+/eOwYLPtpiOOlIO
8edbAtLPAl0WpyfbAVi1zvpPfv+du8GKwnIlbNN0LPv8EaY16Hl+VJ6M5qsxgliBqcJI6N++UH8c
5OxbAlNPw5GMy5MHzQ6grvHJ0/vORfrj988uUmgAbNMOJ6GoUcgWT2r1yRm8e5noQdOhYHnX5zvJ
KMt6dNyaoQl6pW9wVJJPnqX3D+AuCy7FHVaTP+8zA0Yyh/q5OHW9OjpTeanb4lj5+cPHd+KdddcV
9v8fZrmSbz66WK8RCiZjcTKFifR4PyuoEmNH1PGNtL5F4bePD/fujUHCTv9Aefzr7MYTBqMK0+Ks
hoi5vEvAQvOfnNCbI5xdN79wUPM1ZnGycn3wZg+48S2sC8J+7iSR2VH29eMzevc+CfbF7PWFw+L7
5wVsAiLIIR0Vp9mODy6212moqvXsG58UEMu346xAQqX+/8c5ey+jsSpKp+qKE+DsCWr1/5J2Xs2N
I8kW/kWIgDevtDItQ7HVZl4Q0w7ee/z6+0FzY4csIoiQZnceZkOxSJbLyso8eU5rbpUKSmzoqrRV
a9USYild8r6n5uQ1MWqZDkEyzwsxlWG0EdgYk93R0V1Q7Bv3zmsWwor5+fvXhHDRBEUGdUKNCQe8
n3nnfQ7zD51Vh9IgOSubloPpJ5zscaM3Ww2Cg+wQGi9p+9spUM7ZXt8Fs6tzYkJ46+XJmABTJbwD
RLOOjENQoxVr/kJaDvXc95vSQdlC+qPrJv9yPprUNRU9plHwAGxkDRHAg5uAmVOUaoUy+1clMfQP
uDriJn0KNlQquMLO01JJjvXBSg9qhtCNH2xD2v0gqFpfH9fcRjg1I7gGkgyd4oNmPkjqrxCcglb8
NNSFQvHcMp3aEJxDMmYD8DEbGyT+KnCJRnwIWjoaZW9rji/XBzQTclinxgTXKnljknkxA3JYG738
YgztplWzLRRt1w3NOVXyyzb+0qQH1hYCKFlNDFuRPSrsqXEPwO2T5vsLJuYWhy440tf817Y1YeIs
zxxCj14TYmcgpQMk+l+AB79/GKc2hPkqFRoLNTQNDwlFVXBSygf28en3hYNjDKaeQqXC4gcwbo7V
xmkh3NYX/PTcqhsGpUlD46kH48358Ww1IN6m2ScH8jF7SX8q63yjJT8zdfuB2SL/SwRoOjL8GOd2
KhemZ9WKkoMrvQTGLbDp69+fHYeJh3FU581vnn9fS7oKzkYzOcgjrPGAW/1sVcb7X9etzIUfwAAt
Q7XAODjiS0b3e6+3oCo4QCELyyQMFH9pxR2UZhsL/Si9Wgo83+og4jXKNjZV3dIVmqaF5ck0C7Iy
M0aiOzTGe0syxnUoldpG7hWJBupCvzHb9tWVC3iSVWPY0gUYbluYg1dllkHyX8D/QrtNuVJhoVgH
qpPdubambK5Py9xxM0l86WjU6wrlvPPJt6BlAi/q4HLTLxEl59H8pjYfuNtPbQj+Fty/LCmylCKl
e5CKpxKsuJQvHOnZ5T0ZhzDbozOgseXgmeDUu7PU7gXh+ddM1e5oVt6gKAyUNozeV355i1lOxyW4
kUSh8QFaiPQAv6v1WCabtviIBZiOeCPptqWKzhAw0mgpkI4cxgxCyPbWb3+kQ7tw/ma3wIkRYRg0
gI0WLR7ZoUVkQ5dAixolIMvPH9hoRHcah9DUiMiFjSYprQkJGAuU3fvduB/pXFR40ly3MnftEnwB
YppSfBD1nVsJ80Jr6LYkxmuzzRh8drN94iBYWnz241/XTU3TIp7vU1OTWzuJ9ShaKIrZEOv1/Zeu
fdQWPj+3Krh2x5SBKCLjLhwaKzViK3I1cvpe/Mmz1Z3SwTTs2wvV3NlR2JbNVEGggv89H4UFeDI3
25GzqcPhkMnSs2TbP67P1NyiTBX26QHLu0V0vTk8wQqMxtkB75XUO+TiZH+PIH2nbK8bmpkzcm6s
u0I2YfK654MpM7CncJFGh6j+GYfbQtlF1sKyTNtUWHXHVgmATEpV/DON9WTVnSyUDMuQooOZ/4F6
ivbxtYPgGMobaFfRTPdUDAs+YOZ6PLMoPFugQtWMiE3APkPOQnsoPFgBRhMFmGHh8MxNH8BJU7cc
x7z0Nn7QJjJttyT70IrqQziVEZC2F+K72eHojuZMMb7MATqfQKDS/khXM1kl75uR5PvIvIFyAR3C
7gObgbcLFVhbg15Dn3b+yUo1ZZG2EGZEB136OinHKfa3uliI8mdnzJKp8Fqg1y/QI55q5kgysDYp
Xb8SzUtPcvf7+p6em6/pwW+CmNXIVQsXm5kVgW2XekzaxFjTebuSQQJC001rwMIxNWd8geMAczOg
9dcpJAkuWgrrdixpH0UkI6ieC7P5q0BIDrUiLaRj202kZzd1n4I42EkH2hN2UmzsIG6mx87PpZt6
VJJvlkIPrVOPSHzkITyrqP18g6ExuOlGNfoTUzXYOaPqPADS1+7a1oMkj26urZEbFCoktb6RDaM/
QJRPq2nX9Xv4KcING6k9lHEIfr6Tgk0pd+qvLK4n4gcaFVZjpTk/ZXCS/VpN7QYir0bdjGPR/al1
+F81+K5/l3B6vcKJFP70ssy5gUleuTOyRNrYTdzubd1+DdsULSYPgFEgIaEoZ0gVg9OG0Ujy6Rml
bxAVbT26iaMg/Q1pS7CFObVYeSaCrSpMz/sPLDvnkGqrw2NLXPYq1CPQFTVnsdjDvvTYS6s8XLAx
u942RQpyvIYB/vf8hGRjbGlFjI0kr7aPMiIq7x2DTRqc9LFpGBAIiBAI04RpeurTOKBx83s0aB8r
46+dr3xKVGvBdV0OxZbJJU9lNi5MIObnQzGyvg3aPMIUrYwUXBaeWorK///c7fN9KPBNIAoTIEk4
hVmmjEWsUAehi4QOFJ9qflEgWllmk85jfedlPfot8l+Da0N7N+5VLfsmh9HCz7j0BdOvoCuTHJlp
O2IRXoYOEqYNsv5UgA99EN7ILQ9+I6tubKNZX1+8y4D63NY0Iyfu06ALVjMCLTrAu7WblJfM8Rbh
k11evtil/RAuuevZFSTzY6kKXbYXCcCuKS1k3yibJK27y9EmalXz3fudIZFdYlfq1DXEuiXcD05t
k2k8RHCGqt7vKskXJm12ELTV8d4D9qWKr6nWl1L407TwMEJCewdDxvU1mVt/HdwdboFuIqqX52vi
SaWaGbCqQeDdPMWxs1XgJ1gFVvgZxcaFwHDWlsatNl2dlH8EW52sOpFTuCHU2SHtsqXe0z5Z9Ujd
9Cns3UV+uD626XviCeOWc3jpKBPQTDhhUQuvvtOF7G11H9lbCY3HcXfdxNzq0M4ypUp4gADPOZ8+
SDZowbcyTPSeBWe7mm9RQukWXrvTV84HMoVPqkUYquJcRUBTrCZp5URTaW74HLaIDiMQEy64u0sb
NpAVyzBIBCsAV4VAN4sVHV7hlJppqm7l5ItR/LDHnULtyaMv+PqszdqybIW2KxnvJ6JKq7qEN7b2
I3LaSfvZJK+5NnhtU0vTXHcfhrL1Y3R9Y8HVzW6HE6uC+3EIPBQ3YTvUfn8zRRBrU0PvQbYRBr4+
vllLwOd0YlGFl5Cw0T3QYDTEe9HByL6nfbWCXlo13wcAJlMwbWmHdynrRTAnbO6utzU4tpzgEPCO
G9uNk0I3tlQZmNneZ0amv594bG9CZYQhRpK/dWh6QhIf754pfA41PFBGjEYM3eUhk+Ocvt/DRClW
1/LXfIgfVK9ZePDMjcOi2qmS/wV4KmKy6P6D1StWGccXtXqVguP1Ucx+HsAsKDNgMqoIMYIloSao
5vPupO5yo0bOwoaaCxZ4fU4Vc50OsYu4px+SalTlPjiA2Bwgw5KOjmLQfU78ifoG4bvVZz9goDGg
hIWfM81qZDTgPfkE+w6qJx8YLghq0Bs6j28xDZlKQ2F3kJ0cUHDaIKr14Hfu63UTM6GCMj2AtCmN
eFknGrpSQQWajRdrX0yIiuDkh437UxE6G8VXEdlbWMGZE4s9QgTuWJ26uHCa/NyMW3gOuJrc8iUx
kB8sgpu6875dH9bMDYiYu0wsRaVjphrl9kNT51pwKF0Etlr5Lz9zb52xBwarf79uanZEzvTmwoFR
bhNGZFdBamQIXBzQV7Rgh8oeu2p93cTstj8xMf39xDsUU6wv5yxS2036zWDE1mYIfdp/syI4Uzja
PNmDqvIQRDeq9mh0N//t+9OanYwigfwvq2y+D0oUdqf+2ci8hcBnbqJYdfBhoFJU2XHOTVSG1rq8
e3E/aKgj3LQQ58xcp2i+kGSBMx4YpVhC87QK/6rb5Nlq2urvVfvoBF/l/t56Z1fn251DQo/XEFHC
ZcKVJGlY93XkH9pR2kGMvtW0eAHjPjdVxDpUuhnKZS7HKGiSmp6pB/9z5qyCH+9f69OvC2sdOwNU
Q8jmAN1ZZ+mnailb+JYOPI/UbK6Bf3/+tFQnm6nMqwHe5OnnK1BkwjeMAtdaCodtFvdPpi8NK0Q7
fw9t/eDp/SuN6wsDnLsogD5ZCnAzUzEu2gvx+XE90N9+8CL1yWif8/pHKjVfYHmHlGCSANXoAa+V
raaEu4kYN6In/d1zfPoLxO7DHgZiZDT4BZWpP8uZ+9oGzvsjOaBw1JfYI/Rmi3g4z9SLritV7yA7
sBU/JOVhcBbO1Iz7xATNQvSoIC+pCL7Nt83CijXTO8BeVSV3o3YnudvrEzW/ViovFNIAsmWKfQNm
YEQNvR7eQUqc9Dsc2MWmH5T2RrJRijB1x9vrBjmizHIleFlIS/mFDrHO4Em3kQbZyPWfMztigkqq
v9MLQHxodnmmlgj8+IcaCZzkm1H89rKFx6bYxjA5EPoxSHE7vGaJi4XjkSVyS2ScBgf87S+Klj9h
xId8/XddNDvFTO6btHzVIniK/InM5vr4ZjwLyWFiFtthcEQW50eztqGL0SLbP9htsO6/joG/cB3O
TuCJgSmmOTn7UjmM8Odb/gFebCX6FOSUJRcw+bNjoHEcaAaouotwuZE7WKWqnEBzhGyxRjmp+PyB
WbKpntCDSY1ATLDZUZPWldQGBy9E8iLSkNHJ4mQJlTM/jn+tTH8/maoavqU077ASQi6jg2FpiqU2
jJkIcqJVMAH8a5TMxfesk9uZY5VJQJK7gB8yQND7GI5teT+OfnQz5Mrw5MieuoEVbylzOBPlccnT
LMnTj7yAWJwq9DF0Op1gXSpgzenrOzT9Pqtd++oN72zS+OdAnZgS9pzbg3dNK0wBonNXbePnjyrS
KgiHwMv5gZ1BPc/QuZsvQcijkWkSYtgElM0+PUb1Qhg2N2l0Nk0kGIQwwFLPt4QbRF4OLVNwGLR9
nPWPtvZJQe0corfd9XEsGVLPDWnyqMMbi6EyfkV37V6q0F3s6dlYgmvMbXIktFWS1dbUHCaAK90+
rKE0lvyDG+9L9WaJ0WP28yRPyDE4BB3ik2Xw4gj+Oj5fOY/dK1QS16dpzptRXAXDQeqbioGwsygb
5Uo45P4BrmwPSQ8P3RzP6D5BRbkE15+9CJHSdjRS0UC0xFxGDnESnY2qfxgqqV7Tp0XvTBShY+xC
loCiA3IJgb/vzWBDiqrdGGGOyhA0X7+1rnEWUgVTLC5EcKoBJGkqWpKg0oRx976Zw0+VgFCMgSZS
5qjh3BzzHTR7sAxZbbJOPVhbmxTxLFjLFi6p2VmfYl8TrMEEnznfnPRDwefu2t7B7O17Bb7wuEXY
MN5fX9vZI2CxptM9SAJOeI+g/JD6MAH6Bzmrf9ohQimj8zsqKLjV1cJ0zg6IRkzAXvTE0RlzPqCM
G9noEJE9KJGDiHkx5E+NUaR3XdE1C3M3rYy4clMem+gCt8/inZuCarUthoBd5JtN/1TFgHSM4tmo
zAHBJkV9KL1C32hlMSw8WWa3r0oX1hQqOlNt6tywIwVmIYe9Dywrfc59ZxPTAVQjvIT+zKamDBlb
0JlaiCmsXbXedFQ/oL97P1AY6jkokKYeEZARIhom9DM7H/M44cGPKpkGcdj3YunFP7dxTmyIXUiI
+VnwvGKjb/ZZB4OnCcvycKt14QcuGwAq8gQQtOFIFXaoSvuREqEeepCjG0tfW8nx/SdAdRwANTAC
0KQg+GZSzEM5mGECr3i7r4pvlEWhRP+i1gsB29z2n1raLGpQeDhD8CaeGklD6w7JQaOtHWraNeBt
CfTQ+0fDIwUPqvAwV8Rcj4H+mudEbXIohx1EwYF9i6g37HX/zYoQtIV9VqYafe6HDjbjEgHquP87
9CG5l359wBC5EkDBJjMnvr1aWU9hyJXjQ6htLNgVHYSY/x7qj/haMibTO5IM2UXaxAUBUZowSR0a
pWlWTpk8Zlr9V2NEC6+euT2ADYsLRSUQFfE9YdBrTm81IDpG5CkyzStWGqJfY1K9Xp+3WUd0aknY
bcAl2tKBXvsAhfMuhdkylJFVkuDdjo3bIDDhJpB342gfRxMe7Dh41TNl4WDNRSVTepOjRUnUFmt8
XhVWihSP8cGy679kw3zOkPFdGKY24+gpeKhviDxwecIlqcDgjapHmhycwvisF+MmGoNNVzC8CEYz
m6apWK9Ql0KnFhgQAlt3SRbe9pW6uf5DZheWtwVlX1oULnMt4agm8CcnhwxykU0lFZsRufJNBdj4
A4YIRd6Ae0RIgreKkigImgZv1fVR+BmxBG9HO6iXoBtsv5NZ7e1FQR0QRKU8hQbiLRqNpVebNZOr
VHvnsY4XSpmz++Pk88IWTVzLNZqeG6RFtqbz7FXz9fpcTbe8GAVQiieRL1OP53yfX8Zl2MCNq3rJ
wcvHX1YOR/haStI7bTS2XVVvrxub3QE2DS3kNSBLEdETigObl+IAdbTsJxpbUMt7ii1jYfWVeSsT
IwsyogxMuAxrJ7PwhlV6qHQ1gep2fDJc+HiCcDfJN+hBtM1XwwoqdB0RMIhcM195QroeuQ+/XbiX
52aXMhq8fmQX6RoTZjdxXfR4FDr2bdr1nUH5XmRosCERlm/7wvrT+GgEvX+KKcjAlwaaFEDR5AxO
UgWh3LWRSzHjMEifJlCRE3zT1b+v25gLaybxdWCPUJNc5ApyeN/rFlHTg2ZDELJV/J3q7LX29rqV
uWWcMrJwgZI95yo4H4nlOZIfF3pyoIC4L+pk38nKI1JtC15pLgw2SHGRHpoCUks9NxO4CqG24ySH
RPnuQBvver/lql351rcGiepGGRa259yJPrUnLJCOvLmv2jYOA8pW44+qLt3TcwamjDq0J+iaALI4
H1DWcv4KI5ru6dvAu18in5r9PBgRi/CZHSY+hpIEGRJTtyPi5m5lSuUqL8aFU7NgQkyJk2sfYeoA
4Zv6dXI79EX8qPrIBV7fX7PZVaIlWusoAOCMhAdQ09VDKZfARIwgsb4jiRigDyAla0Nvuxv0ZaI9
BLHKbVHHLjCfAIrnZoiX8Epzu5y0OaVbUsn4KuFHeG3RxLXZEu1II0zb6bdo7G/SuF8Y7NyUElGp
MKxwpsgbnG8Ka/QDZUymDjjXXcNovYam9/p0LlmY/n7ieAavSiE/xwLxJ2IfaA9/5PtwXpAKB28j
C9+Hnd/2rUyKD6P9EG+afuHlMV0K4j1IQXvqU6ZGb4ieGgmGNqxyottW/4Sa9gpNuTVKMyvuBihf
HZiyDWVhRHNu9NSk4OA8Qu0gQ/Sa/oJkZWf9OilvVap42hLzzRvC4NrghE026jVwvqTmeRhYN2kZ
3aS6CfF4uENs5K6DiQUef+/OhsPAkeqvaWpuEE/83LjhwtN/do+AoSaQ5Urkbj7fI5ZntUiCEdrr
ffXqxN0dSPSb928TWikoDxH48R/BhFFIZpYnwERp/fI/227i3tsIAn25bmXu0oAJYAqb6NmnA+l8
IG0GZmawx+jQm/3G9171kOzrQ2Z8qo12ZS2R0E5fE5ePgIlskDrRmInvVSi/vapPQM1pSMSv8ta5
SWLn1o/iBw+eeydulx7Ic3VZ0gn/WhQOmyNV1M9D0G1I2j20iFyvU7m8G5AXW/VJc98X3k5qUdAo
kaCyLVQS0NvbXJ/iub1y+hOE0ElNhnEMxgQSD+QytY2fLDwz579PJDrRSRsXPNJGix6doxTcY96L
Gv8cIf++PoA5z06fyv8MCIGFUUc1kmisWpDA52xAddzI8U9NX2J1ENwIKW0AYeS0QaiDEb24kBGd
s5qwaCFBGD8N9peoRhmkRZ/L214fj7AL3+yQJfwnCTSBoM/3fOCXozFQeT3k4RP6XXrubWAhXDfB
9yJf2oCCN76wJTx7yt7VAlmmnXrov6feH0dDsgIFaAUJyjh5qKp7ZalUODeLRH8Ucum/IMsl7Hi9
Qc6hCPr0oOjowW/r7JGMI4Lj1+dQ8BvTuAg2gL0R03LViCe5UfJyMAL6MHXtzuAsBdvq2+DcxOpN
0f26bkp0+he2hBF5Nc/6ScbkkMFPFCcUDceDzkM/tH6PBaIFEsqL6H12vxzn2EcoDlYLgxVO2D8/
gF4wcIogsSlWnW8YzwXQ0WQJtCl3Ftoq6YKnn1kxXT75vLAfHS2vSm2gp03OP9EmJYd7ybvLzQUs
knCKLwYh7ESKAkDTOqwUyZ3nb0b9ttHf95yaTEC0wOYjNaPRtC68V+MepTlEvNPDjzj7q/XQkiLj
6W0WtsPkbk4ukX+s0HoNuJtK6wUoOkSTUK80jlT0t7X6ja5PYD3b8R2cfo10pzePyI37zpfrRmdc
Bm3x/7MpJmKQONeSNoWCwfKa7WB/jXJn6yF3FmdH11nIlMws1JktIcsVuo46aj7uyabc1EUWwj3F
Whm+fWBEEzcLT0K6D8UEdTpaMKMZHCrV+VIlG9T7pNZZNwYa6uOP66beSCovVozTA/eXhtsVc4NV
mFqdPDWGI/9i3ceHaKftzD9GvYnXnwv9s6G527Z5BfdNeg8pYTQx9W0QPznZA8oXgYsY11M8PIX9
bRHsrv+0i5MNid4bVptOCGP65/xk93FRS5LvqC9QEX8r1VctNf/8NwuC86r/Z4H229R5/o9fn/bS
yVulLalw+CG/v1RqRDg3Eti867/fFE+bMEPT308slBC3IJmLBQvRzGzlUZk07qOlMz1rZerinKAh
sAEKzqlVCoR/qlh7QR7MXiVGeqO6dG202k3adD8l1dmh/XVQ+/gvBcXb3iiO0Lw9e2G8N23UqWg2
Rd/XfWdTG1vDpJ94SkBx0cEoITjmKHN7gJ25f2ycr6b5Gr4vcLv4vDBofYzqqEPO9FiaWzPZLZVF
L/c2kzldV9ShCKtEXFcRBTkK9QYChONN0+/DfmFnzH+flkIqG1S6xKdDkKJ55kqK+4IUZLoy7fde
uhaPfMpAXCg8F1DNON94aloouSVX1ktZPZT3mb/gZed+va4AzYULAWJt8ZlMJzRcbkPvvjTe3bAr
+/evLRkKfB4Vff0SMavkmZGHUuwdTZ7eKgfn3QcfJr0pKCd3CS+Z2F+r+XrVxxIPtICOcS/7XEgL
bSZz83NiQBdKD31jKkNa2oipI5Hm7dNsIU1xccuxvGRApgIKxb6LckPv8a7W6sw7Og2cvKsBqTvj
AxuU7IYpc28rzNU0xBPXlcs5/WY5evCV98t5UOmeeq9rhB6XAiKNosjd0Eh5/n1DqmtpQPL1iAca
vF1EeW+8cdT3b9QzK8I5UKShrEtNC45Buq0H5N8WRjGz0GffF65AtGvirGr5fl3e1sEtyoXXZ2np
+8Iq8MsJbQM9OA5fLH9nF/vrn7+8OabrwrHpa+eVT+n4fBECw3brsdfiY5ZuVHMV3/PCkoL1dSMX
4R9blGzFVCIggY+hcyNVUcbQ52BEbuqVi8Rn+imQ7ksEGJa68WaOBSdiQgGB57gEeiZBk1tW2FTH
xH7knYiMt+4s5K4unqSk6k5NCDd6kfkhN3FRHSMz83Z9ilit7Q3FA5po8rMTNceqMoLPpt5GSCUm
aC5en8s587wPaCVQ4aK5KBTXKN+VIDxKxGI9a12OZbY2Jc94zFWrfgpzo9nLI+3ITigbtxVR9wIu
aWY7wkD3r3lh9Kkvj7IuKeVxV/TfImkhqp5221mky9zS46rz/HZIgovZaaPojUGttfLYK1/K8VjU
60FpVlV769jNVvJur0/l3GahBjLh1GkPvaCMsH1Ktmprl8cm9lYqOsKF8VvLl+AfM5sfIRAKcWQI
IaESN39cp5ltZ0Z5dMtPbhts+uQ3RMErp9kim3h9QHOLQ38/sDGOmnMBoEUZu5g6zMpj5+cvpend
dYa2cK/NzdlES0JQBJ+uIvawlWnQj3ZYlsfM8doX1/HV50ipJUiKJHnhipvbDGDqGQ5lGVo1hfvB
Q95TDrWsPrYaGH5L+ya56k1nViiuJh7YMOWpd9OFO+8NIyPuQBSm6Bf/xyEKrgpEUFPrEkYTtLDR
lTR3PtK18Z9R9Xce9tum/dqFzXM37oKWru88uEkcfVfU1sv1tZyb6JMfIta+6qKDmWXkh9RBszLb
w4C6UlZ8vW5kzpmcGhGmuGjyKsrDsj429WaUnqLhzrBQdtaAXB1D/65aOt9zG5RHM+cNDBn9mNOg
T0KKIIqMKB8YlIwqfFnTNeguXDVLFgT/ZKVuq+hJWh/LAtnU0TCiVe8uHDOxYDi9PAjbAcjDighB
vVgwBG4gd7oxVMdKekaqPZuwY8qzU3xXtPRGd2+qIF8pYJY+sFgnVqfzcjJ5rlUlaTqM1THuU/R+
b1P9i9vdyXBBdEjHNvGqQLX8ukkx///PSOn5+AfYS3FSsAlNt0NbVn1M42ojK7dJ9913n3N3X3jb
xL9tg34VSr+rbGmss8t4Ynf6+8lYvWAYlNwLsOvrT+j5fnXTpdTy7AFDUo/iDZ0OtDycm/Czuuqk
3K2OGu8X8yHx97W6W5i+aXouvMk0eZOCAmBzcfrsVIKjpuEQJy1au846dA5m9aw2n8CsrJXqT2b9
ULwnqX2lASF5txoj2xSMFYUNCB0vS5leIjljoXEWBmiKmnVdLGzIuUU6/b5w1uxw6AJP5/uatkZa
XV9iCZ67AE6/P92sJ5sAEfQojpQQ7wS98tYNkYkvdFCAhaXU66SfFKjjwT9KI/Kz1xduaWTCUdP9
rghjm5Fl44gTaVdJthB7THMj7gwWhncPWXEAasLuUwab45zk7AzzxjG/2BUhziFQfr13HBads6C6
pn5znnHCOEI40bQh1KujspO0dhOrS8W5y0M0GXDgo/jnkhYc+mh5utcXLQZ6ZL73qlyuiHuvD2LW
xvRKgYyGcE1kD9O7uI+AfVTHLt0X0TZW992STtDlajAMHikEnbyrL9D2qDe4rS5hIkOHqt7IHrfh
NooWYqfLXXVuRTgvidprZaNL5THRv4Xak5Nsr0/U5W3O952JPP6fmRIWo+k1wufc4IIovlGlI3rZ
92q26uNPSXUzFI+2shQuzS3NFJnRr8XkXZAQUw5BX0m1q+PQ5RtJ21kwhldL2LkFIyLmXGm1nu5g
qzr6+dNo7J12Uykv12fu0tPwXJzSlaS04KkXc3FuGBYIcXPeA/L49dYo1xS1oTvr/E2wRNw8P5x/
bQlnUu5tH0hCQoRS7y3Y0fRdaG+uD+fyyXE+HMG5gNLvRxM6sWM61OuwhqDOopBkqCsVTE5ZLj1J
Z6KEM3ummOwKWtUbVabP915cvGUg3cm5t6qUTW3fWOxEKb4v+rteWThQc8f2ZNlEGGnoFhAx9oST
GhxV0ZMKebCzr5ekeZesqOfXUGs05WgZWCHa68PvXvjJL1+4i66v2cK2MIVQIa/VoIE0lzmU7hxn
o9lre4k+aM7/nE7X9PeT+7Q3C8MuBraFre/UDir0hSEsfX8a4sn3y6avR7cqGEL/tXfXsrxQgp39
/gQ8oL+F3IC43Fmmw3rTcXI6kIZ+9jhWv66vwawB+nRIhFGYkMWChRT6mtwVGtmj8Ku/C/MvH/i8
hqfkwoQ0TsxulL0cNlB+VEe9h+h+rS44sdlff/L56e8n069T9rTHns/LqrQlE9kku+u/f/YgvNGd
gRwkoBVei4GrakOruOXRCrO7dPxSknsi27BtyqXYfNaBTRl6hwTAxCxzPpTGlgupBOx0VLpwK5se
Te5ZvCrVPlnVTcrrcQktNvOkmxKGDAtuLbjPxddAVIeku029PLa0fAx6tw4h7vdAM1t3kfXQJcxo
K4HouvnAlAIAIfc6PUXeSr8na2Y1ges1Ltm8LipXlOtp6n5Mk+/2Ozm8eMcRFFAaJAk7MZWJO9vr
wmAAM0bSMuKlr7vbIFJvo36JB39uC6qwuk2JZCrjYs1MgvtQSi2tPpoWIizG2O3jYFwiypjbHKdG
BH+c61JbS7FeHwuSgo26G8xoVRXfoX/My/X15bnEzkzzdjIgwSuXVuE2ZWhhK3323c9dFa+MYDfI
6UqSj7L1ifRPzf+OkdEZ3U2QLFxw8/MJVRCVKop5YlyittRWW2rTR0P212PVPOhu+/36EOdMoI01
Yd+gY6SYf37UtCpTIq1KmiNpvdWza/ir69+fcxqn35/+frLD/S5w9Urn+5bmr2NzXEnFo9VsU21/
3c7c/QkWjUcCATBUFcJKxYVlN2qSNUeayW7GEJEsOEHjpvuAD9RoMIYviDQWD7jz4chDZRuhlDIc
U4Xhb+cMa1VdVeTorg9nJiLFD1GXAVVKA4uYeGm7XvM8X+6PmZ6vzbrbjsptV9xawaNaboqlmHRm
E8DYyvuQRDU9ByLRkhT2XZgn9XA0vV/1ukz/vj6YmT0AnwMyRrR88Ry9uPhCc2gN3+px3Ju2243J
bT3ucafXrbyl3c7f1NQ8J+GiieiDNjrBMSRyY8VSOzJndCNo3muY95vUeKF/QLceEZQ0Mn8N6g72
XmudDdkGCte17m3M6tGcGpyXKvCzo9YhUIXnEgcsloAzXc7Mog6GY5Pss3EbdUAs7sK/rg96duVO
jIj7MdJbpZPDAQeVrF6z8QOPb7jz/h2EMKdBS9rF8NLhGFa3HewByUp7Z1f9dDedmRBOLk0IgKW1
hCGEP51wbX+SjHUAnvi/TdQ0kSd+KOylYSxMVsOvbnrytdXh+veXVlvwozoNbTQAxkxUc+dnG7d9
GJ1PjrX9b1amX3EyCnOINCsMouEYGPfQYq2NNlklzp2+VHuZ31acVkIGmpTEWyFTab6W/Ww4VvZG
sdbq+4Fj05r/+31hHGAalMDu2FbKuOu1mzBeeCrM3AZn359iiJN5cmM7AXRQDkdv3LrKrmhX+ZLM
yawJWjNoZJ2qAaK+hWZ7Sew3bn80h5WWb7tgZS7Ros2uwokJYZYKreyTKvGGY1I+mt16LF6u76al
7wuz5JdaZMBB2QMiWVvthnN3/ftzU/QmvgTWFJUBESku99QK21odj4b5Eso/h7xdheECvmMmGqTL
Eb/PrQVno0giMQw0NfdBLh8Bta4k9eihVh0iymfdBW2/uz6eufkyWGogW1O5WEznK1XuJ1lXyzxL
7itZWlftUlPg3DuEB6IF7Iki5GXPaimPfebxRjl6OvQinPI0UuSVUWvr0AqerHDcS2r1Y2rXGcMl
QN1czMG4aCGY2EUumlRrw6i9AnTD0akmlLYd3qneXazvHHervrNd+s3pI9xBZEgDydSvcH5Ak6CD
9Uvy1GOjy5sGrGK5JJk3HQ4xGji1IByeaqxbN7ew0HUb7zHc9X+8d0pk//8gNNhu2HnQhwg3Vzek
qH9kunKUk43lrtPoJvQWHohzW87mQUoJjiIVT+LzebJcV+9Hwx+PmSqt0P1e1dbCIZ21wF4GlgPR
xoXuuhRKuY9o3Xis7QD+uHD16/qhmXMCVJ8MEgeEQYzifASDEmu1LhNbGnW4VZIHN5SgFP/ANJ0a
mQZ54u9p3iVdUefDcXRXLkrV7xRee1vp0+8LywApzRgWDoPQvH0tr3tjc32S5jbr6feFzRoPqmuE
KfeVw/NIyfuVoR5qI9nm2oK7nFttSgTk6nlU0D0pxIua6rpFB8P7MQrHbahWnOz3D4XkHLhBNJeA
T4uZFGKs3uq0riMNFe2UTH7Q6m4V98YWaMrC83jueU6HDqT49NGAehFPBwI2WmxoRXfs3SrdyE6v
rLKs01d6asvbVE2Ctdaq1dqSynpX6LlzaKq++KyaqXQDKZe6Hlq5X9LwmlnKs98kLOVgyGBhgG8Q
kQfrOvnVSi+F+mjLC2+quZvizI5weQe9lBSyUnZHLUlXfXSQw1coWld9/lzYCNxDc/iq07h+fZ+K
VCnTQYD5B9QDeNBJIVY4CIZC7rWMvPYYafrKgrJJLVcjgtHFNu/3lhev4PBby+lnfXwutaVOupm7
XqUMSEUJiiN+hOBKJDpFHcm2mqPi/D3Rc4O6S21Iu+9dYwF/PLuIU0M4sgHQk4vZhIqub7od0vY4
qn9iu1pNmJh8sFZh/m48HUzdUHWDIeWy4sl/7rjCuBohimvaY1fukHryx+31BZvxvgBsuZ4mvY3L
tIilFRIdxX13bMpmTci8H5VyXWpL5ew5Mwhg8lSgfx34i7AtZG1IskIv+mOQbJLgptJflHdSjb/t
vFMTwrkqyyCiewgTPfzG8lpS7qylDMLSKIQjpYXqUPUjJjRpNwT3NMIpS1t4xv+SBsErTglf1GOE
9fYnNVoHK0d9H8ob+50a6P9M0r+ff3MaJ/egr1ppLmt8vvti64919P5n1emvfysEnnxeN+ukd/Gh
3OXbULpPrXXaLdzkcyfvZILeHNCJCTnzWho+WQPvS1mvxmz1f6Rd167cuLL9IgHK4VXqtJPt3cHb
9oswThIlKlBU/vq7uM+9x91s3SbaM/AABhpmicWqYrHCKmBMlaqGGcUpyOo9z20Z8LQZD523GrIM
RuvXbbVTERC/n+2CGCnvPaEP9vhN+07L33+xvCiaR8gO9T3y96dtbfu8glZr6Njv0MoZ/0W4BGnw
PxSkDZg2S3ReggKpI/PBytd/swHxzgDUhQg6XvKnmEy7nFM+HOqZRTopIlWuaumqQCXs/xHwJD1j
Pu19O8bt6HsfKI1GVL9gNPNKG8PKVxSEv3NbemkIpDpE+d7hduSYcDVmczADPfxAm4PhrJP+wcpO
Qb3tzefWs9atuU0IQ4/0ekDzbeZ9vs3KhVebcIBgfIE6BSAeaad1YpVVYxJ2MIGcGAATeBDwrzCT
gJirAZYyq85ugbWIaMKC+aj7wdwHyUpiKHSLH4L6YBSYvxXv7PRFa8awYWmYu6pGafH1Em8viInd
nykS8604KSy/PmCMc1iVj3230fhrQn/m6cnLrdAdLcV7aImf59uT+Enh4nQpietDXNIvvIUBSs1N
y6dHIMeHDEj05jwcbh/hgrVA/EhU82NWCR6SklNOeMCCUTfqA2YXTj8rxeoLFvVidUnXrF4zy87D
6v1HOn6evAcj3wbl6fYWlmpALqhIvhkfgtJuLFCZpt2AKUs2eeMJWXXB7wY11EEQauM25o8caF+3
KauYJ1kqpxn9wh1BuEYvO0J9f3GlXmxMOA1nEqhxzooZzXQHFB20RZioMj3i38sS7qMvBkWA8JwA
VnK5fpwWfYusenVw/K+EPZv+Y5N/v59F6AKE5wxgUIyHkepzaNt7xEppfaDP2rxy7sQUEk6Hfb68
JL66l6FJaSrqA8ag9v2XvlMlIZaOGHcE0uRwmNBzKCT87Ai6AUMNNM2qDsABD/inuFFhwC6ZNB/d
hnBuEATB2/iSQDlxzKDHU+ZAquoJ0/w2bcbD3KnDhPtrs1bNJVvSSFFrgLlHNgo2ZAuK2HTZYpgW
ig38vVbFUVEByEg/eIq3xYJkOSgFtJEPw8viqlWIEq1Oal6yA/kNMAH+A61dt+VqwVSi6xsXgYvZ
P+bV2HtE2GatnSk70CzPw0azH6shX2ddtxkCY9XULRqw7gaTQIXGOU1J3XOB7x/7BTuw4lesaQDd
+YvQ5AUFSSELw4tLc8CuasC1+MUm91U9gwvidkFBkudi8CsgtWAPecMB0b3p+lBvtmgY8Ny32ye0
JAKIroqOIFzXAPK5FGzua944xAk7OOPBb19YHHbO9jaJpUAEgGf+S0MGdxi1ng2ZjQuz4cDPTSNH
O9EAwLDuJzv+WPSfMvbJMVW39IJJAAQ3Xs0AvvcR/JE2ple9m8+eCb/AXwHU0WpXt3elWF8uOiWt
CYPWYH3qv9jWio+/bq+/YALOvz+QLE7ak8ZwE7s+pK1IUJn+Ks+fwax/R0W6+pO0r4aEWKBSRDx9
AM5lDJx4VxEsUfFKuvpzU2O087GXvm+/MKt6jutsd3sjKhLi97MbANlb9h921emaIz3cRrfXVx2H
pPOYM8ztygKjZo680Vpjj4kWziptVO1C0vs4jlud6aDiJduCRqZqKqBqfWF3zrjUVZ2pl4lwhfD0
RIch5gGOuMk+3+bVovX6o3ryhIOG17PbF9hFzqJefzbRRK9vsuxTpirpkQFchWNxoSSSkleoJ7Gs
AkoYIDtEkmw7zJSGPibgmhax17kf1+s5N7exnj/4WheaAX+jRN8xrXoe+sSM+tT7envztwUFVaKX
LM4qAzgZJVhcFeu0jID7n39F++NtIktR1rONYwLAJZWZFUSnOTQq7gxjBeeHhnGddKuckyFMazqH
8Mf2OQ57TdK5CX3ij2EXOBiCjV5khYFfliqkPW3AvqM3QpIqI3UDNjC89+Jmk1cbTVVfvfR+xm7/
EJDeeEFdGzN8+PqQWc3eA24ZsTXA9Hohw6Ax28x2mh1s+hEIhdilCVxsxDC3DdNfb3N9+Wj/fIYk
bbOez8gm4x6rumevT8OitkJUNOMB7SnOd1mD/ktJrpcvU2twnQaUZvvznD5V+qcy3VXJk7JDa/H6
/8NZ+WEZeHHTdT0425sr4CtgVDaU4jbXlq//MxrSHQN41KGMS7zQWTWhBOLkVh9Y8YHoL3b93Ojb
Ifk+pdP6NlHVvqTrIDH9tkaAB7d/AKzyD4WPx/lfXZ1/zki6EbyWuWYjSGiWsTaa7tVxk4ep4ptm
8Da3d/P/qPsfWkIyz+z2nEwolWAOrun0Q2v+LOyT530e4ibUMV4hqH/05imYvlFnCygZhSgqhN6V
lNvjSU97CxLCjS1vN3pwKuN13il2uHheDuolUYSMqJxcpKFRq57LdsZ5eTzC9Kqui1a3eSiUU3pF
Iwv/h4K0Dz92zKxIcFU4zUPQ7ewqcupjrm1Yuk6Mp4krMo+LNvGMnGSyLMwL6FxvwB0I8Ms6RNTt
9nZU60u2qKaY6kRcMIzl27dWZdEVzJLjASi+yPXJALNSY4WgVvOJJL9iEnrVcxL9TaXH+clY0l1G
PdJjWAm24pgpetGSMFXYbYVwWZIBYpjAzd1ugqbSTZegVPrjqIIgVxyHXMOQ035Msw4MqzDCY99n
Kqju5S3YYvakQMOXC4tqs8jGKcB9bzW7uO/Dzt8ms6q2aHkTf4iI38+sjDNWgUVb4eM2uyn7NDh/
46M7f9aXLGZvFLwrK6w/ORuHPBR/0aQJQfqzvmQlOboNcUeDSQZ/zbVHL/1qJluvmBWqpzoLyZJ4
AXIFfi7YlKwzDP3EIHdVZfDi/e94MIQoGkJtrSSxMfJogABByN4f19rwOy+3ToZ+IO9bBbf9tiFZ
tO9npKS3WY/MLBkcBACSbDfZb23/pUOzPvcUT8Blpv3ZkSRbpWekg1fAo+HJF7eKNPcpzxV3iIpp
kniZXZnlpQs3dGifmb9GaX9op48x9yP3ziGm/3l3nDFNkrSJlYDceo+aBCHFwMgiUsI6LZ4Lhixi
vhf+u2rIKYZaG/G8gYFn+Sqxnv3ypWIvbqfAUFnSeTQ8OEgqoNbnqiFn9Iqq7rIRxjddA8ROV537
ovd3TkASZS+YA5rFuAi75jkvvnfVlnpdSPp96706/AcGeK2qXrGpJd6d05RkmtmWORK/rw+usynL
MM43pof50G+3NWdJ3s6pSCKNLE+aGx12ZmpvbNpmBWq6N8RYzSqUCNV2JMEuWjdrOOV4tQfxoWiH
R8aaDTVSO8zLSeHVCr9EdpPONyVJtud1TlG12JQDRPs8ivPHeVyb42rQP/nm6TYDVfsSDD67b4wR
YOVzj30Z5moiKGDezeNLPv5FkPt8R5InVnY6tyYKCUdrllevrAlBVMUTZ3kjAGkWTdvXc8INpo9B
7uNG6Fz32anrveEPWwLPEthSf1E95tho/PlfWnLcsepizNwT3lLzkOx0VDRjSsz9JYAXJCSHTAOG
jFl0CGH4xdZoP/j2X/gB51uQTEKXEDpPmQiRAORHZ//wJlEcyLJV+8MkyQDMYzt2WQoK3sGaQ+Pr
bblVrS4pfocqKVQ+wJ8sqq3L1+XfXMnn/JH0vSuSPHETIU76DiPG3fxTU38nqaIqQaxyrel/eCRp
upO6XWa6en1Iqk9F/lkne61f/ztGSQpOJs9DySpUb5w2iRWpsuKL4b9zRkmqjYHoeR/EOOYuz1cs
I6sk/5yixLGsn7Tikz0WG5QdY+zAd3t87M2XNPhlWZvCUT2RVfIgvcUqDvgLL4FKdqioaDFCrDnc
5uNt+4KisEtDmdR1ZyXiAWMar6O9I8VmTD8a2efbVG5vA/Xql1RiuGdzVYCKhZeetbMmhQuoWl9S
e8MlA21qvJFMhsaIB6qqlFwUaAuVxahj9HyMf7n8fnQquT6tGzzzih7Frlboj833uDYVDvPiNs7I
SNuoiGFOroVbizefGvIWA53/L87hjIBkvMhkZgwIIPBja9xV7S+3+vLvCIgdnt27s98ObT9iB8W4
Mmaguius76K4AvoMgzORutblouveyFAMBcAX1P9EWRNSd2toazooXvUqKuL3s12Ymo9YNxcXIdoS
RmM9OF8ruPzUU2USVYQkKxb0JenTGOxKkjHkydEujz1QO6fh818cC9wHG2M68EfusZ2GNvfmDGZ/
1lBHbEN+UT51m8SiivyXBIolLnlW5Tol8QybrwcI7YRz/NaogvWL6nFGQtLCwutjIC9Cy50fmAHT
/rq9AdXqkvLFnuaP44QnfpvsUSqXKwytanlJ9RqtsZlZ4gg0b1tawEhX8H9RlM6YI2le3FpmQzzI
bOlu/U319dVSZYZUJyx+P9OKpO4L5oq0tEOjKfuAbG6luo2WmQTETRT1oLpPDg7qU4sSIgebQGY6
H6JcmTBY3AMUAEPjUJYOW365BwYHtKA5Q5yoyEKMWgnd4Ym4H4bU2BgEU69IvzKqvdd+n53HPH6u
0deXBc+ofVScluo7pHvdGlpGeV/jO+JPU7txMYFFJRBLvPQBJCoQ8DFkWr5zyyxuS6cfChT6GLuA
liub/7qtMUubOKcgaUwVz8UYdH1xmK3fSfXBZg8WwCnupOEj6AYQDBOzBMXgH0ltHBqbQz/x6pTX
GtmlVeI+IdrjPdSTGyjuFkMc/oXb+k7LCRAXQ/XuVSnkmAPijFZzdSq4GWUZmnrGCLglq67Ydfy5
o1ZYaXnEpzqq2nyPsRaE1juDlM92XoexZ0ac5KhO1xUsuAoG4LNceB2oLrIEwITEgoZ286TVPTsl
3Astt11r2bFCYa+R/Wp9xYv2yopItCQrgilePvOKkZ18/y0N8hAj6aI0M0MyE8WuroRHoiR+P7Mm
k+7mjCG3e3KTeD2lWQhRXQ/KpqFF5vnoAMR7GBWIcs8DTHrhdBVjp8z+qdUsKoyPJEnCadZWZaWa
b3OlctgT2rEhpi7+BpDsyz0xL84IcIrqE+C5PzsteerzVCGkKhKSzgGy2LU1JH9OcVt9zzV/18Wx
Ik6zQAKgLxhdh//RI/v+NDo7GXvqmYPxu/WpzfWofvPLOyfSA+4FKN5nBIQQnhFAwsE0tKyqT2YW
h/nwCKuxGYdg7aju3OvkpkRJ8q8SJB3QuZPjQDB/10iBfNqGwBsJacNXc/WAMRKbrG1XFk23XZCF
eXNvqg6gJr6OUbjANcEfucOKOZXXV+lQnay5fEix2U5XvHwW5FsUvPsAD0T9KLCxL3npFbXhTE1a
n8Yx3vYZBrnGwxz2mIwTFtyJw4qrRqMviIdodsfMUvTioSJD4qmv+UmaxaBYaiZu6O+jyvteIoDB
DxZQa0XzsdzP5fVIxGSOU5269tuUsnUfqBCpFqwcRmWjmx6daahNlZnW5n1bobm5Ojl47uqv4cog
n29fW1dZTkBQwdgASwKD1q7hyijGt+ZjpVcngul0thhSS36UDn9qMVTVGNzI8NejaizU8q7+0JRM
Qz62FkXjF67KEc2f9r7Vj8QoI2fc3t7bIh2BPAGJwyBIX/x+pr5FX3dAVugg1Ch9Gsa5WScZSuOG
2uujAmCW918UAbprRbUy+j7R53JJLuUdpUAOzE/zwJBuoesBFUlMvxugECcGnxO6CixOHYnQSzJa
l5daEAeZmGU1rSpVk+KSUJ8vLx2OmaRzB5D+7FTTpvzYOHb96LnK8N71pfpedI3RMqKY/wohqpkK
U0O1f3pqh3SjpeUaE1DWjaFCRb12lNAu6qIPFxOYMQZG1tDGGisM/xnbE/q/Vpm1m/JvXvroOE96
sCnp99vids05GAMHxbYC+gKwFJK94W7RzW4CD3CakqhDzfXdE0J8jIoCyD/iIj6qyeUmiN6rum7A
6E3UudgbZ/hc0efMBtbQ/M0b7g3vSqQk1RkHUrdN7dWnwg2DImSqfo4FXhmoS8RoPdRcA7pLug0S
iwJPDdWwp6yIh9DXXBryplS4INf6D6kBpApMsw8HQYYHg1hlU6u33Qmzc/R64zboZ498FfzdwlbQ
piC8XnT2wquRXkgcpYUGGeb0hPH15odmLIu145NaEam+puIhlIRibjg7AAyQq+EcPMLmJmbxMWla
Z4WZCg23V/fK7yUJybD4eqoNBsB6jk66L8YD3/275SXDEmv5xFrgOB7rd6ml+d09Tng/ol0kEBlc
kTGW7K9dOkU/tsw/xj1bTx8Sbq/v3sEFAUkpXAvIpE3S+McZI7u5jxGC9+ZspR1IFqTBvEsbrw3/
OFZ8hWqd8EdQwE+a74bRha9nircGJsgYGPwshcBIPuhTWfvFqZyepjLNQ2tCvNu8X2YvyUgCNY1D
NQHvqDiZW5aOKwy6vltiUSWHth0EWPHgRKTk8iq0JlOfmyHIT2j+Df1drw93X+mCgIhEQsPh6Mkn
7sRxbnVafnLoRzRtZcY30h1uC9W1kcJ9AUhtIFeKJg35Oi+5URW53+c4ixbtr1FlR226roNcYQyv
DcglHUn9MiOmE6bR5KfYCcL6H5KpEEdVBKTD8HOP13wCgXrEO3m0I4Pcm5MFlKSNmIeYXIVR4nKH
W54wazJ6dzgCSQxP5ZU/q7DErtwSUHB00SsuLoyrMUSFH1SjT4fxaHerNlkl3npoFE7pFZsuSci6
h5dWVroZSBhIzH0MVOADV+IkLS/pXNbGXuIPWD42HrvfcYZOgPqxuruHQlCBhYUnCozjq8F61MkL
F4MtxiN51HQMkEV3/Z1aAQLiGYrMJizVVVfeqM+cE2vuj9Nr7z708Sme3jrVeMbrdlzcFDBR6CsV
LZ9X/VElyMeuP5gAIMCNMThPRc8ijKz9NHeYCw58Y02LN/Zk/67QqqVrqgv3Onf7Tt9BvAy4IwJX
6tJ+lWxOMp8VJtA6aFg7xsqydnSaIqTwosF+rNOXfnombYLJvNsYmJwj2bntvlPZ6WuZEWwAt533
yQjyw4WyFA/ArDcPXpVELSCdeUpXHvrtyvFeH0Bs2MCDE3PDwW65RJShJ0FP2WQenDe93+nOvVEM
aXmhe2cPvnkwMAejxvLWMK5RVp+2qkmAyyIDeQE6lI5wr4wR7TCN+z5zsIMBD7yhCiu0ccdkbQfo
TVijVLh2N+XghbWyH+LaNoF3Z5TFW+dsc/E85BadbfPA9cdmfhmSJ5+83ta6a9sEEngnY3umgO6T
5BHNlqyrUtM8EB72XpTPq9vrLwiaqUOlcdsBhBDv2MstALQkTmq47EhqrFu2o0+cYfKB4qJb4JMI
3AGtGb4NWi6lTdixZqXEKu2D1gwPROufiTW+MDZvbu/lKnAiEPbRZ+3jbYHZSLLbnzep3hp6Y6NI
7GtnPzjW7xbtMHHwkZsbylCQpKsaiRdOBzVPBvqUoaboMpI2xtq5LIPScg4VSaPGfB2ZIp66cDyI
ZZkwBXhnIoMhSdjceM3I4tQ98PR16Oew+tagpLN2jrc5t7AP2FuBdGwDRdGwpX041ux5FdWcQx9s
TC2yFLtQLS/tIjcDhqAtluf6q4PoSz4rUg9LBDBiHAlqoIkAnVW6YhsWkEaPY+fgNlX408tVtQ8L
AiwifjompotkinzOeRD3TdlR95CPp4bEwGswVoF3ty+FwQEGRBhzj9HRLw8PCIoZeapqdA86KumD
KqLJz7tP2YN3AIHSMfsYWJ2Xuj6ZJTHGgXkH29h06cpWASIvnAJiIOC+HojRAHK+pDT1wUoRyjsU
6MVBWnGdre/dAJC+0SsEIwIiOI3LDbhdwOgIBNCDFa94GTF692V1sf6VIxjjoqIIJxx046n9RSuF
fbpWZszMQvGJ0GPMk7Uk/pfBwL3WNeLDUJCQBfOHYOQfvP6bpxpscy2ul4TE72f3kt34aQ909viQ
JevqURvXqnG1SzsR4O6Y1G1a14iro+mlfcIoik6CMjKyr659SvrQ4Lri4riWKISiQANPDIBbXEH2
tGieNjK7To6zHZXxU2of7hYorI+Mm4mpLMCVlBhF69FkvGuTIwKDeb/LVKBgS98PrwpBHMRBoNiS
wPoDmFRZJDlqQ7l32vExB7Ckwi9X0JCFtgRGTsIx0O44oZ920DeBp5LbawqoTMd73vccaDXc4ktx
Coos0MrA8A/tCrXXrUpahfW/SJ0jSnC+vBC2M2m1TFKmCIr4hylfD+YYWYUeWd2H1vKi2DKi5P7n
HujBG8EMdfi7V+CbbUJq1pskAOSyv3HbYKOw49fad7m+tB83mCkv6xj7mTEuZxV3L/r9990lCfm+
nmhhGTlImO5Ga8PafLitF+Lfy0ciYKkFEJnlXt2n8TzyZPZy7WDOI0YOwO+sdn6yG+IPQZzc7eEi
TnRGS4qCjCSnzTiBls/3iAoHpapaYEF8UcFiIo2PxyPSjpJzEHu9F9SaEx/8zxng+fX0bmxE+Jzv
rzWUci7Ae+qJjXknXhsf+GNlB+vZGta3j2NBQy4IiB2eaUiDogrexDw+GFm+TTrvETNjnGLVmCvX
bHex5W9u01uQ4At6ksK72kipm2ND1NF/pnm3I2mxmyj9dZvM0sHYqDkwxGBuDzhJl9vqRlY2pMC2
MvoK9A1XEbpdXB5zSPCugSRfAURnhU1QK1DHmJzwtUTzfXl32g/njuIiIC9hWCm8KkmwBmJw5vpl
fGh6FEptmHm3V4uJ4hi0iTwGYHeuQl/E7qbO5YFzsJpVb0SUrm7zf+mY8VISAWcM+L6Kc/YV6g6S
2rUPNCk/5DZ9Nq1um7BAUWawdA7nZGQFT5tq6PA8BM7OSv+hq5oShZRItgoFf392IQU5HYCMA+Ew
sA8lIBkZyaPZy6LEwUWlAhBc5BcQA2CtfCRI5WRfC7SorMoyBz2J83c9D144GoPaLNvePpZFfrmI
q4pBE6jKkIx7X7edB6xr92D0bcSrzUC9vzn4ABEukZgR5WGXigfcClIDXgmCNc8YysOAJbqeVEZk
cRtnRKRt2HpB7aEHEeAxIzXzWpB782/iqX9GQHpV1lnp50kCAt1UoJsiC//CUbggIHlvOq/QvCHY
BCSxVfDiBfe/ZwT+GHCpRXYaUVvJzuoVzew09qyDVc0PA9HWc614eS+I7AUF6aRNu+9iMUDpEGtv
E183dHe/KMG4WrBSgOkzUEYkiVJFa1NviXtI4vFBwzCBamSh2W/uVglMW7DRRIE6RmDrSLJkciIw
vWP3UKfP9kfMmrt/eURAMdIBiFzINkjJt8Ll8dibpXsYss/+R816+4vlUUKIOI4oHpbvibQyqnLo
IEcIF1vfyPT99vILBtAzUNoZiHKh4KrGM7GCgs61ph3cb67TRwZ1o9qZoipQpdWvm2ZRJGYauK4F
BD/qtyQ+VYZH59nptINO5rU+rMvySWcfyLglRh551kpHQNyvFNfHggi/o6YjSB1ggIgnEZ3NRtdY
PgeHIXljrrO263pHk7sfgigYg+/2f0SkqzyxdIxeE0RK52O1oXeXxgIrGIxDRaTAZL+S38nStXQG
2u7ByzELr2te8lRf8754AaCr4sksVEG6DlH7gFIelNh4aNOWVCUfmnwmXRwcZvTLe8F3193H9MH6
nBmqgviFgxHiDGQlw0F2Tk6V6C5pG1wucNz7advgHWU0aGPj5va2eF/fI0AndgUIKBAu0bEmGUmA
gqeNHU/tMXV5uB901czOpfVtA9OzUfmCykQ5ajVqjjNXfdEeS+tnsXXqH/d/vpg9CvOOMd1Avb40
kB2m4oxj6fNjMH7y08io/uX6kgGO67myGo71Ez/yTnePfg1cD4YXfMf34+0k3R9DMI/zGAfJadIf
GmfD777CgbkP1uP5LwpRZd4HRYyKJo80x37nucU6aFSAS9eH++6ew0u3DURV5VS+Zk4xwt0FO6LC
PkjXenx3xPByfcm3bfXEjW2HMkD25C9FSEqmIHCtZOA8ABUQrkN025TTc35uJLNftvWxCup/2m6K
gl70Ctjfbkvp9R0Cgy4MFHK8SKHIVa0pugj0sqf8yIevuW1FE2qAYxQMFEyVcLo+kferw/WADheg
Akz8fvaWDZomHZy6hTr3WxaETIWIqFpfMheE9xqxWqxvJavRC8nP24xSLS8pxOj4GNY48PaoIQfs
fMMUr/BuAihYtPHacxCqv5rV5Q68ZrGvt8cCwOHNg4HJ9PcTwOWNxp53jZBzJVXZ22SeOD1mxZd2
Xd49lxUeCLQNqVj0MIixvZfnO7v+5BZ1nR07f8UxbUFxGyzow8XyEv9JooF+heVX1PnGHsru693c
uVhfuj5pwa1YG7C+CSCYf2o/3dxef+n7nQCOhiuGYiH4fMmeaTLMedby7EjTtT1tjXg9mor443W0
CDVrBmofRXUt3pHSjdAFhZ/MepahZO3okypqmzRqM+Ac+x6KgMpwUDXWLugE6kZRZg0rhYkw8rvY
7ivazH6aHfVBD8v0oemPt5l2TSAA2Awyx3iqIDkpV40OPEZ3quagwTV/jUO7vfuRdLm8IH9mkiaS
Zwj0YPk5GzfOOIWV0WJUi6s4etUuJM2AxvMKgYXyyMIqW2H40G0mCcm/dPwudyFpxgw8QzxksDy1
p9CxP2vrqfuCWt+7zQeiqMiw460Ebxy50EtmofYPEBaEjsemqkOPkrBRXEULbBI5PrRwIiJ4XWdU
UUwZ7MyxO7qR3b1S825PX0ywQQoUk23xopDf3FzDtPm+0IejQZ6rIojSpLz/nMVjAhUbuhiIKPvF
yGY008SD6UjIY7JNg7ujguIx8Wd5yaFMszFJkx7Lm+5bVxzd9W0xujZQ8MMAsIEeDQzVg0d8eb5N
PTHNcSv9CPB67bHSjSJEqMtHFVLbKHE+5bNGEhczj/GidB0Yw6upQjbFu6tg1nxkxsMnauxub0XW
iPfV4d5hQDiidvBuLrfiGtMwZzWbj34x+R8BXF/vDY3yrct0DHGmecyi2wSvt4Ot+MBZEfl1lO1I
vOt8b0afBhn26ZfKXydM8RK+3s/l8tLdkaJyPssaLG9NGCXVfjFtNBxvUlXyR7ULiW25njZG4oBM
b0e1H86BQsJU64vfz8wtHhxJwAnWLwOkwacnThWvClmE4VmidBe6hypkdM/JWVcjxuu6H4d+b7Cj
Eax8HUr+evdJn5OQIyGJlWp5g/Dm3jDDhkWpwstZYJGYGoF2m0CoodyLkQVWx3Kr6PedvvXL50CV
cl1aH3UMSFqIQgFUdV4eQac1RtWStN8jwgmkuCy8nz2o0Hjv8bOgDYbkgpiAUvItDAnYi6ZCgl7g
4sdt/gs37PyywxEjrYPHOi5+GwVYkoy2pOfEQfnE3qkftBhdoGHsP+Cuy7XjbUILnEIXocChgzcr
5hVdcgqFwRQaHbd74oZxsjIUrodqefH7mS7kno+pajWWH+ibNnyz7wVFeOfT2ecLVTlffyJ9OQxY
X9e/Gs0+29/mzoJFQnkDYrKIgIvuZclb1lyH+1NednsAt3xjNd94gxZqnbfBDAKF37Gg1BekpGuv
sAoLyYSi2xO2MfqflK6rLlHQUG1HEtvK6SvXHbEdI13F2Uqj64CFGlEot+yfv5/JH6bJtgNTOkiD
RvluPzZDSCotBGpPODs8yshvgz20RLWtJWWBoycOCl0NV519k1tjWGPSZPs68eJvhj9iIGRa5/ZD
SuPpaczY9EiNgargF65qqbFRAZeBorz/oMJJ7NTqDPUXtZftmya3P2KquRvjNik9AGcMmOviBb+H
Nu02MXXZcw3Wp2GptRMPR98dNlrTYY5enM0lBpnwYtM4XqK4J66PGzKL4mdPtDyiZUX8fq4cvUVI
y8CXgO34uG77F9fJVk2lmtJzfeCgg6gvWlaEFZGfL007+07Os2zvts/ZmD6UWr0aAJ1JgMNQ7FH7
qxDj93JEyTrCD9cRpIeri1p9yQ8JKCtolhb5nrU123rogcWQ99ZwH+tysNaTCezZ1rcB1sjGbsd8
tBlTw0g2GCDzFTWi+q+ezhi1pdXaS4lQRJjRIEf1acF+3bYeCyp98ZnmJf8NtDvFDK02ez6lHzq7
/KVh0IfZew+3ySzYWMyOwm0E7C3MffMlMlnWjsFkwvqZr56xvnvOFqTcw5wa0fqLopxAdphn0jru
2JjNvt1o8TGo9/d/PTo/USOFfojrpHNqGgWzOWv2tI8cunKG6P71kQmGpwRnAO85yYQXQ+/prM/5
3iZP2a4r/oL558tLZjvOuFNZHMtPztEp3pgi1rFwtgJFRuQ7UIBx1ek5FURriabzfWOt/GydeIrw
q2J9OfnEuFaSNMb6Q76y43BQ+EkLGnD++Z6kqGVL6moARM3e5vyBdpjBGLTRNHu722d8begMeMG6
h/c0Yu3ue17vzNBlrJnaSneafensZuKEc7MnThMF2ffbdN6jV5LhQROGawPExEVnpJynLa3YZYnR
lnt8jRX5rW9FRunmUVBRc5NqJIhqwEytKSzXUxqUzcqlYw/bBCzen6jebw5eOn614qn4PU8k+4gZ
GsOxYinZGn3if2SZN254hptST8bCDMfG8lSX1sKJIEsjOvnF+x2Z8UubNGiFrSd+Sfd9NzzYmG++
Y5TMqya2vtzm1RIh9Hoi44zCIevqUrCLqvACwume12X/CX0E+pMHdPvX2ahVfRELx49TR/0mcCVQ
iyrnny1/pKSotXKfj7suf0jq5568TrXidbqgKqKYBGFA0eSBsaKXnEOWAlM7C6/c1+TZ8De5qll5
iWHn60uWhGEcpOtXWD9jr2bwwrIPfq5QR9UWJIfFYt2IrluQ0I3t9NFtVreP/NoPQxcMnkOAiIAr
5shlN0HRmWnrWuOe2KFpf0XGVDfXSfp9/nmbzvU2RLeNLkbUWpaIml6eRDuTwnMAVbOvsh1Z543C
miwsj1oxMTMbxaFITkkHwU1GfG7zeT92v9Ndc2+XAmZtCJcFFylqvyFLkhyNvdPnehL0e46ZC9Zb
eXc96H8IAJ8Ipa2IO135Az1gEl2HDvuB/zS9n/TuCxWV/Ygu4uELXwmhukvuN9OMfKM2IQiUxFG+
BY6+gsC1IoCAcOVRiIZchSVJ6eDlCUpa2bh3cidMmr2vH+Li3tZhMMkGXB6qk1C6jntVqrqg6AvL
PEacfYu5nrB/rSLKe22TMNQPIDcI+wGeBYmuSy7NHU3Rb1S4e+eZ65/9mq7zoFo7xtttVbgqWRH7
wMMU2gCWCQ9HohPbcZsy4u2bdG/8AHK0Zm+a3/30E+hDu6RSvCgWVAPUBLQRIgXXtQRDmSI4O4Fa
lwIjdV+Vf3Es2Azy8UgQ4pKVAytzEviVPpbtnhpu+BKwezGDwS6sj2yOeKmIYqJLdvWYddKkadvu
UUsdmWsMYlIIrzAOlx6CSA5CqHwTnfWoyr0kAFwjj6Adut276YBqzY8t+cirJ/+kfa7zeX378BdO
44KWJGNloaVBF4OWViFIRyKN3Vt7KtgFXAuUdQTiqSuDttmjZrsTn9u9o3/ouLXz8z4cPQPAKapJ
REt7QVAeyDyozBZtlBLfGlrgCdMgYvdP624Tb3s/q/A8guEK0LuFBMDl8gke4lqS5SLyEXbe2uV3
++koRjpbXzqKykhRNxZn3b6cn7Qsop6igm9JrODeolMIL4HrgGldWxh31ef9PrN/VdNXnv6sm+9U
/1aM/0PadzU5jiPd/iJG0IDulUamqrpaYrWbfmG0JQnQW5C//h70fndbghhiaHY2YvahYpgCkEik
OXnyt6ltDTm6IXsUxw5EP/BIcEjA/iMs9IU/bY7KtIBvcYhc7nolCVV66M4z+Ct79bOV+25+LPOn
+nvT+PXsT3FAize0ByN+Q5fo/XO7aX6Wf4qkF1XluoOuGEM02zWmfL+Oytc5+0qVV5aLGRNmHy3p
ez37cF/syhOECwx2DCBX4VbKVKgggTfagqUwQ1+6r0BZAAtxX8DaeYIGEXUbKI0opF3vMK9VQyGg
14tsuw+b7NC67XFcWl8nh8LNdpXzz315qwsyBYgcXBOi7eVanuo0Wd5pbhfFpvm+VeKA1/PH8WHG
D3FaCC+QjQBTg7CC12ImTstGrxF+gbxAqffKFqBY/PeydUXrKDwzeJhIdkiuAVnAiKAkcRup7UuX
WsE0nwbnxarf902/e3zHAP5zLVEjFKjG66WUNYmHRNcR2KeNES6k0r10nhrMtbS3yFXFYUurAhGi
6INGqgUOpyTKjM3Kyvg0RBM4qr6UjHehln6u4skI9CbZoiFf2UMBdtNRwAOeAU7D9cIsgD/sAsRh
kdIAppmBh/zJ0Q/pApK6hyMm7B3U4U9zCp5DyZFOqZ2ScRGJ4CTM+94fHdO7f0grr4bzp4yO8ioi
D5lGotPirEhnu4/iKsbDFKTtVnOV0Cj5bICrgx5AoW8nkLs0p7xSyinqk2IHpj3PpvxVHelhnN33
zK7eWUbTeGqibqjf2sqAS0RS9Q9HoryyHK03yag7Q8RsfvhHsbZoMVYMAkJlDCFHkAOEvirdVF1N
ZozrWMaIx4ZnD18wjthPZu3x8xExDlKTwJ6LPqVrXWt5H49Gjdxh9kn7vnx79PCRcUZ7Lsw0et9u
YOeim9OpUWONxpE9w+l6RqJs49m93aVrEZLbMFSdE3cwyOCLnPylcg6Y2/0Oo5U2IA+6ML/XWgY5
iEZwKxHP3sA4h4aT2ci7LMrjrsI8MD6CJD4mvr0Mr7ZbHYn2JWm6oNOT0Gmt5KWJ2fwtyWj53cHk
hZ3LrMnjoCLZtxZJBK3L6FVVSYKhdJKdm5MtlNft8wWeURynQGKjNiY7CImeT2RekizKaLFPSOs7
2r5c5uPo8KMFtxroyvtnvVJrgURYYcFIJxJ9kiYNY5O7IPGkEctVzSca8yr9xQv62g2oWk+hnSeT
pyuuEVDHAsIpMX60DeHwEdgYTn02bDzgK44JfpAgz7IBBER7tfQULV2DmipasSJKP845Ck5q2LDn
Kn5ypndpb3i5poZ9+921tgqFt/YbHcowRn/YJa2bnut00aelsRmLTFDYLjX/DHLO3ksnp/VYb5xL
ows29n7ltJFaQ3IN88pW3EFdr+sCs5VphPF73tw9LzXzU/cwpmZA+OfB2RHlHWZKBYb+lIOkutS+
uC7oSM0AJbhs9vXiy/0fdGsbBRofY48Rv6HDS87CsgJUFks8Mswk3nXJIdkKQldu/dX3pXerAYej
q7KBRX1zZl3pdUPjsU3u1q1VSApUM9NlaGxnUZKZYd180zbJ0TfWQSSnjxezlZhzx6LZ8dvqyPW9
vQXKW10EWN6ESwmnQk69JgaiwaKdWTT+pM7O1TbCqtUVXHxesr8dnFk3BwtRhJhzBLITNHJbFDc3
PNjg6hSFY1RJoVKwatI5TKaVJ5ZCWJTNT5Nbe725K8YX/Nsmh7JgASt9eziT5QuPtwjyVq4yCEVE
tyWMPuJHyaiVps7N1qlZpLsvJttlS+HbcMXU9+hI2PAnVkWJJ1iEG8iVS6KIPqLYQBocVB0kcTAw
L44PLPbq8eGKkgHutL+ChLN7ETsOutmUpIYgop2d+l13fPzuW3jYkfxF8s6WC1Z8asdG7/M/d39g
u2lD4Va3yTJwHGjHQYAh/n7x69upR0+p2bJIMXzMdVZejW+Y9FZuTa5b02vElkiiakihIl9+LcbK
SFPnBI/HzAPbRU3YQ8f7/Y1aXclfETc1sUor9NGyaJSUIU670s9O5o9xmG+6yOJEJecFPOH/Xcyf
l/Jiz2g8xxNm0QNmoHk93eXjbsZQy0cnZopreilFMgVt3TVOOTo06jNvmrxqqzC2ugqEYQhYAExz
belImOpMimqlLIoX30CGi3tlcTSr6P6prB48oERI4wBajDaI64MHN3GF+qWJU8GsYiv5ZPMjKMPu
y1izyeA7E6TggEhA1LUM+EaDMZt1GWEkk5btxi1849pOXX5fWkPZopFt0boyWtyPJhhEMyQFE6DK
mbs1VedPkC2pFsgYkYhC3gtAFnm76qKIM9tJqojmaefZE/knTx3M39B9tQbOfKgOFvBFzEj3Zd17
fUO8zqBhZz/aBgXlQ/scpgLD5CBnI6drspwwx6IonOlx2No7h254kytq4cKjgUMDzxZhmbSljPGh
acyiiPS8fq3j+Adz+2PBs41wZkUzRNeNjUhZVGTl0F8vOmBfaQcx6Y9v5lZ1fOvr4u8XdiBb2ha9
dG0RpfqJ2dEWcHvr85JaGxxQiBZpuchdPruhlX+8f2vWjuASLCX9+gnzoZK572hkDnA1Pijmh0d7
DYUSXUqQFrCg2UbvGiGBhAUJp8/3F7DipaMQZIKiBZA09BtKT1c3gjefGxmNmiL1wCD6ZLPPOj8p
VhjXR33aisjWjgM3AtOHMCkC2T4pjURnVph8SQF+o7vYQ6H3/mrWjgPVPzEpBgX3G0OZaOpY8DHH
C1nUQek8d+V50d/uy1gxZKgwomoGEhI8wjKMrOtq0qbgKIhqu/drTEONxw+AfPqMKcF9SberEeR6
qNCJLlOBpLq+GiNpXbj7MPs6a/d6+XHQNZD1/74v5PZEroVICjBbbY/xqHjxgfH0c+MDqbbSOVvL
kAKjmMdKRzgk5OOEQXzvXde3qvphW3i9DOkhtrqutMoEvpHRHtL6uFTP6haX8Oo6UBpH2/UfQkWp
aKrNyQLuCxyHreyWRfMm9PW7+sNRKtZxIURyWHji1sj2QshEP2fpzzbeSBqtLwLxg7iCxg17zkKJ
2agc+6TozG+LBswEKAP2W37RSqJDrOO/cmQ4L/z5AZzncO/6L3TwCAvKZs/7nbObbL/7jLGv+hae
d6WofS1SOh9TH5cMXdU0ysrOo3MKCP9xLF4U6vqoDFbaLgcLLusfNgfXUqUDM/i09BOH1FGQmgX1
fLBzjzxe6ARABm2LYJrD1LabEUFz29tJXynYzgls/vGrlv543AxgRKCLIEwAB+XChULaakgzJUcI
k3pafIrTDWO2ZmeQzsUjgzot8FDS6SzxhJFLtCkipX6KXSVwymF/fwnCUl27fQQ2Eq6KBt4PWGdJ
ArdnfcGg5Dwa+iAnue/Ql7p/Wmjmu9njixG5Y0ekFuFoyjiQogAu3KqnJEq0KjTSZ3uxNhazsl1X
EqTFuMky570CCdVra4S1vbu/VyufRxVHDDYheGFuSiAKbehcj2oald2x8mv2cDCBIgRIMNFMA50C
Luf65SrJkmlqmtdRM33LwcX3/f6vXzFiV5+XHkZM5qzTrsbnWebHuN7UmgLr0ZlqwC+AxBNUSgi6
BEGe9DAigT3GTjdWbyoJqrIOMH8iMOmh1x92r6/lSM8j4awulAFy7PZtqvFA/ry/WbdHjUQRyoMu
igXAFMnVVdcqckDsWPbW/7CsZ6Ay7n9e7PX1rUPWU+BucBkEF4akqAO1J3VE1xFgdc4/ljrv6ElJ
2z0KXP/cF3R76BCEuBSspNBYjEK/1qmkYc6cFUMcdcqpHHbJsrO2AqqVrcKMJ8RUgL/B3spr0SvD
5TUgH28JD+vv1Van4tbnpaeClKSpdBefV5rPzve634BZ3do/FK8AsEKNWwz4kSH3ZduVeqt3+RtG
bhnGW1p8cfM3Kwvix40HOGEQcQq4I+4GkdZhAr1uT2ZfvNVK4ZmW4tl2eP+sV3YKjFPoQcGDgXqJ
KV3wkRiZNRCnfHsP/m2PY0zV//Z96W7X7kiUvI7LN7KEZDqU08ZRbP1+6U4D3T+hNILfr/MD4ztn
Y3tWrgKQDHh2DDRrY7qq5Ow2WqPiJa3yN+p8a5TWMynA5NnW1IeVRVxKkZOmXcnLttDq/E1xveqH
9fnhI7j6umQ3GOmcqrDK/A2MGAsPO/LwEwRaMVA9CS4/JMdk4PXYTDhfN8vfMGe1ocG8xdiyegYX
35eO2NDinuVmmr/ZmAc3IiDwi61E/5YI6Zj5oqAECSzBm052bhpkzl7bmtS2Yr0vd0lG+NAx55UN
0Okbc+zx54xB5hFpMNjD7Oo4hIu1HO6futgV6bUAfSYIXNBvh9kaspvJQVihLGicejM5x2xoGiR8
X5m/OpN5pfGlXR4loQXkB0MIgA+EMLjN8qPB9LigmAafv7XKt6ybtlkybi/JtQDx94v01TCkuaHX
DdSsPVvNsZl29zds6/tCRy6+b5o8qWaOqx4vB0w83YQ43urY9e+XLG2V0GYZXGxQUgS1EYzua/7o
kHmcAWy48BFMA765LhnbMjYnY0Z3SYQEOcB3VfGwMcf3kX8HqgCtI/A3r7fITpOqSIrEivT2tT5Y
W33zt8/q1edlX3+p65aUTDGjqq1fHaL8cm36BEqqACmNvTPS4P6B395IxGDg+QCLPOJ82Pfr1eRN
PnBtiOcoD9LvdbobS392N2SsKBU6kUQ/D2qwCPekB7wAubTbmaMasfrEeWhsQdO2vi+5ak2b2Xqu
4PupEdX9STc2TlzswbUVcREIC/oK9P7BTxPyLy8FFSFZbo1RWZ0NNWmPPGtfQQn8C92CvxvePg2k
T5/c9O3Bo0FXErgkgYGDqoHlRTqaVBuVeUn1IVJ76lXEM9vUU+1PyfjzX8gBDhLZGTGvUV5eawxc
cVQ0XGdotO7GoGiCmtTe+b6Um5uPVYAGWhfOLshW5Rgt5oPdFLQCVqzco7yb2oFRP2q8IEL0vwt2
IgF7kd5IdGkOqQaW7ghjtRc/G4I5decNXbjRNSEDZRbw12AgAvLY17pARyfHZCwC0G28L/rDp/ub
tPJ1dJdijqkAi92yZTsdOLuUuZgjNIOPu6QJ/6fPG9KPV8Zx7PIFn5+cF20/0EfdUHThXvx6uc2D
lrFhtSM+3yu7JDTJ48eLz6O8CiZx0fsk/fo8r9FHYOlzNL5o1WFMjvc3Z0VBrz4veYi5bsVjbOPz
mIDgOO8IfZc9ytEFlDpCe9AGAaqJnjB50oWlZGiorBo1yrrYK55mdwuJvrIGCAAGDbcZF0Gud/QV
1+tpTlX0mMZeohgeLxp/nLZyFStqijGZeCwAzSSCUvX6EpguEgi4z2pUWEHNA2erAWZtGZffF/Iv
DC4fVbdOOb7fqe+L7FRWuyXb8Az/sKtcGXWcBWr14hxQZrzpAwSFuIOmYmOJWDIsR0Wt653e6XkQ
d2OSwtZ257Rz9sQZvuBtmX42+kLhTExqwzzGdC3KlKz0CWEaCcEumqLL32Ge23X0SNMk94EnLV/T
Ls1+Imp1uceIOik7HVyewWBP1pOz2ONuTPVyj9wexm3MVf4VDez5+6ycag4U99K/2tztPE2xE585
kxkxQ+/6p8KsA9dugt6YG9O31MkpArucu13cqXNI50Q5I1Y2dkOupXsMYc+DWp3S1DMAE9ph9nLy
XefpdI65+VXpRu6ZACV6VB2HJaw7GwBrPfFVjeeHxW0X6hk61V7QU6p4fbv0td8qxP6cVmkekjRL
n1tGe79N8+5cV/PyMyHG+Fyl6NNmxTL4TqalvqN06q4Fx6gPfGrzVjg08du86jyn0MYdBgR0Xo+2
mh/qZIOypLJIxI16mTzQH8X+PFfWewzz0H4wx+HUr/O5OcP2qwkgKeZoekocu6eJcrpr7OR7T2Jn
C1x9q4x49HFzkZWDwiOYuFbGdslJX48ZiQwCbgzMPczC2Ppx3/bcXqhrGbLCT0PTtgDcRFoWuK9p
87DlxOdFkglJDtDHyv3UjlEbVcVtI7K48tT5FTCg/+L3A58mGs4xi002bAqp2rJPcHQJHAdHjwa6
sQILm3x9W7GCCwHi7xcWYUSTV6Jxk0SL+QusRl5LE69h6PXZSgWtCkLuEq3aCBdv0G4jAaY9jxsS
Medt4nsjxtTyL46+NbtpTakwYRjwGmFGb0AO1pjr04T4F92JnZe2TxRgXNp+vH8qN6GEoJkR81bQ
CAm3S0buNQxTQ9qWG9HCjWCxC6/irw05asNHyn7dF7WmwIBXAngLrCsq7tLb3FXq1KvDpEVG84Er
p3F///N/iiny+WNKEDw75PcRsEhBXa7zTNPiUYuGnHvu/Js10x41JD9lT67zU++eaPMyqYmvdHZY
18+8/4g2Fa+x2nApI618nfrXsvlhLBi4vOH0rJ3k318G/vprzVy6wTESFyvP6KlZvBnoyHHDdV7b
XNHMigZdPLdgwroWkVucFnRqdXTEH9T5eTnd39w/MZ68uXAXcMEsCz2hMihDVQdVx5MGnTdU364c
r9Rzn4O2jR7yvPP1OQ8a5Z3tgOUuCcZpl9fOTst+xWCSSKqvVXnQ24Oy5Y7dLhq9z2DrBkermO0u
p1Jsa3GsDsHYWaWt77HN8fS3F/36+5LJrbUxox3F9+fm92TYIdH7cM6PTj8+HDFcC5JPr4kNUk8Q
ZOBpAm80yxbv/gGuLgX7BKge4Bs3oJpU1PcT9EqeCalOIJJ66+v6ODX915Zv4R7WRIlWQ1hHkCnd
EI8OCL7ibKgsMBFNr1af7LsWBdzOzX1dTz7eX9btzdIFRfJ/ZUlpgypmpk1zyEr7LwZuMya71lsx
9pqWIWMLSCOG1wiWyuurxdxpInEWm+fGxrjHvve2BsOtLQJU3qii4wKh8iZ5D2VKMRcC7805JdxT
YeXreApxee5v1eoygAoVM5Dg1MrQPEXh88LAnnt2QTOsegqGvdwXsLoM8YxgQhFmc8hZKYuSLjb7
BcsYcsxMUANGuw+Dwjfuyi2OAxN3kP/6rxwpCLP10QF0UzXPmRP7hYCaF1poNG8Duk/zcBwHf1Yr
ryu+GM6n+ytc2ULRuwx1Q+4AnWDSQbkaTdGRZKnnJkHk5Lna7v73V3bw6vuSvUmTnlsNx/eVwTfc
gDA/+3xfwsrdvJIgfsGFj2RnzM2SHhKmdqc5/2QAvP6gW80Oa9tkgBETrwWmvCLJci1kjMFK6wyT
erbt93n6fqujcG2XDFAToOCKvmZ4q9efVxKrSQdjVM+ugTlSY0hjx6Nb9aybqgCSwpdCpMRaPNVK
r8ZYQ7aUCCC+53Pl29ZJa3Y0O3TNxrHcLukP+5vo54fQG+uMxqSkUVm8ABMeZtMxMbym2GhnWBWB
QgeeAHAqO3LNPTXLlGjNsgCKtEf4NrJDNmwYgFvlQkkDnX9iQg9ykrIvmYAUoTaYuQAXavlau2PK
q6mfS/7oODeRIrmUI37HhRK30K+FMWuJNPBS/Vy6jWXcqq8Y5mWA8Q4kdMCHS+qbVRR0g0oLVpDG
X/IAjWD37+DW9/Xrn99wp0fqorMjVoSmCXasnGyZyJWTgJ+GerXgQxXQwGsRvE/1lFk0jri2JN86
FsfnwrG/5SAg+FyMmA3KjEoH8QlQnF4xKMtOtDd7LtWf47Q8jrrqj43yqzUxV3J2Ptxf/q0iXt0s
+ZloW3vU1IrDBGXNe7u0vjlT8+S0aXhfjPCprx3WazHSKc4tcLLTjAu8jM9GvM+6SM3e6W4KdOFW
qmtVFJBwaEQHAgt86Ne7veiKlhg9U88W+z0Xnxe9CCY+7rMkKut8Iyd1e7JYlgWsJPC+6OOWX3G0
KnYgYSzVMzgZglL9FgsXHN6V9u3+9q3LgWcNTAU6NF3JyNoFWMJUq1fPebLX7MyvaJiSN4P+vC9m
VRmEA/9/YiQzO5NZH/S+U89DkvqFknVeaSrepCUby1mTI6B4lqD9BgJM3MkLk4FXilpJk2ln2zkk
elAvnvsv1PpSgvgFlxLQ5awhl6edexsY3PLQxQBebqxC/EpZpy9lSIYPI+yXslgggxHPnoNii/xl
dZdgXQX8XkyJkyL0ZEZGVYtz7byQb5gyCY/dHTf0d3UJILEUphV5Jrn+UiRT5Y5pqZ3rfPTGg4PM
3n2N2hIgaZReqsws+k47T+bnYdd3G3RYtx3uonPm7wL+/P3inElutY0+NDjnrnxuUD/uBzynhj19
sZvxYDnoF17Kfcz7z8VgB1TBoFxihyoIZWqLhYyg64uVmGZAeZBi6HDfZUHO6g1I9eomIB0giFKw
x3L9GXT6WWvWrnYe09BJAvRR/ItN/vt92YYnmOA5x8zSzpm2p9mx2bKoq78fGBm0fyD1fjMRFlWJ
PBljHb/f+uj0Hz7e//Vrto04eB/xDxwu+XW0Fjef2zLRhQN5XLjrz9Z+mNJwmsbgvqQ1LxLt5n+Y
mtBfL18ofehMI+lUWOuZHm23CLXSPM7E8SdNGbyZo1na2aKMX13dhUzpNTILp8tmBpkokHmKe1zK
Z91oPLv9dX9tq8biQo7kxtDYKua8WdTzXH4CX4Vpfk2Sf5G1ADHY3/2TAq5R63ooGmQg+/RumOZ3
g4aiWI2aS7yFn/5TkLoxrheyhE5eXOyCDXY8j7N6VnkWiOmC7MVuwszCXIK5DhcMUUlANFm2Xyr+
qVYRA7zd38+1c8NES/gPSMMgeym9uL1aLgYYerCfJnyy9+DixwTecWss05pGYiAMnBUU8fF/khRS
dSaqUljllL5j9H3bv1PGD136AeQwodpthDW3/NYwlpfSJGNMGyPmfII0dHg+mRhQkYFshpPGhw8T
amp9bMzxUGV14LStrzrLV87zoG+Sg2powVAs/ySt4/dNs2Eeb/syrn+XbMTnOulTQ5y1zSrPdX8Z
8ZHZyPINnpofUuZ6qkbDeKsne/WE/+697Cemjp5lcYObqZM5qFPyyZqUoM66MKFbwyW3REmXswcg
1soZLk4/78rpVE9B1RyMrbbW1cfw4nxlAtOpnJcGU3rUc4ypelTju9jKvbqoXrQ29uYE3ccJutCy
OTLLfNfn5anj1tPcgO2CFjuatIcWrRA0ZYGR5B6lvPWbIjncv1dr+SLMLEfUC3ZuECTIbK5TVrsd
dYXK509VhfmFyk4jx6F9mVt0xBfxS9rA9ywbj6MEel/22jt2KVpEDhc2xWFDZkH91XPbheyJKuH9
z69eZhCV/cnKAzUjmXoL9VoF4QBMVv7bhZNeFIOXUVT0+68G/5amW9iQFXlinBQoaxEUAJsgtO5i
OYyNbqe4FEmROGTVTv1d8/1s7EztQ7IFMhSWQbLGCKYEX6MBUjlwl12LSnOmulZaYOes+XfrLB4F
/0zpZJETq+jUGosAUM0dV+bd/S1dedUgF8uDhUAdV55DiQ6atI2LVD2Pyd6igZn6xtZ08hWluBIh
3U0kTkdzIFiaMpW+1nwGsu5xtbuSID2bmTq2NitwTjYYhMAAAw6l8X8UIb2WealMkz5DRMzeuu4p
exgli/mWYi4QtBoXyJZxQnqSJHlBc8TUVA/GJQQmJnj8pMHqBgCoaCS/qUf3o5kOzDWWc9mQr2zK
A6ADf5WbCL01hXI0hOuoUmD8jZwzpm1K+4LZy1lxn1xr3yiZt6Dp7/5aVsw9mJj/CpFOQylhhVEU
Xc6OXXtKhXEcmGCtvbBsw+BsLUb8/cIA5OVUUpcRLIaEaee7BXoYN0SsJFPECBTUvIGQFnXvaxEc
BZiqJ+5yTrTjzJ/gco2fJvPhZCiYqwHXRJ1CADZukqFtb6X2qC7nWdu37b4t94D23D+SNX8S1Njo
+bYBZQQjrLRXVDU6PEfzfKa6fojVxMvY8H4AWmekdjhWwJtr+r7oht+90T3blPhjW/i9sXVkK9YG
PwM4BeSlwEQtQ1NUd1Qc0hjz2fJpznyyVP79ha7o3pUASfdSjYyAHNvzmQCDnIc1+d7lqle0j3Iw
Qr2BHURrCRo2Ab2QtjPuknpEJQ68++Bf9Fy2YQ3WvAQwdSPmBEUH2HXl7mAUknsQACozXJkRtLf0
0BiFX9nPzFB2aHX1Zu3VinOvNU+q/ePxHUSPK1AxAGDgXZVUfoh1hqSFapw7a9c7P+w6Rfp/Z2yU
8FcuFqpmqC+CJAAlU5kRaARycWmYZpxp/lL0bdDOGchhfpeV66Nq+i9WJCjNMBvNQpZH8vt1cCAb
82CQszO9X+Jv1vA+14AOo1sQmTXdA8oTuB+gSlbyBK1O0jznkEO7kJhPXeUZg4dmjg0dX7tEF3Jk
UGw367k9ooHqPDmvdtZ4w8MDDaDdlwIkTw7FJuCjDAhQ2RM6bPMtCP8tOZgQAIIIgRomwBJJnmg2
pSDbq1RyrvRc3Xfm0Hq1NmQeKt7Fi5EgTxQvXbNvrOqb3k2ah9Cx9jtgCTw3HbcKReKuSs4drrGG
ayxmkSEle23jCzM2qlSZzHPVvzQY3FG+aP1GiLcuAm+uKNqjtVuySkPfJ0Ad1ObZ6upvOUleHLcC
ObEZ3lf0VcUAlvb/i5Gs0sSSdOlViMkIuG6dKeD/Ip+JvforQVyBiye3yJw+s6zKPOeYExxy/e3+
AlZcetAhCt42FLZvg6NMW9KsrDVytvrAjJ9JBidlR9kzZjFuwmlWz+RClqSDc8fxVOCROpeD7uW6
79TAuW6ljFZP5EKIpFvD0M60+yOk93+pj6OzcY3Q6WGCeQ7Oqew4WBTF7TFLYXBw1kalvOj2fLx/
Iqs27UKEtAB70tVSaTLc1LRyntFb2/mWAhrqDtPIvJqUfPe4PBspfwsQZ7x+qvT6AK/VWYNaQl5P
Agxw8wwy+BgVGHSPY/+xYRpmuInCPYZWSEbOnmuuuHVNzkpzqOnhcH8dawePpw0vAWIfsINLV5EZ
Vl4UWgITmnvKt2KLPmRNeS8/L93DshqsORPHMpLQZJjV/eKQDZjgSswLZ/HvCqT74SRFjOFtWEFS
7oGXr0pUCA6lEqIxu/L41rC7rQVJeoaZHkUCriBgzmoHGfDXSdMA7NvfPxTxEdnSY/aMYYtypWB0
urZeoAgjfWlQcs7Y26hgvChagxPzu258qp0Tgxm4L27t7qB0D8QsIngx4ONaHPr9WxeEagTIEx0Q
/E/WqATZRDGoMLwvSHzodl1/BUmbF4PbPW90CJrRi/fUUf5+SMEax9L8U4FsRuA0xpavs6rfoAAA
i6gm/ifd08rtpppxRs6cn5w0zIYNn239+wQxKpIfaPKSbmfFuCCxWsjZTPd17rnTxpat6RtoCWEB
dKHj8v1E8bxx8rrWz8a0G8odShIs3wjr1o7/UoR0R/N0mnK0AOnnFCMcloDrT1WKvogNJVvbKDA+
aOA0wEBeFNmulWxYElBX67p+Zn3TeplmLL7bN1ugQGktCE4xTQFctCjHgkYPAeS1FFZkvJptxT71
pLeOKZ1bb0mXOCD29Mnl1Np4df4k1C40+j/yxABArAklQxngm6CoaQ8o+58Qe6cfTDNN3uf6oEV2
YWi/s8XtAzwf5ue+QWZ+qXS99dQqzt4BCVQwb+y09lgPmfPOyYwpoCAxPzapOvi1gg5ndKsOPgBO
HP0hzPbTrp1eUnPRzpy0iTeiWuvbbux+aUpz9ApVy71OzbbyCpL6/VmfKG0bSO7ByMrxI5IjSWH1
zDllYzB0DX59yOwP963CugwgE8XIelRybq4osWKQezonZ7D9xOW7onmPwbsb+ifZnv9bCXiKMdIE
RP4yqUarxsPUNNQ5GUvrTSk5xAl5RY5rl7JM8TRb2XhY5dD4PwLRyQjcIxImYG65VsXFgXOrJ4Nz
Uivl65gZYPAAfJ4V53nROy8v0nfouvPUVkGWjkS5W25ca+nC3ciXjC0rY6Zm5uSceD88jSx57k17
I7uwdtswcleMB0Vt/6brbkr6pdWg5acYjCVPiqu3b7waHMRDzDkaKScbe7q6JMGWgSwUZmPLs9My
fUQXSUrck4bKKVt8CsjffV3ckiBtWl6DT6QBju5k8J1uhepjr8V/zgQBA7ggQYaCxMK1TqScc7dM
K/c0FqOnzIP3+/7Pl9Nn/xGAyVmCMhU0s/LEhVlR2mpyOBq3yr2VPA2/7fIZfXSZ47VzOH2P57Cu
kKcJlH/uC5acsD9ygVnFzDlhJdDpcL0w3Vn0vmoc55Srr0X8STc/kLHyGlDSzdWXafk+bKmeOAjZ
8CJARSoaLgv63yWjkSouBoUV1D2VqIklNH7RleKpKhyQUbTz6PUsNkMl7v37y1xTj0up0vm5bZkW
nZK4J15oH4p5+DLU7VZWenUrgWAUXJ4iZyd5FGVMaFYg834i6PNjMWZoF9RTln+K/jyQaOhAgcJ/
3F/WmgVGyRmVPtQObhNCk52NdpOasMDlM2F7qz1i/vj/JELOBTV9NxU1UmynhNLv7qC9taq7eGls
P5av+48ioraHDImD5gw51DSLjNQM/VQnFDB/GGZ9LEeW+kjw/NKoO3pxTdT9/ZWtaqIDfKGYWojk
uKT6NbAyUP/ROcV2zEN37OfARa8k2ORo4at9r4YJb8A6RuKtwuLak2Ygr4uLh+k3gFJeX7o4b+JZ
5yQ9x8ux1X2eBr25b9nRzv+F2UJGEjPORPIf0KJrQcsIUPdYt+lZBwbHeCbmRtpp7VqhkwM9aOje
BkmqdJlLx+zafM7SM6melTxwt4K2lXcKvj8o3TF4F8glmQ6MqhNydU1in8aR75NRRZXHDEt+7vnj
DyICaROhOgwhcnWSLoy90mrNOFmnuE68SqNHlS/HgbzkeXBf6VZ2DAUSuEs4DDRTyjuWmQ1RK7U3
TwO1PHBfu/NWRmjFJoB/V9Dlid4NzZBewjYB9dVCdfNEzOnUGOzDpLQf+rx63EsRHJLo/gVR2wrm
mrChXwDtOdHpuTWO+oOcMsIeCMcEJQLETxr+fa26WaMVZccz8zQaAZv31RZr6Mrtv/q+pLo0YbVu
Yuj0SZ3C6mvRsbBrKVgOgBBH9snZwpqunbsYxAhKNfHKynU+FFvY4lCXnMg+Tg4l27BlfxRUelaB
HwB6wEH24dYXV5aqqNGTTk7aUqivPF7cfzAtGn3kpBmfkgomBi32SOKUCAmMolR9NI+6+6pasr0z
OHjxW6PcN67FX9ypVDeUfk0l0cOEwiDaQpGXF5tzkdTFWNJGXeyenJLJAfWeejCTqgpsJd4aQbti
WIF9QUMWMp5A0smxapGrtI6tkpwMcNtDiIe0hd8iBNKyva1vVRnWrBPo/nCVUVfHiHrJjINFa66L
uSAnXTmB2wAJ0sRzyMdNvus1VQVEDmUswDQwvUmy4o5TduT/kfalPXLbTLe/SAC1S1/Vy/Qstlsz
nsX+IjiOLYraqH359e/hJDfpZvM2MXlgBAgwgKq5FYtVp85JaeMerfCJomfZIp9W8pw7D7VxP+gC
QtVaufBL73397gUihNO89pqwcI9uOo0bg4D6xs0Gb+s1Pvl4UOafmpKOOKAtnlWXOVzI/OTwx9DT
RWTK7YAuXsGNiZmTYwrwpozB1OLQTUXQ7BywV24LTpZb5gPvNo6u/0BpG2iOotIoSLDwYAW7wCXc
tiyGYEby+QjWp21SpABB7zIneOirR8o08Z9qZwDbCOVuBy/9C50F1+JdlXeBe6ys6rdD+aby0c/S
mi9O0P9Ypupr0gCtff0GU20QvIsDOJkA9H7yW86w+mUKS+xGkFoAv3Y0rQPk7jUeQ+UuPfCVYbvj
gYrOnnOPUSVllU6N6xy76jOYJiJPp3GoHIUDGIwn0GQXuIsB+Xp7Tn3nyK0tqfeNFWXh/vpEKd4D
Pgik/jEheT1mZq2/okR9HFDJWEojMjJ/O3a/R//zWP0Y1/QmnN+um5QRiu+3pji8SKVZCAJkgiye
Dd1QhrgGAI/pv6zzSO8ytEbdoBfO2bq8hniJl87RylayWUfI6bbB0H1u68UCbwD7xX0+H/N023l0
X7egiGdp4t/wqctRoreCIhqDoP+gMNrfvxnthyD09ewL7R7HHe3WR9PxMZh3Bl6A9iFE1syPxg/S
af5lCJkhBKtodrsomTgjq6acwl+nDYvAslJGoLPS6VKpjj8wALjpQwwokAM8i9SW4TeDc1zJ62LB
6/hhNDZ/WC2PmKkjgVAek784NsUpkeNjlOkHn0yrcyTrl8C/BaPj9f2k+j5oMvBKQQFQdC2dH8Ou
oGVqWAiSDJ49t/n0uSA6ZJ3qEj01IVzcSWxA6Ux6o0ucY95aaFMajT314CwRwu5SwB6vj0dGQr9v
AZxsoDpFt8WF9qRtG0WSIht8TLvU29SgcbCN/p6yajcN9nejsD9lZbOzquxlWCtNvUs5UrhNPCsR
nmC9zkfK19Iwp5bAdi3wKC3kYo0eAXTtmNPeBYuP5nJQuTikS6FeAhZDOGtp8bjr9H3BV/9oEDMa
UvtmWqyIhfPN9TlV7REcqvA9c48isfj7yQJmdWWbndf5R685JsanIv4PnxcaPkjU23gLiFk9+fzc
2D4tIHp9dJabZlvpODXeMdty4AxevH++L82SuXZ+7jB8vyjdwo2clpUgLVm8LwEzHRbxLLFvQCO1
lFFGWXPTJYThnVsm0eRTY9OQsrgprJLu/dyfNrkJWhnQWo1vXtuyOKwXtunaar6tlzo8pA2Sh3bI
g291QZPb6/Mkfqc8DgjIgK9B8MFd9EClflmjYaMNjkNYbvIVfEBFzGmBWmB65zAdf6VqL4s2Rrxm
oFiFaOB8VUCBRdouXYIjrw9O+LLcZ0Vs2YfrQ1JsYFSEBPGBqD1dhG8hb02TW6gvlMUTsJiRBXIr
R1el1xmRRkLSfIBcDV5FFi1vnPVmGVHHCDUjUZyRADySuJKhcYWNLEKFk00MluXA6njoHwGGfl7C
busWVKe+obEhJ+qSdDXndg3841wlT2m/PAT5+nx9QRSrjmEAQAOuWFSV5C5ZL3PTwWkxVwV9tqqX
3n/qq5fs6boR5Tgg7hMiiSrod8SCncyV4bUDA6AL4xgj8JZ+kOxf3ACoZuKtjGsAZWU5S5uiMLcG
Y+sdFyjFLdva02SSFFHf2felR01j1hNH6sI7jrzeV355P3bT41yV29H2PoGE80dg5d8AnNaYFdtU
Pv7YWnj84jUtuk3PZw2oFivMaBMcu2lXVltyW74ZTQSawyTRxP+KTYBQ4x9L8j5jBguoWXTBMWyM
mCbeU+LyQ7raX5i1/Hl9K+hMSQ9s304MmqP/7QjnFhWFu10DHmUgwsuWP65bUmy6s0FJq2ZW1mzU
DN5zcbcA94Mm8vr3lSMBGl4o30JcXd7USzU2dpPAlQ3MvWv8Gqy1u6F3P82p8V82wokl8UtOjs/s
ZTaZhdPs+h9VBfnV8GfgzNvGXSO7+5PpygPKiTsxJ12fQULrrHIKuAQPIDdfvBg0vlPhoNGa8u/U
SQ7aJUm5hAucTp0fFg98ka+FLgjQDUI6PClbWIs3Di6a6dHv/3AcTYikGYLM448bYfQpxSTx8Bkk
kyRDP3uh49mQMa/vse3JRMl4s7Jpg7ZbauT3uhmvN/7sQPwWEKGHsTafSNA/OUHziyfGje1mO6fz
P9XWuLu+zdUDFUUNcA94F4iAYkqrPrBm/8jT8DNr/Js0TL/xSQcW0ZkR63myx9Oc2k5nLACLhMND
Hlo/AclG1dfSHCWlGTSVvyMP0D4sbQsTUiRWYAz+MUtf6+w7T38XmaZAo/QLAJIIrAGAgjJVHqNg
BKFjGhyp8cmtm8hzWRSwr1bx9frCqEANSDv/a0g6RTkf+snhwNckS7ttunkTgE2qG7+IBh1reU3L
uB/8qKur20Un+62cRiBIkZ5C0Qv1tvPV8iiETXmWBccq+bSWt5mzYbomcOUBPjEhbQgrN72s7mGi
gxTHeEObjykE/XW08KCH2ArikgtZGrsA020KPrljlvjfOBtfLTvZ/ZcVQkwirIDHRga8uR3lpg3K
5WNKvqUpnSODN/2mq7Ii8tA024O+mPrLl7I2bse1389r/nL9Fyj3IgJujE+EEXJLSGFleF64zD8O
TdS4W++tAOJA1z6jCI/wOPnXiHSlJ5xUvuHAyGQRTrdk5H+gF6B6rXt/ejRCMvyo1nQCaW/Xo7cz
WTVvcGWdBP4JahRIC4tWu/PNWACRZbGS+0cTrbm0zm/80dz2ybAxrfYrEJY3C11+8pT9ac/dredn
aB8Z74JyjEdrvCuH4Pf1OVe92kBSFb4DY3A6xNk58WTTlK4Qnkq842oM4Bym/fiQ1ll5JKxbHjsa
OjepBe7j/2AUYBwQewC4dQFmMZYsJzPJ/WNQ3GX2fdBsUWl3nMOqY+9RLTZ8GlowAGoBKFY6+Syv
qgI/wjtaCK+izOP7wnWGiFXj4zquZLdY9T41hwNoWB4/PkSAdeBRscRC//d8XtMwyEi7prghqu+9
85N3n7yh2XvhYdEF3irXc2pJihzZmjResxjeMS9BjbtZ/e31kZiqY4lWLWxXtLWBYE66hUhSrGsx
mN7RL3jJASnOgq25tM2uzdDrsdLmBXd+HlkN6XYTJcUdL2nxMLkdj4dpHG97RpdDk9l8sxiLt2sK
T5OhUfn3kx8oPwg8ygzPGrDKi83u+rreuCDw5d5/cMGnVqQVpbmZG4A5o0KPLsx+a+vytspR4JKH
h/dQdJAv+6JzSEJtXPbg1/veOckdaNfekl6XgVQdeHh40N6BYR2oBmkYBaCSnuEhQgrdGoxGfEP5
8rn1kp9mNb3ZLf9gP837zXVqT9qefh+6vTGbSDquZJuU9WcwMmiiW9XTE4NBdhhYbRBuSj4Mr+we
/HWBBxDShiXbrtlPHvrlI6u9t3XvKOUqndgSh+XEX46LnS1uBX/JgXNG85ZnNhtLF64rTxySWkLW
G4GsXNeFZnhSphkymga/rRMaQYXr0DAjssfi9vrhVg4HsELMHbJpKOKdD6eEcOlSupN/rO35J19Q
Ql79J4A6NCukMSPf7OiDYnPTwozpLMfGycA3EuzQQPL1+miUrtAHKbzAEkJaWvz9ZHGyKp/bzAag
ykzmX2lRP1iFo0GdKI/PiQlprzV9hRb6RphAcsjdBPnOMB7aGdoCmiyUYg9g8VFyB5oC95dM+TTS
ZZ5QG/OOHsuiBWvf7VEzbpzn61OmGA/MOCC1ELoLFzD0zMyTpuPMw8uT3CJ74EQecujmMuxt2h/s
lWtQdqrbRGxqH53aoglOLqw2NCeDEdTCjVqPjvXK6c/0wSvWbeN79BF92/SuL6gdreFANqw0jyU0
EhKP1eDDK8iPISflLRiXdclLxQ5FkRd7BslkTHgobR2rHRoumDaPlndvJN9Abb+xUQL8D5MNSjyB
30UCM5ROG2U2s4BCAa2pC/nj1C5uVlI8r5X/glW4c1F4vG5PfE/KyQW4tf+258vqLLwJ6pVxOMY0
Rwi5DYY+4vmG+ZslYFE2btpV404UBxDvqwCtbSgvga9XeuSVSKJnvT8jFoGUELgFNUGV7vPS/M19
7leE4PPu8DbfEf+/fB6FC8FGKjrmJN8eVPXYEgOfL/37sP6M8uz15VD+/JPvi7N44p4mhEtLl+D7
xa1l7ptsf/3zqtW2EemijQXV34u2dkiPGAxBrXvsirKPOi/YZmv3DbQfu2oad1Vt/DKD3N0Yoy4y
UrmqU8PS2QmnEAkfawEIhLPNlA+b0eUbx/o5Bcn2+hBVMwjkiuCRgHTGxXWVV5PjAd3i4qZ/ARdK
qLmmNJ+Xr6mpKavJavB5RqCMnnkR+ThcFW8tkeiF44Nrl94jXmf14zJM9tHxQbTVAVp64y65rhdb
tR7wr+gpAyyMXOQ7epri5cEN+2iVN8W6n5qD1R1QCLy+FkorwO0D/g2I7MV2M8E4bRZjbR05EgOz
7d8GJQTdZ6Pbopilc8+KEA+Ja7Ro4SYEYZuMI2ZARIN7qLeO3WKn6AyY7krbf22G+lsL0HZUeGEa
tXg4Xx+i6kShNEsAogDpAZAh5we2zJ10dvLZBvSc3zfAaQYcLQM2+7GMxrQZsvrNDpGpH4rwg82H
70UioO1ENxpUE7Hdzy2j8yxfvC61j2QYvtIyvM/XUnMTq248JOTASgemrksx5Sqbm4IG1D5W3cFY
ligxtgP9dn0CVcsmsKaonYNu4YJXcsxC4ALCGiCnFFmFyJzKn2XYJJFVedVvq5/zQzHRdJvUNtld
t6wcHa5y7Bfcexel2wq8ezYnOANmN4/fedDOLwH3ILxkTavmIChNvQOtUI+GAIN0KxWrt1i+0TjH
JK8/ZUF5yE16l9RMk6lVOScgbYDnejcj5/BRwJ9bTluYKW+aapPrGKDUwwCMHs04YBKRj5jJ/K6e
PXx/bT81y92Q/AjM5/+wKNCKwTsNXQdAC5/v6sCosq5GbfU41u2LC9XlMEv+bIbgfzMjs4CuqHMl
U+vZuMfB+FpbNNwvuPGRtKCe5jmgnLR/R/Se9T650qlHhpVWgX3k/Ya6FCkmUHx4mg2mitGFxM7f
0/Zedzkx0iF9nZElBbQ684ATxAvUOJR+7eyWbsg3pASOZ7K10CvV0JCjw7MQmkjQVZWc39olhcCn
O0dS7gznQNNPLNekVJQmgEWCBVzoAEWd7wc+LJkzlwT45bV4m5Lms12Aop3pul10ZsRNdjJ/npmW
1K1t57gYZfM1z5xsi2Z849u0msNOs8MtfEsOudHQiwwOXCq5oAicTVLaNk3do4+OnwgSZSO4F7Nu
0/huAbLAlNUP5bos+7pqarA/JN6Gc0h2dMmY42AvADznfX7ofaPczanpDtFESHHTDXO9sWrS3QWL
2YCbr5+i1R+yO69uYsahxwZFnnzfg+nlkKLdaE9yG91e9RCVOfpJFs+Ee2+9n0ln11Xkrn2ymaba
ixCQiM7zadhM4KX4ZZQWYKg1+e4axHjDi9HaGXTpHrplRjCMIqKzTxx0CiOBbkaCQenJTUA6yTKa
bZ1q7G9bt872ZEx0SSuF7wN6H9OK4gTQRfLD3sitNE99wAC5uVu2KdesmiKUwefRuyBENOD/JL/U
TrwAAm92j033QGhc1/dde8hKXSOxchSIXgT/OsIKGcyYQyPaR+OpeyzsjTdHILXVbL7LvQd6PYEn
xgMA8Ftpn49Nx6DB1bnHkn/2++d1jfrs4xGyyLQBrSbqM+AnOD9KTY/aU9cBnF86T9bDyD4ek4C2
AqCYUBC4XXQ+LykvrTkp3WNP/2gmSCmCJcdcNWNQrDa8KVoZgITEVMmxVd1kc+f0oQMsVLi17RJy
ji1aao0oBRHth1fkzJS0IjSlThNO1D2m4abwPrVIYlj76yZUlwNSnoAP2hjOBbKrYOHKCh/Xdj32
DyI9zeskBd+d+6UaA2dfuYGmgqXYxQE2MIqExAogbyVtAegqp91gOPYRuLkfvr/sgST7eEL/zIQ0
bZDMScaxsBGamuZ2Md3HcDYPAsV4fepU0WkIQ4EH2gfBlHO+mVdQcBjV4NvHeSpfepPfre1645UO
0P6Ub/t0yCNQxWtq+srpg+tEwhVM246ccV2N1MrHDG8Kr3wEI5w7aOZO8X1IRsMLYGR4tsgFvWJx
3XyALsxx8dByCXmzFtyU1+dNcYDwMhE1Ygg7gFtIKiHUczIY9YygxwvCn6nVk6fBLvmu5GCpdCbT
+/ijGVU0VPBcHw/AC13Gqe8gbDuiecu3QRJtudtm1Lgd5YBOLIg5PQkQJgNyYFMBCwNNINMbHgYD
MqrDuvGHShdmK9fHQReaIB0XhH3ntkKjHlYRfh8hbtb4xi5xP6hqJd6OiC3+sSA/FHJvQR4GyjPH
hSU/Ug+Y4nnir8EML3d9H4iTLsU6QHbj9Ai6NHBwSOcH6kpTWySJfZx6/stITGi9gFI9Kq1WZ0lM
yjVL0gJxNLSuUMaxj8Zbz3bOS8cwd5uBbXm1WxfNCVUOC1sXvg0uDnnM8xUK/BrNOSvCbafrXxwG
5ekSisBLoLmtfUWoCBugdhZeG5g86Rg51tqCam6yjv0MCq2FlAAxO6WLFtBuOGa9625BgkWgX7za
j3bWDV9dMi+RjaC/j7yWzVHi+Y2Qk07bP0vg+4DSSMa95fbzWxHM3mZmXfBg87a79QKj/god+Hxj
pgl/wrrl9+UK3+pknbtZ7IYe+jEBD0yylOXeSpzqHmoTsx/5vPI3PnW8Q9n27RfXaIv7ME3odskP
az/ctmjwhN5FUGxBN3CTgkx+NjeQ6J7TZFt5wT1LG+cT4kEkuUvebgm4dR6pHaLxwSDtvRmMbux2
QfobcXCwc0PW7Vs2rXvWTMuWuIP7wicEvoPXZBtEVf7vpRZiLzWzIosPxtZxunlnJ0GxB2g6e5wz
274LE6vd9uCa1SyXykdAJQDlGKQeoXEpLpMTH+E0K2vQuYRuCUDaH5t0W7Hd9vp5UppAGwMod0WH
9nvp5MREl7TUsSF8ePSSnV82AJlmUcl+jvzHdTuq0wQmkX/sSBvcBwsZRVuGe6TsmXIQC+9WvsvZ
tMlmHpm8R6FAl79TnalTk9LsAX4BtWMwIBzDaQ/wobfu03F/fVTq2QMdlWhsF62q5wvUuMhozeGI
2JHgyZM1SHuDzm2d2DfD0RFfSUEXnqyiNIvuA6GXIkSJz22RjNuA52RWjABpl63ebVgglMTzctPT
dm/7zeb62KRL4y97f9FEICGIHNC5vSlJDa82Uyt2yw19HXVkvNLU/f15uDwkl/B0lTFJ8Nfhupi5
FftLmrz45Wzv2rotEZ0sjrEJ3cnVHCbleMRljgQ10uBykDKtRm06dmdB+OjB55+BObw+X9J2+2tA
OKrQzkWN8eK92EKrvupLYsWFWW4bekwoSDw+yA3xlxE4b/BbAFp40VHf+oNlVJOHWeNuRFZvaydk
7+Rf7E4TAKmWB43X0FMQNztat85Xvxu9cAkyrP4wmsUmd/NnawIRlGVCiNHOTR1VjWpzn5oTk3vi
hnDxeKwchDn3Gw2ei3KfFPtqfLbDt4+vkgh1BMG04ESVLkATjLE5EuhQHRre/Ol7su7bTJNhUk/d
vybEHXwylsaC2N86woTf3mbhjq+3TneLXvzrA5Ec6vtOOB2I5A7MqgsYup+sGOrL67xP7ylHd9ZN
lkT270RXA1Maw6ZGpgLtKRcAQqSLrN5GRiQum365JYjvnhjpfLDJluatC5YogCebyduCBJ+RKElm
HSBMOacAM4N3QGQA5MMLrqY8oSj2xGY6fGra/I+5SyDmAYr3aNTyJqlOMmqx/xgTP+ZkARE/+O5i
FPB87a79s2IH5K+uL57KFyEAA1wclWuAEaXtjqa7tQ6Fbx3dxyz77NW317+vHsG/35dGUORWWZeE
WTEeVFFn/dlWh+U/iOHhHfavDelGLxe2duEIG12yzpvZXV+x80Uqb3z93wYj3ePjkA7M9HCeALq6
Aad/5BjjNjO2163olkS67ho6s5k7sAL/jgds5x/QufJfnCoavgUAFSUiORlXAsnFx8A3sbG26SeD
bNpP86AZh3LpT2xIs+UnLTcMMHdAVu07nfe9eRjG39enSmkCRV5k5MQ/GWcK8r80N2tMlVXcVcm3
GskLMiWaI6IzInlR3luF2dsJxuF+IW0YsXnnZLoqh3LRT0YiOVE2NCAvc2EEZCY+pA0+TiVtC7Uv
xIeCAZ3IvYNJR0Y2T64dd4jg2x8T0QUdlwOwCTAJaHVG1sUEBObcVa3EggaUAcL/+X7lXlT1uoq7
ygCa4KHTAbAestTSsUjMZW6N3HVil5FdMOcbqkOnX7p2iP+ItzyS00i2B+R8CM084006g7Xe5kv6
kE7mM1AYEOor6sewzTRB4GWcgccvtJRC5EFM9KRLC54mU+7lQ+nETb9d82/tCkeyIel3295ePyOq
ecNJhg0AspGqENv75A7p2oWGWds7cfIJmPuk0jh49eeh4AmMqY0GBWkcc291o8tA5Evy+xFd2t3T
f/j5aBkgyBlh9eV8dVuNiWtknhN3y6YYb3orvv79y9Mt0A1QKYBSvaCMkcIw6hcziKGoGyOlwooD
YC/5x+9YmACFgyAjsS+Tnm4NBeYG2s+xWc7mV56F03djBpPq9YG8P7tO0kSIw0ASD+pKoWQDfI0r
HZCwMsEO0i9mbMxh1ENyAYnSHzPyGGPyAi6XKJjLmza76+YvywpZIP5nMXwsOf7+C8DrgKw4Xh2X
j1BzNHjqOgaJUSgjN3VmaSJNxQEFsuuf78sIpbVe04FY1ISQzrJPu243VxQ4Z6QRk4/BDd5HAmJ3
IEMd1KvQPnF+aFy+tkZd4e5yumX3eWjm3fXFUpwaUJTg65ClAODdle4U06lYnU25HRvBtzEedOqO
ys/j0GNLA3F3gTwBK0lpAkpkxwGEYKcX5+MRF0g0/v2+3HPQpUXle21gQ9cRWakHyDlGHyW2EEsA
6jkH6Sa8kkGxLi1Bi4wGdc3JjnOcyQw9AboX7OXJB9QRTR1IZsCv4PifrzHpZ7sXFb3YKPZglQZC
J0u3H11mmAB3CygUUMAN5NRCSpNi5A6dIKfxnFCQUfSaAOjyRMAAZgjd9Ch+gpzsfAz+4FJn9o0x
tot6j0tqg7p6Z+yLQHMedHbE308uEQ6RYxP1ojFOEca3BgqHfJ+4hxLF++szplwUFFagIAVi+Ity
R29aZTGjMxaK49W27cnPEX2Rtkd//m9mxAE6GY8FavvFBSFQXPXO3gb3Z8HrPwK7+HHdjGragGND
fhvNJgAkSlvMBDbGXfkwxIzFvp1BGa+MmLtsu/bj2r94CiI4QjgPd4Uzfz4gt197r/ftPna9mwqs
jeHBS/soAP1k+mNhb9eHpVokAeDGpe96NjKB58Y6t8+RHDT6uFkP1I+L/GB3mqtEaUIgkZEhIZdw
XsAgrGJo8iGm6Fbl5FEoOgU65IPaiCBoRckIODnJC3fAMObEcfoYiSU06QPW4QYaD6AyASYNsGuJ
OscF6ItQY6SGg/1c8K9ol44q8kXLoaLaZQFoTfEAQp/+RX6UtYNZgLFjgjfO73zufA5rd8/Hdsvd
QBPtXUatotjl4p/IF1zkSrPc50jNFHMcrEPkl7dThsKFtbWnr2Bv+PC769yW9H5M2rCfIMo5x870
HAQvLegdm+zr9Z2snjqxyZD4hcaotJNbmgNx0WDq0vm7me1ndsfXTaBrmNdZEX8/8TaumVYmQ4dt
7BjzjZmO71rsvvWZdJpSrnBb5yEgpgz7DI2lqK1eYGymdAhpCzh6DImICK2RUbFoQjDVfj61IC2K
O/MwZ2E7x639c67vEnbbuLqmOUUkC1o2REYoZohj6UnzVSV9GxQLiIbb+ZUuL6V1t+bezglRJ0xZ
NJRvffmW1tXGsO5a6wHNK5pBvgMX5XkE0B6PJahhoJos+e0gDSgbfWuCRh5/G337jlXmExBMX9bA
3tmrt1ka+94VGUYPMsSr1367vi3/Pz8AOHn00AKiISeHuQslxcnCjgnax8r6bY7jti33jXFLhteA
7QZ+6M0Hx/5wVgjzDkzQ/7Mq+cNq6Zeu9GB1cXnUIDBqtkv2R+pqnIjqOJyakSK7hhWDyxZvipvg
zau+gaiHQ4fO31+fQ9VZOLUi/n5y6KyldikRVkKfRZRnEf1+3YDKFwLXDXyoYK2+SEW35VqDumTC
JmkZ35C526ZrcWOEwS4j6TfDT1+v2xNH62JT4nEn7hHAJ2RfZcNPLTRZpzhpRL/xrQlWnmG+NSdr
awG7VdS76/aUEwgoGhiTBXurfDuGpc0CO03nmL+x5NnxNCGYeI5eDOfk89IuKLLECsYanyf8WA0g
SE63FDpKKClFvWCBHrfE0OCVLzceUCd4maIpDLmEi1eX3dIM6du0Bl/6czhZYDPbZam94dnLR2dO
pEPAbYo8lYNCn7T1jGGsBihuVHEdeUu6CfHfdQOXW08QpyKnY6FUbl+0yK7Uqma2LlVM96G5836H
C+phu0LjBi99vbCC1A7SXIp+I8Mu6JqNsJK3NIqAk4h0leTLLXZmQX7Q1/lYuIGwYAb7AgQMOkJq
5fedULQboUwJjOC5D6Cd3Q08XDFP7LHc2DqknnIZcM+i3c9Er4qcO1pLd52oPeHz/hKVGVDB4zfD
2JrhtsYb6fqSqxbDBtu7kBJG/6h8+uepAK8mzSvoeD/5eE1Uu0DXoHnpYFwEj2DCQUcyymsy1UE7
un5Ox6mOSZZvzeGuW99cn+MRMeyyam+Ap/f6kFTTd2JPziIwb5j5XHR13FhjZBZhVLvZk1OGZkR4
eUirUhdYqOYQPT9IxgkvcNka5rHQrRxSxYxkr9bMECaxzVLomIdVu05kwITcKOCVjnSNOqwKyiHz
cfzXKrpdqC6fqBwG3hOIwlEJRXvP+a42xqUMysmoYnTaAb/u/zIrVkVzMumU3RWBmOhTxmsc7Ev4
HxkMZs8WXABlNa64Iur5rdHcVusSEQ/AI+Pgebdd+XUdTPwI8A3MX4pq9/EdcmpfjjadbBiqFfa9
nP9oHfOhTFgfAfqwT9vq6FThx8BvyDnhMnew8+EwkEwNxAVyGjOwhAXdknYxLcDl3SLIAncH02x7
1fY4NSKOxYmRdciHLpthBET/IAlMHq/PmeLz2BMm+togPoHbQfz95PPdYg8oRJdt7EYZKlU6P6T8
PD5uiaQWuSgn0LBo16RaOIQv06gbX2tN6Kv8PghtRSkBEKNQOjytkbCZtfh+wl/KG8Ker8+O4uwg
LYrr3wannXOhOpMkpp8OJeNxONC9R9pd7n0ZdY5NNQZcCALDLy5pWeS0mHjXIFnGY5b+6EGf3s+a
QEZnQPz9ZI3J2LkjoiceW95r4/wOzafrsyT2+XlsJqpS/w5AzOLJ91k30sntJx4vYNod3Zs5gR7f
PeFv180oLgDRPAvmBfAyA4QuhYD1VI51v7p1XJI2i+bWadAbSWOUF1+TMXgz0l5zNpSrH0BIE6xI
cGnyDQfyzrroA7OO3bFekLJGqQfyNvdG2Or4bFQrhIorGoPBOwv6IMlzLTVv0FNjNXE2bJevYM+9
PnOqzzs2thaIXZBwkfO+YZIXZeDhlKQcyP15KefHeqD57n+zIrnDii4jFJmwzWpi3OWTA+U9HT5E
MRCIMKMUgigWbdQyAx8kDE0Q8Fl9TL7P3d1cfTghgtrByeelZVgbOBia4fOQ0KDghL/58ARB2QLN
JyAuEtlq6RyCghFpnQafT787wzfboJplVuxX3OEIxUCZC6Sd7AwZD4yGLsUQE8DXCWr2BXRbdPgt
1RJA5wc6ZnCJqIBLZW8/I8bYTOUQlyAuyHcJ+vWuz5LCm6B+i1w+MgsiNy0tQg1GNTq4SR8v3v3M
77L5foGksU5eQDVXwN2I7iyQu18wSIV916TMwFwtaxml1a/O+mVBA/j6UFRzdWIkkDzWCEBL7Y2Y
q859azZDpbn8FGMA3AtPbkHzjBWX9hNgwrQdiNnFRnLDLDCUxNd/vu774u8nft3kJChrF9/nPWQn
v072ZuUaF6vw6aJ9De3u2ErexTKAxjs05yDv4w4r3JrL1rHeugoUzI/p8Hp9NIrFCEMUtYE+Fcya
MoiJdK05zBVv4zczjItFM1eXXwfYAEpGwMoAF3CRghs6UHdZGXFiQJq7Q9JrQk3F5xGe4QqyEOsI
vIm0FKvlclrNNjw4yBtaFnm7j84O8tm4GqDmCxqAC4aKgRj+jFoTACbpr7uR/vnxr6NrFJvUQpUZ
Rebzn1+MTW+aDB0My6ei+4y2ig9/XuCU0JaKp65o+T//vGMX/tQAYhyHhbW3q/XF9HX655deCUSi
eO2i7xXjuChlsMrtMgd8VnjbRNTdtOE2aQ/uoInULk8c3n9IIKMGDxuXPZ0Z7UkJrpA46NNd4e2Y
T/boDfmwh4UVXKCYKmgq+3JXYuM0c5AYjQUQyxTV/q0BvdIlJo4m46maMgtvTsFgBQkXGfgPhQN/
CdPVimuzOhAXL8E1LT4jx0qiEsqNH94CSEcgG4E4x8RzQLo1giClhZF0RuxHVftKk5frn1csDNTB
0aWOVy0kOt4z8CeuMJto0JgND+Js7J+HPIEROwpN4/m6GcUxPzNjnW/kDIybS+k3QVxadWSu0Thr
1kRhAIpuBDnAd+FuuTli8PowK0wcRKf9aX21cs3vF7N8/hLACQGoDw39Fi5WOdBMwNnlVbXlxmXx
M+33/I3UD7O1J+s+m39/eKqw3u9SYageX1SVzaDrsryxgcTakfSOTYePfx7cSfC50OhAxl4Kc1bX
putIDC+uIMOC+okuW6paiNPvyzWjjLCFmJkfm09tkqMxbNDEHorTh7BGSFfisOOcix19smPHsAsr
v07NuAK741T3UU7RCMjLjaEjjlUMBR1EiGlFpxfIHKSpYrlRdgtvSNzdsRGU1Zoyk+7z0kyNVsMy
I+9InEd+ErFW4wx1n5eOHLezVrCCkDhzt4xuMp2WpMJzoK0doAGh83lJGtiwwV1Zyta4HB7BUOjk
32f2ceeEqxtZZUT+IskvLfVi8LEx6haQYxZEHRqq/OXOmTXLoBwH3hSINiE2ecGvTh2Sr17BzLgH
c1U+x3NnR/749fqpUxpBkyfuP4BFUBQ537TcDgaDtQmJeflldX8lY7VxdbBDtQ2QfWFZQAPgiw1x
cjAG1iFF6AIWCAr6NO/B8PFlsvqPnz6Rp0BIhVIIDoY0kLlsEpbkoF0j1e/aekjobWIAcfV8fboU
e/fMivABJ0Mhi++0dUNJbLu/anLMk/317yvcOZSCTdA+CL5LJPnPv08LBnB4URGAqB8d9mJ0t2F5
a0MEt3ebqNL1H6lG4yDwAdQRz8qLMvoESgk/HwoSJ6O786fwdRl0m1hRKRcZWwDbfdSu8RaQAtFk
RHm3KVsSW+T/OPu23Uh1aNsvQjKY6ytQlySVW1XS6eQFJek0GGOwwWDg689g6RydTqWU2tlL6vXS
alwYe3p6znGZ3lrjrHoBJaI5k9sKTezCU9twdFd+468csNNanGZnFsaJ1QcSA/B9gI0jnzzGCoCs
WxLLjeb71nr0pmtaXFTDxfdf7dQ8opuAcj+IYsu3+/zVNMukVefOfO+XwY4O+iaLhjN3qROHCwAP
qFgt/YqvMGs7s/28rZYhYJYnaCyjOjbT/8Dw6eRAqB8Dp7Rk3scKABpfwZPKIPiTZo7BsHZjMo0p
fFNYIuX46/uZO/Vx0JpfrimoC8DK6vPMhazGLUP5OMkalngDCijskLEi/X6Ur3deJBT/jHJ04oQN
s7zW8ci9sLxrAd0hXfcY7dVieuOTMyHi6yv9l3oD9ekAgRcc8yF12+YtG4v5vuwlOuV2Yrti5Vi/
v3+lk6NARmfRHcI592VbFfDMElUw3duZlcdRMd/NpvZjq8nPnELHnoBLtYagkPn/RvrSAyYMNr58
Gcl2YiEOWfAUib8ee+g6EZMefL7if1Cm+LoMQfOAXRtCBv7/hVbQc4u4lXGme1PFPV+pPo54PJ/r
P5+axYW7sIRa3DGOL/mZ44/gvo3YVawFFmvCRf8uOudC+zU64FX+GeQoOni96mQrpvne6glEXMzO
o92ZBX7yPZbDFQUdwCaOVwMzZT/7nTfdB9FGzLfWdNv/0EtzWQboBUBsErgJ5LbHrbeZg2XVlV2z
vw1bN8ZF5EyYPjFLkMVGnRnbZrldHM1S1FnAG0dFs/eyOg5tHv+cn4Smsg0kKc7XBSN5dBA5rVcK
3ILrfV+lU70uHr/fkKd+/z+PP67SQiIZ0TTA4wvnMZ/XfvHwv3g+yM2LCeyinXoUKRm0w+0ytMV+
hrqag55ucwZCfuoFFjG9hb+FclpwPD+5qNopF2LP4y773TQ/vgcD4AH1lwi1RxTsjpviM6llEI5E
7Z3aTcAPJ/U5PuPX3AkjLOq1KBnhrn18CtfuaGu7sdXe65OCxE10VdoxEbu6BAz2DPz562RhLOD+
ltYONsbxuUUHZmRDdAvc805OV2o+pylzagBAutCeAhYK3LCjRNApAPUrZk/ti4mnwhdxcQ7B/fVQ
BC8BaRk4LkCPofj1+ejttVXPRMxqn3bRTRSlfZ/4sX3OTOXkeyxyFFAgQOngGKEgSMC63ERy7woY
LMxRgkPjpxsD7/HPCMuy+CclH8MKXZ4RI1R9nRhGUnMObvr1LMIIILjAe3mpMx9buEYi8HgTEblX
/FI0gKRtu/5Sm9WP3wNthcX9BwQqCq7b5/fIJ2BZZ2zzfafl2g7j2jt3uTjxLYCZgEIMgC8L0O4o
xAZFWYxRHiro9TzWzV334ywYzo6QUYF0HZLhLxHcyprZrhiDcFh2N5ZJ/fMAtThHgl+Gz42S49er
qtZBVGXVXhcqzTwaa2v7/Sc48aEdeB/jCPXg3Y4z+/MngO491HK1X+17dy2ta7+9jHhanZNLOTHK
gl3xsO8WnFi0HOb/LNjMt6sqNEO9t2Lefnzw6P1c8Dg5goMBQDkA7ei4lOb3slFEjvgS9FKGrwV7
AMcflMMz03Ui4C71jwWDCN1wVDk/vwhHFXr0NI48y+O70nipZdxU6Wg9EpCwY9X9/v7znFi/n8Y7
mriqUNnQlhgP9hMr39Urco4IsDzhczUVCD5sdFTWUIX8YtExkHIe+RjU+0yt4d0Yu2GsztmnnHqL
hYgbwBsYALRjvdy8sYu6zuxm308vjvMxnyN6n3oHIHMga41yyNKo/PxV7CoI+ip06n1woDqO2sV7
+PvvcHIEhEJUOpHSQGno8wgVRLCgUamQ6oD7EzKWwKwnnstzvdxTq3iJuP93GHp0a1McbKrWwzCN
WLn1nVUeQACyf1yMRPt+sReBbhZ4sf7RILA4kaHQvN6r6EMc+nNMrJMfG+0x3NGw53FKfZ6qthoC
YBwIFlSEjMRUq6qszpx/Jy5oeAXw7bF0l2v7ceWLOMoKu9Ku9yGxYtiFeTA2yOVHWZYrYU1xge6P
kSSWozwzd6fWwcKRRQw4pZMUVkXddrMn9nL+oNGjrX4509/vl9qJJAXxHskcYANAOR6z192C9bkw
yHp9ESV2Q1+CnG9mr/4TKieO8nPiQqfeaNmXhED8EJepo8K6q3HB6bpM7AewWalsYkvZKxr9L+Zt
oYMt5SKUkI+Tx6YsBtjZYxQ17MJgM4ypc44ffWrvQI8SRG+g9LAujpK7Ma+sMlA4Y3pxBWTHiikR
d+amM+fAKSc+EOpEuKPbWH+Qlj6aMeO4NdCOU7HXYvw91HaKVDAmuRX7eliNJnj68XpAGRHAT6QY
uLUfi6dHSkNhkNfVPhL3BOutfIT6YjzhD8kevh/qxNYFBtlDZRTXxiU4fN66fBRIkAcPyUDw5MeD
8/PDDFQRaICBzYMs4HgRZNOcQWBRiX31wPrkrKTdiborKoVYXMDtQeYNnpmff37ezPgyLdLi0n/L
g0SM5SbUIuHDWhP4zq6zrlw19U3mnMv4Tyy9TwMvf/9PetP6QTfDmlruR8tca9+kwUh3jcguINFy
ZiMde/qiKLG8JMQ9FwI3Ulv6eSzSFBUkmJCZU+iM5eVN6Fy7w3Upn0Ufrfzw1Y8eKJNp5uukP7fF
TmQ/KMUSrA3EdSjAHm0xMDpzu/VDuZfuH91eRXQHGsYqmDaZ2uZnbRz+KxsepSbIF5aIgas5LNGO
jvVWwW43h1TqPm/uprFLZDiiMCuTnIuk8j78fOuqVQeegwN5L6nuIrpqoufvt8R/fPijH4E6KgL+
UkynX+tMUgXcdUy79wjk1FXfxehQpVnB1k5OH6hw1n1Hf6M1Bv6piAV8MwarW+e4EIhJC5Rd69Rm
UO5rafP6/U/7EodwRV4Yz8vXACv5WPU3F+FQzBlRBzPewgAqnux1267cYkPyH1eqMADOpGiR6VlQ
VEeBgY7S9G3bywMVItnInJ9Z1adeBXecpY2Fui5C0OdF7cOH0ilCjefbceNMKfz10u69U69F8/b9
pH0JcctUEdzX4HCwaIceBe+Kl5qOtdse/GQeV6JYf//4LzsE1zUoMOOzYJsuvb/PL+LVzmTPrT8c
PPqX1wc2bki7MdY+86A/5J45GU68CwQiPdAxIReBK/Qyq/+EHae3TEv9pj3AjdAil/bd9+9y6vG4
OLvwcAyA2DruInWCZ4NbFe2hpX/zFa3//vzxaB0BU4U+FeTfj4LmUrsPue+0B5C13/W5hOPUj//3
6UdzI3vh9wGj7UGJ18SnZyp7X5Im1BP+ffpRjuuWOh8g+NweXsppb72Y/tfP5wb1IwQcF4ovXzq7
VmeqAY0qdajqZ113SW+7P16oC40ZtwAUVlEkPo6tDeRkLJvh4xbR9TgibfZ3xv1Dg6tp3lrdj+81
yJJwKAMPhlsmyiRH28JycTCGTdkeTIGCm9CJqNde8Ahjw5/OG8YBdA5ACNh0Ajv8eUcA6xI1Q963
B5utGrYyP60XL6/xz+OXRffPhhvh/NHVFR7fdzsmH6sfC3Atz4dQ/KK+CWfb43KudKOyyDM8n+gw
HZv8VimR2LZICIxUOQ0fvp+tr6sYoB1kEChPY1BUTT6/ThV1Osjn0RyAa4xt85EHv3xzRu/z6z5c
FN4AFkfCgGvGsdyMmXOOtLIcDyYwqde0qfPjIIgBkIxjyvD8L/yJPOuqwme9wUKOu+K6sH7+fLSF
IUa5XFsglnEUSDB1agoJ9w563UVQY4bIxPdfYYlznxIMuKjgDF92u0+gd3n0FWbBK9hVFd4h4i9e
eWBiTcn6HKfhxKfG3sNGx50cDKnjzA1Q9wn5DXMP3R5CyanuxKr4sV4gXuTfMY7qCoMONFYbxmDM
SZn5peDk8f1UfT1dMQLUltGVW2q6x1c8t+l7UFoxAnziBb3BwbKu6g8yXcDngJNzEIcTc4bbFhhT
YJYtOnXL3/+z2wls2AFLoc4hnMmWkxQKZZbON9+/0tevDwAu0Cho4CzQ0uPICN1vUTs8JAfb/hih
B2/GLBkHhjJGn/x4JBwpy91huRt9ARcbBtAJainTQU9OZMXKtMOVkwXOCzcsSpF+ZT/OH8CVAzYE
uTtufOCcf56/cM4mHHDaPUDPvBtW+hx19r9q2OedA/QWXHVA40DYxN75PEBLg2xsmpoe7Eh7q9zy
qkSwKsStoO2uZzHnI5r3EoLTYSHzFJ7X5sI1bhDr2VZXM7w3L2Qt2N5ulY5z07IN7qfBTQbJiR0V
E7E2k+/3tzbR/IaOLxAVAy7Xh5mcp9cVyc2qblEIZEQGdZx5ZXdL5iBfjR6x3rqK2/uy9Mefrxb0
lFBbgyg47kTHjOsIagvEn1t6CKG3EFUPE+yhxnkz6TNR++stc2leYajFjRCAhOOEfOQot/bMpYfB
YzE1dz0QF274NnUh9B3yOB93fb9xxIWvUgEIy/crFReYE8fGAvdcKEYQcfyioqrg9ZGZzKcHYDR+
OTKS13VOqu3I3DIHQtPZZ41Wt73viARrmG5aZ4JOsAHBMY5mMYokGsnkJGXkq83oiWqntH7rwuCN
cOA7pVdFemWLPHid7YI9zn4DMlNQoB2cuDTLsEzou++C+gWMHb1QvF5cDqKxTMvWkivT19Ymav1x
X4z9uLemyH+FO4+vYDwZWGttSxvMqPyvVMW6D+AWzRjmSCmL4+l2mwx5gOIxLHQuWFa+lRYv1lL7
bRy5vFpTu1AffLT73QiZzKs61CjItw57KWoQceJimhzEbo0cocrd9dyC8J+owntphfbQMg3Ybyxn
n8fQlDjYoflVma5J52DmTyIKmrRn9rDG69M1As+YDHY2b1nFSRz2Nl/JzEL6p/kjBHVyuIxZZEV7
622e3LCNBz07RRzkofhrTWMR9z7ilMulfyMn+zEzhD+2EMPe2rJ1ktDrgyrJ4cVopwWIbnTVx6Wt
nnquo98G3d0OLh4l2diyf+VqeLKjeoztZnKuwgiTHtcRyZNWy/EZbmoBPk7jzSAmC/E4yQZ1AMeK
souJ0i4RTgknGmbcJg7bWlRpXdPw3u0dg25ZIZJMCSB2uN3mdwFtpndGhg8YLnRrJbuXekaNOC6o
lduxSwp02Koh/AX7sV9jFz458zzB7H0S5F4H8HcEMhVy79aUp2SuQxmLIYeupR+NTZv0llX/8UPg
06o8y5Ohy+o9Q71y60btw8SKF88e7/O6LJzUwCSDdeRD26aNs8Yfb2EpYnTahb3XXHcwpNmYtv5b
IVZla5BaIHXRDd6DzwbVJ5mEIkJqawpR4XwIuzAJx4kdgBv6Xfu6Ro5lwcpscsyet+zFVsH9VGrZ
xVZZ/za2fB8LheDPCzepORRojJebBB5yQcxkEa476bcXkdX7cFFg8HKpZFmIFIYh4ZWeC6ZiSRV0
V3IqYwJzk5UPM/RNU855PHhapjZI8X8lH+UF5+KxmhAqSMNdeB3nT31n0V9+7TQX09T9Ub7uhtiX
eX0pq8lKeu299DnM7lMroF24FWy2/yD4ZHHTws0dGZ5eOdC3bu8RjqEpqCBcJkwP1z3JG+T6jKUV
rHVS9DJ/CRuEkC10gfMCUge8d28zAnTN3LVzrDzdpGNGOU7ZyE+Div31S1WnQVdihCb0Kih6qbpa
A1UzYyl5TuwYsisnSurYnVylLrpJuDFkDu3EL41K6lxBPa9qYJxgQ3aOgDyVoLyqUzLxe6dAoNbu
+AYpZbXxK5EnJnO9JHIUddamQM836abwD52tTuwMb685fB6ua1PDUiVr2kdHiN1UWvdV0EhrMw84
sZLOJQMUVNlDNlbPdlgi8BjmuXPqMfNbQqHMXLYhK3fe0CKs9TUf7NiyodMuyrLIYh7k6lpSAqod
j7h5rInIzYX2rHxrPJkfJkiHWODJ9RJ3EK+OuZXTDU7z/EJpUbNVaQV9tsFSveUt2egMzum9w38H
BGIPyA/b1McvSLpANknBrb6P89xh1044FnftmPHUDMOgVpNnrgxR2H01k0Sm9TiG7w4yyPVYZOQ9
a9d9tR5AW1iRzGADQJ7gdixdJwNgzc8h5kzCm5Y5gqW88dqnsKXTA7rkb5BDJ1dCD3d1ha9h2S75
DcReaGKbdUUS8UDlsXRBgi+Kro5nU41JBVDcLvfgWlPB0ee11222oUMoHuE9DjP48hmsMnkROsrb
OZVPd6FqqjW2s5UM3gDvXMj1xaVFYLlIaQaFg3paz0AP7iyeWfUV9YdhjCsxv0FCq7Q2FN0d54/q
ghCKktp1Um5Gk/aI9nEFY58UHXQ37X2lgM3T3kzgU9dEsTFuFNOweh8UNUllDQiuNahPF6MsbHHN
F7GZXS+AU5sA3ujStrLcBtr8XhGtGgG9D+0QHESOb5DEjlBJZBJWBN2W9tNzM1Vh6guoAkhnFlf5
3O46U+hYDxXQqXb1FiGBgl5VcauD2Um7oaUrz4MTBTGIrJ4Z3LhzpfWMg+Pv5DJGEt00fRo6U4sZ
HnD7ieueSIlXz5i9CXD+8XSuqpFvpqkWWKdF3sTurGmR6J5VcVFHIOZ6zSOZlJRxEKLKTHU2pgBT
bcvASuYK5G+7riGPip9IqMCqqgzdNBZ1VqxwwoT1YXlNRy7iqq82iyN2ZuO76AE/DEd1fwBCn9w5
bV4nYK1jk7qDgrBMCcHyWFW6/gWl3WotJ+KsPMYzLNqsO/jjCAXQTKp7A0zIlkIWfwfwcL6pxhle
W9r8nTCVCU5cmYToDt/5UL7YLCX1VETUrKhrBniOOpl5VhW0/Yhd3gG9la1qq9TPiIPmueLTlCJE
N5dNWHT7UIoGwSFwVZIFht841TT/ZkXV0Gurt80L1LqdeG5bmgBWjP2m7ey5bcW73fne2kdQiAln
TjKMTpZIq+cXfofpiIL+j0v1nhgbyZWrAIeywkMoS7oO+8JvEzYCAkLRr0PR0s+2Nm27NJNFk0Br
lSVuFjk7WPeWce7X3QXCcB3XZdisOGuDB5xl6sZQ3l96HGIz3MHu6J0mKBO4/5KN4W6/yRxurqIo
y+OwGEMHlzc9x3VYq2uQ791nOpRP2gmLX0aXTeyNobqqEENipyxBVeyQOMlAYeeMyObuwllFcmUN
I43zktZ/Ok2CFL8VBzqMMUU8ZeRPXqHfnQ6SPLh67Mat5Q9c3w6uXbx3DlKZgbaXbeTca1ewHeRR
IzT4VTTzjQ2zkjaZm3ZHWLDnvuFYyvDl8r32OQ/1nSxVs7UiwRKHFxvka6E3QiN2XCPQbtquHy64
b7mpbY3+BeQDdQJgvopbMjjDmjVQ7mvtecHq4cimk+gSp4Z2Qu+Jm3ym+Spzi3Y1WvaAf9GlUf7a
doFIemW1KywRSCD5NGVSlvEYhfMGx+1fOtlvRpo1JEVq8CjQBOPRxi3DVGXen5zWJJ55BjoKyKxx
0DKwnUqBWjUr4qg0eAkftsmod8zXcmAHaYoP0ICr9Sh5h3Zg90Q5jL8qx3+eJ49dcu3dGupAJy2U
f0VThzdlTvo/4GmRHQuz/mEOs2xjVzXELSxTPta5blYiI9M2l76JVpNbkfIaBhYqtkSUXxFMOXSC
QckPA9PgTtr2no5pYyH14qDBrCIzAX8d4jjz6r5B8mbB6KfDWflbTjjrYqJocXChojwlFlP0tTdB
++zw7gVyxK8m97NEzEWHtK2Ej455yODgvVetRtZXILzsSKcHmVbcr0hSlmZskxAH0p8xnMMNFNmH
V6QMbYpSphfDkxJdxFK3alXkllp5WTWtIu6UVxB3aG8dYchdp322Vr708BF8zpMy70QUSzZlj1xL
wFkzp6uCne6Dxolzd5jnNA8sZ2055G9W6OG2curH1vfFCmEXFwbC1Nau/Qw6QA3AcoMl8lfW1RoZ
auu3mJ0uKjYNwlFigIh5ca22ucKlAQJ2s1WMZle7QjkPlfTregspWybXPjJbKNhn5ZpXiqecFQ/o
Nv9pOHK8xisT6vUT4h1sN61o/htFg0YI9xBrAvx6js+/EjzkT0AjhrtZOuVqLEECmLCbD9qfkb83
Sr8wx9N4rL6rbBUhrw80LkBTn9SdEu6qqQS0FuvCfgBgI9QbeypZiaSvHnLrikcQk65wcltOj9QU
rTTdK4WEca7XuSHghvWW/zzgAz1nVeTl155GnyUA+nJL2Ni4F3Kwb9DGHyDKOdAmEW5PtlXp0X5V
hC2KnvmE7iHYC+6N8lkIal717pQeklnoTt7YETNIBk1xOeRAl8U2qrO/rL7JLxjNcpNKB4ItVu1D
JAxMmOYyUgLhRla8eBr9PIytoMI8AJUGHTnZgIJj02YVOeTV92ZOQMZAAuyO4Z3UnYy7tlDACM8s
4Xn5QOyJJWVbHwTRjw1aWpduJJHf5bPG+R52SVYIcdsQUScjihZPtV/fzbJAIkb6IPF7gv1cNMWF
jfNiw2wZbqBn4mAz0zAFMr++hJYnafcgdjlx6Gaqvs5NocQNBFv22icvMM/q+l2Waze8zwiB0tZM
ergRqupdeP0DodWjo1oP69Udngriycew6mwZW840P0m3H28G1e5CkfspDkqOVR+FLwObn1BDqIsa
Z6C0yDb3PeulrEsSo5AErgMLlFOsWWDEPoMk0pOf49e7TRO8DXOPwoNL76FY7q2mSf5qyp4ldYl9
IcLuoxvCHLuseXLNWCf2jLtgMaomDpTlbZRf1UlHwffqx4g8IO99LEKXPUG2P3iFgF1xOXu2wgHa
BVVcjVlzkzXO2CdNhRtsBRbSqgJ4ZddDeIys7TnP9k1YR3UKZ45abme333e1z82O8UWStfJxqSsi
8Bd7k33Yw/TBdX81qBIq6L54nYL50KBswXFhkoO47ovwnWa1GwsFLPFKFT2OI0PsHjqNIfBlYVBD
5DCE7BmwC7rBB4flgHMR6SYAc8xVF15D3sjovblRXyZNjQDpCfLmdCDkOghFMQzjmxitVwEQxFhg
zlSmf83AZyVTaGfYQdXwV7mzFVdekCdTG8y4AbVFvtP10F9KavU05kbusjm3QFz1ALEqncGzU577
T6MEh8Rm091Y+UGKqz2ueoaVCCzRQ0uyJ0syK4bRuruZWSWTaaYVDADDYt2UWY+fxtS9b+oBd3i5
MG2ysn2BAoNO2YwMG/dTBOxiam7GkOIdDIinfK6GB8vM1SuHo9xvEF/rYQsBtva2BNQ+dnD0DIkJ
3MMM2bRHBZmObYDKXpk4BeE76Op5j5LnDDvcbzXgmnDripEv0mcJrOfF7IymT7PGCtS6boS/GXq1
9mRNnnAhNqkAAPBmgFTsqhNNB9oJtV+rRvfTdsjB1sfdCfDWHJECp2AUR5qopAujeSPH8DemPouR
j4A7FCJRnWby0FSu2XKG238wbHETXEdMR5ekDQxcPzLW32jNW3cXwZ921XvMuWRd2CbAWbSpa/Qv
tAzo1rec56hQYzw20WMx4MUo9+CW7O2ykhxMppGA8/w96OQzUrJgNRc0ujCteysjwFTGgJuDzAut
V21LqqQl8I9NLELqVNGMpW2I+4yesrcA+m2JZ1UQrHSrraicraP8bWNNok2QIqs48OeVQmIV+dWW
tr9DutV+F9uT9+GMebvulLSvaFEAkotWxIeHysdrEWjcv2uS96lfLTrKVX2Lq+Yvp8v5ig+DQMbZ
lWsTBV3M+67aoXZ7YJMiz5PF5JUQQSBSk8lX25rNBnGVbdti9m8y1zX3pl0MT0dILJGgfBB6fi/z
xtsM0Gyf4o4W5a6EmuFjOffNa9V540NYRY+1RaoCcEIfFbeKDSnHtki4tqMLVVkiLaHQ1cQoObvv
GQ6RR8CQBns7l+W7RIZwlY+UXLMcFdHRjENMEGOu5lA6t9oWLmo1wiLx4GbQZw6t35Fj7tx5tjdt
7ZpVU2q2Mw6EpDNQEGPW13/DwvpovcaNo7A8BBzCdhKZchoy8pZlNaR1M2DospkFF7knfP9yhHDd
L3dGvatDMeeix60rzhv3cexbn6dD3oZh4uW2vnXbcoZGhieRD0RWgfKpCOLeHiQE80v5yOocYxbB
0xA5QzpUob03hsoP1itY6WSIoBCMmOffEsfCRlNcbdcjroL3re/g/uj7Ur53lEMzt1P71tYOlKih
Wp3osjA6sZ36oeb+eInTFl1tX0HEFxXMNcEflJsUajLybcw5gpM/mP6+7xz1GxJKMwQ/W7HKWyu6
EUGfr8u5/uAtroslmLYBHLXFiLph9IKiQJnkWnRPM6COt/7o5HkShtmMV0T6cuk7ihG46WTB2mST
SUhfwmvBCX9NXcs+IpRA76Av9oTiu7+dnYkmKAnPCCjF5K7mzH+yUcOrZgRaH9YG0Jgs+HvfOjqZ
4JRboawwlCw10pr2nHb8I1iAOCwzCIpRTl80Lp9X1hyqP1m/LAPi3uF3d+nYouWQKFTMUifqhxVw
cuohi3CxtYdo7wxFlgxuE8QObbA5a2HiymVuMiIIrbXb5K8lQEB7KHrovd1189qZ9fXgG3oHaGfZ
x8Zhy2XD4i6WFx1HhF3citXQ2puazaiBAMYO2I1EhepypmhZuDA+vgN/NLx2DZzkJuHBbRnBY69b
E81pSeowriJriFF6xm7KKXSybYCk/ETZlJ/BKZxqwkFyx17afaA4HaMfpXRt5FoTPQTD0xysBrpt
zM87vJDzAVYHwi5gUrlHfUsehMg2BKdoUad2uc3P0fRP9TKAnFq6xzb+O4YleqhhUdSa6EFYK7g7
2+eUl088f8FUANUEggvsVY9gcoKTLOJdFB6094awioX4fTvmxCf49/nHCGG/CwwKb3h+JQfUjLZu
fZGjAvf9IGdegh718lCdn0KUfUIgN3Y4WqwzjbNTjwfECJ4KwJ+CEbn8/T+9XAfVHnjr+AHw9Jcf
+TkLiq9Ph/4j6A1AfsGuF2Jpn58eThG1KOvpAaBI6yIU2+/n5kSP+NPjj+YGVzrX6Qo8nshdFFwM
84WZNgE/B9I59xZH+wAVSvQ9LE0P9fw+jw/s7fu3OPf4o3awIzuZAz1BD1JvUeGmZ77wyUlCvx6M
YGADfO/oG0ABr/aZ9PDryTrk8SRj96M5J8Z76h3AmIA1E9y6wWQ5ggRk0i64LAEGESNOyamJ4e36
81laJFwWPViA/485x6zs0JKGJvTBRU2SuSvR/JTGCfbmvwMEn9eqXzZzKSEkd+jpEJswzcg5RsGp
SQK1BF4sFCR2jPV5BEsNFJUnxz38Qh0t9rNz7eFTz4fQzeK5tpA/jlEgJgo5o7L3DwbnIbL4wFhn
PsIyB0fAggWwhJ8P8PFXR9+eu+ijujo4DOZmzlPokZhNu4/qn++IT8McoQgtUfI8CjGMROsgzauf
Az4cAHY9sLrAIvni86MalECKogmQNHvXfEw9sXHRMm5RmPl+zX49IIBhAXYEhAHQ2MHM+fzBtW/T
QcgI9w13ZrvJqw/oUXi3EoYDZ0b6SvwBYA3wFR+bEOwLLOTPQ9Hl4l2HJDvYt13gQZo3B/TiXbqP
EWsSSyZ2j1LDGTmIr+sNIBbAEMBewcDOMbss6/0mDEaZHYo832SWtb7/fvpOPB+cahAXFj8uaMsd
BZVgIqbyM8keVGNualtcUvvHsMhFdfH/j7DEzn9Ov0boqIO2I3vo0VLSK8v/MS4SzwewbAGYQZcy
PPoq3IMnUk85eyhLRMTkLL/v5AxB7N3HCQuw3DFjLeplTyoI4h1sB0gAsYG67f/iE/wzwNEK7rLR
lZPCAJKsuwfinFm2X38/kjPgswG2/c8v/ujxZNAZbVAdOIDWxyVUhX8c0/F8fAHo5S5p8jETgNu5
pRuTWQcRXNX2xoRn4uHXDQ406n/bbhGChWjN5/XjWBoGELbHH8L5oo4eSn9dT5c//QKfhziKhfWo
PAIMAH/wrBTUJnFO0+XEJ/iPfwqOG87vL5ssh2ox9/4Paee14zjSLOEnIkBvbinKtZWmzZgbYiy9
93z687H34N8WJYjoWWCxBrNgqlxWVmZkRIr4nCruk5vM+/AJsCQdnCggVzqozqBobefHXTIK4XP6
0wfd3H58A9FjDuoRB4HvM2azExWJnBSDFT0rJAdlO/v88cl///nZC0JuS702Wj6fpLdmc18aCz9/
2h+n9+nUIv+/nz9XMVapokStyvelZpUblGRlm/Qk1cJVYC4RBV7Yq7wSAX8DHps4sGZnrQ913Y+t
JH029Jesae0eebNxYTznseZEMfuvjWmzvfOnRVJBqgJ+6llY511gt2tpSt2sP7woJ0Zm14KppzT+
uxjJFITTwtsx/fC9xijgoKJRl345QKizURSa21dhmj7j0NejOty4cbP9izG8MzFbjK5y9dR14/T5
tRru+/DD1xqqU9D/wG6jcfnM3VIUt2XvUeB6SqIfdbZS5AUU5AWfQfsZ2GyLiaJ/fbbMcQb+oc9c
/akXnWAPEuDDk3Py+dkCRwKdrMD99ac26DeQgGXRsLBPLw4AqlRoSIhbQP6ernAsB/rYjh0TVILv
MhCz6RYsTL9xdrJBS3CvoSpF6mQei4duJZF8Mo2nrtwA6tGjjdturk/ThcMGPw/vCVIcb6f6dBAZ
IAY5o8DzBKntSg0fMuE298pV/GH9Auggyc6g4glr49RZeWonBzocQA1pPnlhfuveJItR0gUveGJg
5sR92ffLgWLlU/QHFFUdbLRgZcT0ii4cunmQTL8FxXB4q3gLT7DoeXd8K6lulfeG8FwbxGMyNVb5
RmheDVoXmmY/WoMDtoVkrL+7vlJvXQTvdsPUSAK6HNgwXFjg2eeZrrQOFMlze+V56Cmt05YZqbZH
/ffFGgdlGyAwTao2ew1qrfvtJnLzu8t06zbNO/dPYunJTeqKrzmCGJtEdi1bUEaZalYL+kYRQBLW
RQU/xRD75ie/LtAwa2T/EYbeDol3qPZXyU2rrOgy6QqPMmz/Ipgp5dm8WqM1b20pAudbqVEAxAG6
2lfU6pH2iHrguYkVxXfA6/xPnaU909YpOtcnZlrZ9/MyaSEDNwSvjULphKw+3Vqx32RIjoT+0dJ/
WNouDJ6T4EYtLbuwKrszljQyZocSqhvM0SgxpU0hR5uvf5UBoPS6wkd8dS+VyKC+9srH4p1/TExX
B2tu0jk0OyyR1BWEbKZ3BKdnSk9p+LHegen7Bm6L6ULRdzqVpzOWSv44WJRaDwV4b0l9lpuP+fY3
A8Tjk5QmaVOygqcG4jRtBLlSrUPSrcWN0X7Mt799noDWJB8r4Xu12VmXzNwYJE+zDnH7cNdqf/Hj
aTAl5QhXv3zGFNiLSiqJmWEdUPfItM9dsvAcmrnc6ddD5UjKGrcOU9b8QR/qQqgMfucdK812w5+K
vpItu/Q+FvKfWZldr57VB2nntd4xjtMtKJ/vRhl9LEL4fxP0HRI0kyya60W2otsmsN17R30YthQz
b0uwutfP9uW5+tfE7GwnHtxVY48JT75RBMfUVn66rZdyEBeO9ETDRWIQ+gQasWcpYEtp86KlE/gQ
l5o9KJD17Iun6wOZBQvTXPFGhYKXZndOxFzhVjLdeizpNj7U9Uotd5TIrn//wkQhW0F6nKCHV8w8
SZ6IgRkNtciJy36LQgcm4SZv5VX3QUIjxsHehRZGomuZiTJnR6+PTc0D12kdxp919Bi/Nu2HTx8G
EKCUaM5lTeak5wCF01LzTPOQenfBvtA/vGeni3vKAFOx5BqdbShJqMjUxLJ5oJVkuNfC/fVlONtJ
tOCShHjrIUIuYV4t6jXBdOOgkA9Ndqv+lrtbyfyo78MCnZg0jMP0NXXwnLrWUujdUhgq9ZCXvqNW
AAfGj+U7FPYRS0zPJPSl1HTmog+gN02/DCX1kMR2m+wTc2Grvn3g5MJmhTlmCmUdsnJwH5wOQWu9
tkrdfDz4ceOAmrdDf1v3wOCCm7QYACM+BMNTJ371tHXp7txiYQvMmUymAeLWJ3oZCSIged7Z1tLr
UgJFHQ+S9kktZcd3NegKbkegQEQyj2XpWH9Gb2FnnDkA9h2PWh7NhMAKaZ7TQXeSQGwMOcpBTwEk
30b1goOZO4C36FChRAbTA5R281XzZAtnbLTKc6Ddftlm6V305frWng/gzYAK3TrDuJCEiauqtkSx
UZ7F1nNosSpb2flvFmZP5iqpJVn1GQLSWsLW/YsByLD4U6Dh0p2UZk5XwE8pnGSVxOdVYRuE/m4h
alMuLAHMBdBTqNBFiGfsF0oXUDkxC+UZJVPoz90oevAMKX+R6sw7iBpkj4I2It6XuaHjQp640qJc
uweWBJCh7YxqYyiNdpPLkf4pqbJ6S0ul/Efvunt3iJOdKHcmEA4hdIpQyPfWWEnbUBPoCDMakmJS
BZLarPJNWwOtbWk4A17t96shgBxgBeSrsvOoEX8VaDHYjYv7GwcCV/CpSwztF3wg+5vSCO71QsW/
iUNBTZp8OIgwuTT3anUj+B8NYDlMhGdkiSB0JsEy8yBu2lmKq4r9IZZ/SUoAAvz39a04b9GcfAQW
NF730x1E5vd0s8geQBqv6HrcbGkHdUfv62qs7a5+FMYD7YtftVBfaz0A+MrbXbd9cf4mAiIkwXT6
UGdXFCn6TMyCvD8ojfWKVvKXaNCflHLp2TQ/z9MIZcJ/2G0R/SAoOR1hMlBthYp2OFSF2LJQQbmP
o3gJYTJ9ZebrFZwslYU3Gt35aymwEqFqQ2E4vIEMa25F8Te6KStNTIDCf7o+cxeH9M7YdEDfZQ51
D9BfmntcLBWAq8QBvLF0d02F7rPxUAmYgiDyPvPxSCXqj5agsbmtJzMG8KnH26b4mkudXcr+Khk8
O6k24pIEycVpJAyG3pFNedab39J1EEHvMxz8pkI5rNWfe8pZkZ6tXK3ZVrG4cEfOZlIlmqftm5AX
XfPpCTer9wt5NrRtFSqHQb6Ry99eukT1t2Rgdh2Sz1dqiv3KQewc90YfFtbp4udp+4dYHPa9s8b/
VlfzBNS4QptA8Yda/GOTxc71zTZbkn+miNZ4WrhhDTureYxFIkESLMkHw3J3g+nkokFH2MtQHoF4
LpSI5kmn/zc2EZZDiKtSpT3d2Vk7hJ0YJ8ohl+u1NYaUKvoN6tZbnsk7qWkfQ9VbqzoNkFKvP18f
6Dxe+8f4lIjEX/BsPUv611WkB5miHJQiKldVqd7WvrmVJR9wW74eKzCxUkQn2WAKX+WeHgHf8raB
B2Nr4rV/NxXAN0hK8+xEL+50KmS/afzRKJSDHt2UeU+Fmr5Z74el1I7rjo4sRY6f34PkvD4LM6/8
NgkcPiqk8KVNCadTs0KWAGOXBvmQmLfyuPfqm6r92JP9zMTMfdFOkY9a18sHMXup7+PgY5fm2edn
Ezc2aV4oVifjQ74oxpeF6OfSiXs/P7OHoQYGuTUA0h/kV62vHZqYF87bkoFZ+KaoDXoKNQaSfqeL
NDV5S4XkaX7f+fZ/Jgj1mun9BuvNPKqQsshShViXD3rY6DT9Juq2HqSWu0qgqdusPwj9+8eexrOA
R7uOmttsSxWJMZbpKMuHtNIcUnIcF3HVLuUrL40K4mFSTWhOUrabLUziqTAWkjg9BFJql9In07xP
0m9RtOAllszMlscdirFXBsy0Umlr8ifFeOhpbZI8f8EXXvK7km6iXADbCoWRmaGsllPDD3L5EObA
Z4tkmzXSLjebFQyVeAJX214/+Jf23ZR3B6UJ0EeWZvZoOUgkK2ff9aRTgtBGzmZhRAsW5Nllm5S0
fA8A/Q9a+9TXL9oHIV1v+wyILxEYISVh5WyfQRweFFqqcHLS2um14KEKl4qF0iX3KDFFSDLwpCfH
deoeXRo/6R6rpMMQ6Bqt85a3NrJMfIn7snOyXI9eeRjTL5Cr+XMLx8M+zeVhFcqN6ySwDq1LPyhf
0kK07r1CDl6uL+GlLUMmd0qaQMx8hhEux1bxunCUDr4SbQlJTUeUm3vZLWkyzJPbujQ/CLh9m3Iu
Sy4oHuT812zTCIkcDYVOHqjXborNIlH6pR1DQW2ia+IqOotCzQQUj1D63IGpYVfGDz9a8oWXpgxE
OL8f+iSy1LOAIzGsmk4HVz4I/SHMvkmeucqr2h7Vm6ZbKnNeGs17W/Lp3hnoqM910WM0/spNq12c
RAtPqsvx07vhzN5UZZf2Q0r756GceESFIcvuUU+lZwhk/NpqB3GjwSW6y0KQrTSSFWu6CZd0wy4N
k+0A0TDpGYqgs2OuN0U4CP6gHSJR2vkjBHrp8/V9fukQcgIhgKZygQ7AtKjv3j+yxDnPlFE7UNyx
1eyToB8iKVjwVm/h3vyahP0Pz4spAHuzC6XqjQIt+lE9SJBMPtYpCrS934vgBYWxyWEsaH56MGns
YE8d7WTQvRVyQjeRdt8pqqvYXay6NKck2oNnUSSy5dZVUbQcy8LOBlr2tTZRHqtKU9Z91ugrOnor
GpYUoKiu5JGUDCT95yAa/n70W+7MYYiCzdDr+pdcjGlPSSwel+qQ0cxQyJ/yNmxtT87LDo4b98HC
d+cNHLfeVqi3sSE2v/0hD4/yGPyStdJ79VMpXWstbY5ZTlecGQ/xLe4usrsx6zYIO7W2xbHYiW4Y
/7i+eJe2B49HnX5TANZnTHVK3Bh1lkf6IaxvTOumWWqUuLQ5UKAgQ8Vdhp7G7AiErUT3ptpryHua
TlkJazo29iEUP38xjHdmpmG+24MxnOp1oLEHReTSVafNN9e/vzSM6c/ffX+Uy8hLZb6vyXdt+6DJ
x0Zd8BbTBj7d4OBdRFLf/5Rq5nR+0AnUXRwn6iFWPGNvNQId7EOzQWbetePa7G+DqZGxzDtt/dGx
YXiipUfEQQfyMVuiGC4GKUoC7TCKPGvgftbDNU73upHzfXZqZLZAY5yQHY0xEpZb+Ia9pfT+0vdn
C2QGeaJQA2ED/GnLp6h6uv7z59l7LtPp9xtUHPknszS7WjU9LpjAUDtIQbvNRHXVQbkEtRwhelXf
JbR/yr0q2kqONpDUpj+EUV7YguehLpZpYDShBYYF8eydINK2G3a6ehDLfK/wZLAHeCVhx3pyi3ph
S5zPJul84nZSMJSsKP2cbnc0Lmt5zA31oKMgUzy5+sKb83wsp9+f3b1G1vXIrrjqwR/u+AuWolSm
Vda5vmhLo5htbF8dIUSZRpHoKyQEjIUtPW2p0wM7DYLqKdkA0pnGbBC9KPajqDEIMrSkP+r0xV/q
HLloAoD6VF8FJzUH3yRhY3UFG+sw0N0JxLKnszkcHFHxF54bFxcEYAnUgNaUNp0dHyHnGaN5GLLc
XP2kxFqwaTs3/D56nvdclGP6N0tDKQzwDLz34jwqySq9r5OhxJ+6z9q90n39i5V/9/nZ/lW0WmzN
ns9LSK3cAnT4i88Th0COOqX55uVoFRxLpsGmcejEPWX1RcmYixuX3DU4H0pGvP9mx09HZE40uDSH
mwySxtL7/Te//9/vT/bf3WaVPKQijFHMvm3E91a2AEK9uGvf/fzZZqrFWqYdnc+3n83B1kSolBa2
6yULExiOXBxVdaihTwdAcFa548jRy819Lm2VPNo2cFF9fJbeG5lFnKE7aBCjYERPb4tV1C+kri6O
gbqgCRk4oBx99nkkaV3fhEnmoJiPcnZXySsakv9iBPoEUZsYqLF1Ok0i9CpV35ka7489Me2SktnF
EfAWhAcW12SdNdFIJGEHPdcPcAsMwUuQPYz96i9GQPIXLws6g5rb6QigA9AGSSU8ha6t3ai1Wa67
rswWQq9L3o/AB2QXdx5Zl7PzZqHxQPh6ELyxtAXVv+/bSXKhufPNJRHfi7YmymaKfFD2znPqSj+o
oQJK+CC0MD+A3kluAsktt5BgTIqYiq8cPzqFCK9TViRNCgoWdPXpFHZBpMQhPGyHutoH5m7pkj3f
BHyeZCKtdYQL5nwTSL7qq4mfqYceDjszhXDHg/ViXKrcTPHV6WV7YsaaPWODRIwqc8yJGIS4Nrbg
3JOD0knpa++n8gFAauQBI62D/Zjlwx8j7T8ojPoWANKbhlgGJ5Zlme3EKhGApySCcnDJ48CymlZL
qLNzr88Q31mYxROt0IJC8Azl4MMtuovl/V/sg3efn21yF+LUfwYQ0suFiFacjgvX4rSTztbonYXZ
tZLlUmjAMqSQs/RXcbGRKh7TO/W7ASTsL8ZCUGSi/Mm+nhcK8yGL/LTlraRZP8y9L327/vkLeUWW
giQMWXm6384LeUlIGs2KebXKz039WpDbULct6Q3dS6i2DvDsjJBCGugD5nYrbRrdtx/Cj2do+RUW
D0IcE5zI88RKMmgDrD0tD7OfqUpw+en6KC/tN0jKgSLRPAV+Z3akPKsIErdJtUMvokr3Gaqnv/g+
dw9FAISp6Vg9dTxRVxlhxeVx6Mi72tUS/f2F9zJgPWSQEbkkRppj+7NiIrwzRvcQkNmJlR+QHH+z
NBEiDRhh26X8/wU3B4pnAt5PU3YGpBLKVIvlqLAOXuE6ubuFKhi6EeHj+5qpor4w3aeENrMpE4dc
FcxRMw+K3RaUFbqPZwOB14FEwl2TTOMhebomhS/RZZ0JyTEpXn8OxfP1Fb8wSTTRT+9jIMygvWch
TR14kPCmQ3qEYgimmVT5ZrULJi5s2hMTs3d4liShp3WY0DYCN0C5gEK84MLoReVZN5UteJ3MFsCs
0ySnqpMczaDd+y7NKdIB4UnS+ytx3FyfrSVbM38f94EbZGKbHAV/HUARmKyAS/v3kDVct3Mpd3Ey
qJnnl7pOFaS6To5N9pMjBe8u/O/FfTB4NzrEFl5MB2KLBlcfVpBSW9nH/QCAIg7NlGQE2D4LQJJ+
GKA1rJKjQf845GQLS3Z5eO++P9t1vRomWV6Xk5LeRnNfZPNOK+61bJdAQFX7+1yF7fVe/WDz6RQP
TOqk7BVqqEQFs43I48SEnylJjn53k6+NYuENdXFzWISiAH6mR+Z01N490SwpUBo5TJNjKED8M1Kh
eIYdbyfqEDh/ELT/NhSdRzh0wgDqz3r9S+hqcy/2cAo97Ekw9/lLOhUXHAO3KPkkwk8g0HMQZFnC
NBAgcX3UfRjh6/uSlImgfr2+zy8Z4Vk8lQeUqTV+ts1jsWy7NlDio9+uQmkVBc64dKUtmZi5zzzQ
yiFMtPjYtLETdi9mdVtSgrg+jvMXgqS/H8ds6aNCTJMiYRxu7GhQJIaOVm0Irq9bubTB3luZfsW7
DVaYSR+5sLUeO3g7s+hXBeu9J/8Mwq1uLizMxRP63tbMA4iDVeRCgC14fXcecnqCJDmFZ9hDm//2
Gyiczea77BWOZw0HIYa3/7+NdeYhjDzxLTXU4+NQwcVJuqas7/Jy6xU7NVxw6hcXTyVio8kJhzd/
DoHCj325Y/F6tYLi8YG+607aaPqCmQvXIKi8/5mZx24JBQ+JCgEb0UdAlq63Wl7A4l3c6iAxaZwk
BD2DiQQyOgt+ITNn/bdagXzH/CGLC07u4mS9szH9+bs9qCRWHdWuFB9T3wmMVUhJrVlJSxfEhZEY
MBwgS0dsMg1mZqUqMq9N4vjYgic04KxOx2fL/3A2hxD6nZGZZ+CqEEW6CeJjlj1Ewa9evsnaw/Vd
fKGcfGpj5hhSMpoAGQhH8nqrG3ci5PHUkqUNDKCGBb/y1yr8i7uVYQHBE5k+8sOzeKiMlbSMipx9
RiVUa75k7k3t3aYUKRv9h258rUVUCh3RX18f6nR5zl6SJ2ZnoVE4yf66HmYr4E8jO5xSaL+SB7tr
1vAPwqG94CEu7ESeEkSu0/OVG2S2RyLNiiTy7Ig7xA4+wu224bjSpYVhXXiynFiZbZLazIPKHfTo
SP5eHvaGuq+676WVO0Eo2NX44/okXtz3lHWhcKHwegamaA29LDKUaI6p/EcSX6TsocsW6jhLJmbr
lHaZFCNOEh0zpB2Cn2GyFvuf10dxcSu8G8VsZcDqVEkMWeaRJwdU2d/U8NUSkIZtf2np5zikv3jB
KS2NabZI/WC2yNOE8ZFuzHWef6+qfSouNaZfNAJJAyiaqbRzxqclte3gmj3eVbtN3W1L6TA1/mYg
72zMBpLQOwNN8Yh3hV08t9FIScXV9cW5NAyeqrwuaM5jINPivXPgqRQFkP2L0bH3P8UprR5P3Qep
AqbgFNwKXDhUPIns5sDbuhvkQkqa6GghKBPs5WKXtY9u/3HoFGZocacva3rhz+NtIfJaMC5tdNTa
VdHuEvHTX8zUu+/PrjqYjTUtaqbv959b/6uQ/UZp4L+ZmEVZ6KZ0WhciUANtc9g8oKIiK7v/ZmIW
SOlVXcdZ0kXHsVp7lgQx8b4OlnzxhU1Fql8hHU/S/bw2qOiDlIAmKY6pWW2kQXRy87aQlwAJl6y8
9ULTzgO4fH6zISWre65WFUepvikk9OWQFVo4gBcuFeLAN2SFopOjmrmuVoBbUMqrkq3bOoq6i+p4
XQa//GF7fVUu2rGopALTn2BYs4X3ha7oYQkvj8hSQe1s2WbQOKkHKbLw5bqlS5M2dRRSiUGpzpBn
/p66agLJt1geizRy8vB7AOy+TmX7upVLgY753sxs4oo+RSik7hiQlDt+CDWvntm90K48ZR0NzS7x
TbsrFHsoPl+3vDS+mcscSmjIB2EsIQRGtlF/mJRY0qVE/EUjKtXjiYOG1/3MaRqF5unZyHKVbX/T
Bt127F/c8uPxKO9sanPkXIypO/DUM6t1ndNHVJfH7FUUybocXQTYrk/WNBmzII1eMfK6U9qA8GK2
7cCNKFZvsL27aNhbGjpdSrEQXyyZmPkboiWlCSxMSIn8U/X6XzLYu+ujuLAaVP0sSu1cYYBOZ3tt
DOQmMXO/QFIt3pVV8iAPxUY1l9JFb+no2Wyd2JltrTiWQRvyooIZIRpuAJr/KlvDcJQsUe4iI5D2
gFXkFSg2Y5LRQtHLNcz7WjV+K62oHQtP1Ha537UviO9mKFNBkmgWarjudOO3kEMJrViD5pRi3t6q
YxLvS9X7HTYk9UZVeEZ4SkUtIUQyoTdfg7bFpxrw6YuhshUKw9rlluA+j5ko35ueH7+qUhqs9MqC
8lsbaHAZ5GClNEW6MgrXtaUSvaBQaqxVao3ZztfTclP4KfJgnqnuhqQYN2mr9SsCA2+H+oziUGTI
7NZCiiQLo2o/JrK48jtJfbXUGOpCZBKewSFWPGrE5nNbpCji6Xqz9vzS4k8t8dEX8uLWlNAOqEzJ
+4yOoO6o6oByj0qbFeDq6V+9UI0nhWg/uzHNOrqhn0azS99qHstMTW+QQ0Fero5zuzcmeYpeph83
0sWVMZSBM6RoEXlxYTlSoy51z19w0JxAuC2n00JifPaKkoq6zxCOzI5G9rWNHquxtwteTUuh8pKZ
mXfu80DPo8TLpts5QTcyuvcBu2eb6wfmLY8238k8Y4iVQCpyYGbnfoAyU2CXZMdEHY2dq0bdCo0e
BRWKNLQ1pUfSToNjXC5SwLltEdimTMdqH+jSTa2X9TGsk2CnIAp2lxTiuGp8cbzt9Tpaj22hfKoT
JVz1uaKugkEE76g06Et7dbzKzKp/6WvNguK8G225KFjJIv+e18HvtknDbddbzVoQzcTxYLFZwXtR
OKKG2FqOsuULVSIozhMZKRGeTLYkd0fVrQc7TUvTrpLWX3g6T7Mwn6X3fmXyO+9CYx1ZyNFKOe9F
+Dv10NeIbRFFkrzb+9ZSxDS5wTNbxvR2pT9tynOc2vKMShLh3c+PMigSfTgWwmeFIm+sKPvQupPC
hbvlglemOEXvoWLQaw0H5qm53IISloJfdgxLIk0peAjrYr2wyS6MCH5b4ATkDaVz4NsY6zqKcvmx
K0aI7tUQCVbkyJy/sIKIwsT6wdmc32BhGWTw6LvZsdyH3h1T9d8+P7u9hsr38j4Q+Lz2/W6RafjS
aaesQikSVPX0aDldBT+QhEZsqvwIW41G+ixDAKBOSztzhTtykAtTdWk765A/T/AHSpTz95HKFUNL
v4+1LCQjs4tKyLtEoopwBU/pwp182ZgBumtqzznLxqhBqlRxGefHtNjH8YtG8O9ZNFAUpV2ZSwLk
l6JNrv9/rc1uZsHsYRLVsdYhhOa7o+0JTm1+NYujpz8VyVdPRCgt+X59b1w6slSOqPRONPBnyRnJ
76qm7qzsqKaHJmz3ZYMShyqs6n4X9NsEvb7r9i6FOe+uoHk8OLiyMUqDmx6r0VsLw13vgtJYak5e
MDKHZdReWTcwxaRHvxJvVQ8RPEG6L1A0WdgfMwcE2gjEEbUkcE1Acc5y01HIcvp6rz4r8h/ru6e8
fmiups9TIgeLo8JDeb42ee2adGu5yjOM4baK0FDf3/Csvm5Emu2Af6wwAE2m1MybanZBJKNBvtjy
1GdjMJws3rrVF2vbomSufkN+D5FXJXOi35Oere4kwy9d4l3/rYUGX2gX/NS8PvPPT6FcAWKWXMsZ
yk62Kpcu12yiZMvuyyJed6p/oC0YUTftVvTHB8VF2yxoVkomreUsW/AtM092Zn4Wt6Al1jRhgPm2
QjYxsvv0IOS3HjiOhSmfXOK7e1KZonze+lNPHgAuMm+nLnOsGktzYWp5CMz+UVB1tIqhL+zyaKPE
BbF0GD0WZvClF9ZSFR1EdQkr99ZTefoDKK9a4CXpouO+mefLok6BlRqd+Ue5QdAlayxpJQtoEntZ
/kwwFN8Dds32fhipk7S9vGfv1GgzwrYSwVevibvGjL2V18IUVIeaEyZejkRgb611ap87hGyX2Ebn
XfhM2cQCaurT5sDvzxPj1FSjXg8U/7GqBW0d9FLxKSj7wWlDC3ZQovSHIZdSpyppCQx9He0Bpdvk
SFzyEvkVpE30wb0CoxlHZZo7KKIk4F+nS6iEIhdDEgfHzpPTPfwU9b0hBdoqbhAeHQN9SR1ivjff
7E0UZ3Bli5O7PrVniRUCvNx5R993kIAv9aOCLq2yv74z5w5tbmV2AkI5H8aswYok/bKojVv6x9z/
RARHb/m/w5i9css27qs0wEDJAy4wXqT2U7nEj3jmRiYjYJZka6IpIaaarQ0sRzzY0t47Bt1wGwEH
VgVlawiIeOZN89gjji1pruMG7gGCHbtKzZfrszh9/+R0vdkn442OwOTJZoOsazNAWQzaPsg5HS9Q
tpXxmA9frhu5tCHQI/mfkWkp38X1BgUVRUKN/AiIHiRNSJMWoh7CUVhCOl0cDTw8sPdpnLx54rvR
OgtNTMs/lgWttkH2S9cROLfahXtofg29LdrUAQi7DIHI/IBLad9lxFv+MQyCxG78dlc1qOYF0lMe
d0hMKH8KackPWm/omNOlwi4pUQnueTyhOFuqljZsBSnh8SCMkOZWbjT8GdTE8BChkkq04WD8cHnI
JYgWP4xRWjhCGMdOpln1KiIktke9aXklVr1d6+64zlsLnXK00ewxRbi4kWAls+O8KnYtaDgeQmnz
5DUKQl9NXO6CRDbXXlepD6QQpKPSN4pTx615n/Vmu4sl71XJq+5zoir9rwooqLcSjC5eQ6keftL9
KFlXfaE6BnRyK0nroN4x0x95IyHipYhjnjhN1qSBHfWJuxutPNkIXp3ti6DXd55atnbd6KNT611y
awXDsC5ERLGNKkKDuQjVdeOXwqM/ARWQNJTID+WI8vl5ft+MmbUduds2FcmSG7dFmg8B+ByhZ01d
qRY5DSkRO6BIJjIzbY3qrOwKEnrtuvnJLJPm2Ill8GipyEmqqvcnM6GzMLQyfox7rV5leO+VKwpk
QaIMfmF0RO8TJVLXOXLDTq9onVNEbbumEPwdAHu4UrVEckpzkBzeJpmd+Yl7Z3i6+MAbW/xUJeqd
h5/M0Tkc0h6tUzdZB1YETUtaenvdq4edAjco17W08XT66PLQ/KVpyUgxtAxswzQ8Jw4DcR2KGlPa
hcLaaqroS4qAqOM1UbzqtVTkmMPxbKt6b0h3dRB8gmJDQV29d49haP1QsqjbDVGbt8x/ZaHgx4na
CWrj27Xmf7WGEiqtvsu/SLxoOyTOVa9ZleX4dShDrVqlkpk8CqbQOQrJ1h804laq05my9S0wPfGr
XNfVWuhKgTfQYBgv8iCnP1wjkZ6Rc83uxIStWMjW71JM68+jgpw48/PE7hjWblL/ToReeBqRJT2w
SYIXM8lUc1+rjTxpwpYkuLTAtNmIcrbDc/+h71j/1FVI7gWehXClOdA1l+rtqkVXbhfWsXRMxdDM
bQsFTWqkVfUjyIN2JdL9DQWH3H13Kys5QvkmOC5Mwh5Cez5y931s3CtF9xSQotxlmSAhJKk2UOnk
wsjkVIENwZ+375OkfAjyWl1LNUxa/rRTBs3IUEYcDrmatcxz8DNShvBb6pnNo6+AvkqZjJeQYEzf
u6gCbzol158Gl7m3ddn3jgbS5A+ClHrPcZF/kwHqfK5y+WvkonQ4dGQvW3VEta8Tqg16pV9Godc2
LFL/yNxanxW6FFfoP0gOeqi1oyRDtkFWwXSySPyKjp2mOUNdIa0Q0HwNAyd/KyGWRjjcelVRAkYW
MkkdKACqtdGL1TeP45nTkpF492pRNwzUBEFooqk5/DDCHy2ods9N7Vb57cXaaGt5FDlSlzQscs7/
qKGmq4N53kpJWK3MzmqdUXczR6utcFMDtSJfKqOLKgbSRmnLYq9klorkqm+8VGooUgpwvVXsDR69
BaS/BvYcDeAuGoReL67GoirsJDAQNW86ATVRHRwTkr7IJQVdsFUjpfhctarwAxnDFsYEVAsTI29X
chALt7o/lRliE/A64pQ2B1lcBVqYrOSqQdylCNTqyYjpypbdwNwmcZmtysbo/9AAL96WUKb+aLIg
3qMLrqGBmtFrIUcJEokovO3wPuIq0/zOicVWekWuvcpWQ1ZXd3nURz80gSqFHUDeulLCctxapd7e
KGGhbfNOMNZdLLWf5SaCTLA3c8kRWgSpvaEzd3Jaq6u49+XPvDxMO4zK6FlO6mBbBjyOWr31b1vg
2sfebXJ8uIBQKRxWU2JafGiiUNvEglB9QkdzOIZx1ThNbZJGSEfdacwoO7RCrd8IkmnteLOOa9TL
oy+ITCe7cBgkhBi11K5j0bgdgiy70SvEHd2oRhrRl8z4tk5U9S4b4tARxPqoSXTuh6519ATJddCl
+4XGQ2AHXVrZahx/JipK7MwTYKZy9dqhbyHYiAJAJMFKx4eoqwNbMNG2j4qC2wG96PuqQA+abqXW
lmO6DLI6Eu1SddN1FWc5OshI9t6Uhcxv4kfdtWHdbII6au5HGQlbMaNL6v9IO6/euLFma/8iAszh
luygboVuSZZs+Ybw68CcM3/999DnvGckNtGE5psLDwbGsHqn2rWrVq2loMmxLeJ6cNRByDa+Nqg3
nidKOzf1rG0PKaVTeFLznas33g5+GGzHHuZVQ8hRoQyEcJtH7Ok2U3VKCRoUkLoKC7sQR4gwS9Z9
0Taxo5ep5ZDodG2l9kuazLzyKYfaZF8p2DWaUtuZrpjalhf1r2kdG5uiq9H9BIf6gBg68KUmFA+R
5db7XKjyrW80/dGqg24bJ62+K9Eu3VW4/0MZib0jlJF+UCF3f26SpnOESkIWXAQ0aORsnioy5K3h
t/pmTCChFAZ6d50uh7eyVypv49XAGyO3Vu9i+MJu5Ig/NNdAMNlH2tjKqsSmrD3J0EblUbd6aRtS
4nyqQjjFlKrIn8oszg9JOTYvRdkrG2kw1ceykvjRaRlv6d2pf0TNgGy7ORS2JbXQy2p1t08b2Ss3
IbNly5YHyUOMOGeUW+khll1lYyhZcZtPatDKYKF1yy7mTAf1s9qrwGl0sJ9tiZKwHFgd0vJCYqNu
+yvTlMpGByC0ZYl91keZdMuZdalkSPIuNyJ/byCbaw+1Od5Atckpc01vE6a14vSUZ2xljNVDnQoQ
GZAVUI88m4bO9kNE45VKf45CLz/26CSjTi2yafXR38Rulm3zRtSPuae0O4g0DNts5eQeeVGPWlFu
bIRMSyD+J7byDfIFSp/DE+ilb1EKI4dLM/aB2oi7K0hj7zpTbWxRjE17SPXKiTUoPIZcs7Z5j/Z6
Wug/zbH9WRq98da2rgTfYIDPa2RxX7YkIEsd8YshyN2bGkjcbUhN4r4S/GCvRE32Go2C68haU++j
OFWcpLJK0KZBuBHhqt1pYlbuU8hN7wgL2INDS22ZIsSuzFprSy7ksfF8C3I5g6pXXJTaPnAz9Aoy
XS02w3TbhHXLmlJUsMngqE+9CmmLGgli6UgW6sJqG8ROIbdQDOpRv3WrKrhJ0Xo8j0hA32RVUz0k
I8kdoaz1Bw7SsO1DzztlVSQ+lGnmb5A1EHahJHR7+uQH2KZCwbCTWAw3sCfnuxDMZL1pGqN5HmTv
NwAs2l+0U0GUuZUav/uq07wwONkolN8VY6jOUtFEv9S8jr5Zo+5ttRDF1070f0ZSJNmu0MVO5I5T
/cZSnKoloKW5g1BAa61dXbriFh0Pn5aaythoo9lvqdz0jpuU5bbNVXR7BR2GnqJTbyypqbexILHp
aK9A6TZ7GzJQIn5vJSdTHcONkvrIONA/bXt6bto9dM1bT82ErS8NwVbXPF8ELpvL2l5NBxL/ZWfm
T2nbu7bqe1+9EdyfV9clute5r21VXuZnXw1bAP9FGB9DK4QPEEoqYU9eoNmEaqkctdKqHizP+NWV
UWfnGZtedXN/1zc9oWnnmTeu1XHvJNyDQZzp2yFs6wNJxwYtQsnfGV6WvilybNyhnFB/MWohPlZV
Np51wQt0O6rGKrstvZGaEvTShRMi10vQTT7pVPU4BF+mKbahUM+dQo4pHqIa8Q4tOld0oj4RmmX2
6ObxzicTfpf2rfnSSLGbO5AcNsce4eTQrl2xK+xUcoPfcZs2Z1UwkueY8sgtFbhxo2YKbe61r+cg
lzpj72a1sLPKAc+gBQj4joq5GWWpu4mzwr/JrK7aqJHxvWYb3Lt5Xt+HnZu89oUe3rU+athRMjFT
D23w4lNB3iGxmm2a0VRspSjEL6acB2fZEwBSa4HPe6ho9kk7sIRJUnxp4wIinBFJeysnRE+txiBd
pVlHvx7TbeblX4WqrLZpqCd3adjkt8jZ1Pe+0no36HwWJy0u+2dDL7yDWIbsEnSnD4UW/uH/Cjd+
pzTAMTiWmj+0ewvdwAPvreJc5AVRfSmZJPPUzt36oLnO8ZAJttAZ4VaRQZEmKm+MxPe6F8XV5J1e
auLJ4kx/qUU92/q+m2zSsAOHLCatnfVFeytGY7ob9HZ4CtSkflIj8tjKqEp22jXVroxcxwzNAx3W
rxGZ+00Tks3z5C5ywiRtH+Sex1KFJ3RENa12shyrO8mqNUepxG7va620Qcn9txuVqNPrbXHMykB6
yGTErmMRAWldHOxy7OABDMz6TpH8+kecogMsBoVyn0E5bcdGKm2irtC5pvvo6ItZhE62n2+iUdz7
kmCbFrA/iEjGY0f7+bZ2w+IoWEhtK5pb2t7o1U+IEMgQF6nypqeD5lYxXWsX5yEC22Nn3knoogLz
sSwyfQE3eplVX8AG/AqD2jyJCh5Ot9APriculAA0+mHwAvOHXEoJ6R+32ch1WZ/0JFVvpdSqj0Yj
/tYhRHLkppSOYa/0doUKsU1KOt6NGipDPpoOjkXgZ2tlNmz1pgGLS5f8Vuh7ae9pYmMHsRn+UeUG
WjzFE06FHoXHIGuSXeR1ogOzrL+tYF2z8d5IM0Pwtg+0CrFrsSYAtVDNgVqqPGeSRr/goJpUyXMa
eoMIVXjLjw+tBpN5b/q57Xa5b2uBl7/VUGhtxc51D6PcJs4oxuPRkofoB6lxfWeWUn83lt2fIYzi
F1URmEsteu2sSthljfuzqarkuVTC/FzHLgI6vSyfM9lobUJRb9vKeronCPccEXgixEVytwn9TIHC
EDJ4am4I2uiFcGy8oIXliqV9gEPXdSge1ZtYSh98qZMOLn3fAPIG4aTWZCX0UM2AlebZfauG3WMS
CP2LVkvPY52gHpSLifXsWuoJZInwIlgBQuFRnAV2EVr+WZULgn9PjG8zxcqcUHX/WGnU3EKN0x8p
56cHlevKCfyeiEGIxsYR5TF9db34KfcH4xiFIYXINMydNBCBaVWl57iBlt8qhSTu21Q0nSI3213i
uxG4Ae2VfLl5MwZx+idqB80eh3p6YvnxNtK8lqdXWZz0WorocLBGzabJeHzSyeIf9EYKHSJccQ9L
wJ8yjqybVi4i2qNoxu2DSgE0OBq7RJDu/LxLHNPLxXOhtNO0GcOhtgRrEyjRjySJgn3MY2sXlnFD
EkGJnFgi25SmAhE2Ly7tSNavf8l6vd+5o8gLsg+Tb5EglF9dYA1HnfOwDxTL40kYC/TSerkdRK63
MYuCXFabSAicu+NDKxi97Wda9lQEZPh5qbq3ETql2yTvhRu1NuLC7lCFJpgw/J3olRm3flzbcBtZ
2xRCa9trit+A+wo75ljfCOQNtnUpWLbRl8J2zPP8kfh4tAVy9iBM2EWepUEqUPbSvdn08Z2flMFK
sewydU0mz6IF10INEEzgLJNX9p2ujZY5nhvpoMt34yrc5CKpC7sOuUK+LBEOKLOaTVp5lU5SeTzX
zUMfHnz5+Xo+d+n3v/u+OuuC7uCkN6WA71un2HX6tTaryyyuZVioWtCpjJjaBUiuN0zutd4dzwgb
kx48KuJuCNfa0pbG8N7IlON9l5OutETr9BYjke9Egv1JJk9S6R/HMFsCi7JK1dd83iDPmIFFe/v8
ElgTaT/tUvRMzVk8B6OgJ4Js0zmpvp8r5cenv057JrgFkAST/PYsYe+WXS2UgLvPQil/ByBjk/Fa
wfoszP/fmgewcTbrJU82QXOUV1C5uGJygtYfrvRB+XN9GAsbCRvwj9FAy9NjXruEFd5SqKdpZ8k6
SdW5TMlMfLlu4rK0YU2KyAr0YlMBZa5T3qgZTXIitEYg4OxKNp61uCUhH383UtBL121dlh2wBcEC
BlFex9zHLTuQWCzGHPKBOu5voqQ9jm4Dfln6IlfeT3FoSD+uKUQsrhKlQ5i0pjZkfWZSzIXeDFW4
HDKUPeOj7/26PqTpGMxqGtbUrzuJFEFbPkeUQw9ADJO6xllOf431PgkGm9yp3XPwRYmszxrqaw5c
mc4lXRF0AYIhgWZ5LiCl5ZYVp76on9PWkLYQi2pUQ8qj5ur7LvO3UdCSok2/9IoA6SfYyevDXZrO
ya/95eCA93P6+3dOhyxuLUAdr5+HWnSG7hjqnxTT/J/xvbMwHYl3FlrudL8LZf3soYmWsCWNL9eH
sLThJ4Ffrhd602lM/mggI0A2SR6xI1BOobDSqZRt8uma/SSxwyTsAXkf00VxlFZAY/ol74YySMT6
ndGgDEDKzB9sgbzt9bFcVuonE2DyoaeZZALn2y+Eo1Ksi1I+j9THPB5l6TmdCEjz45jTGJ9UX4U6
+Sa66r6y0r1P/k7tf1//DRdbAsg3bhy8HkVgRZvHApFYaLxa6eE1SIhGfnI3KtVKW+qiCRqN4OIw
pl662UTmvL9IHSjDuavyP2LpHo3E3F8fxcWumEbxzsQM3oiOWejFpTyco/qHlEp2kp76NLZ9bXfd
ztpQZrc2bw7TzFzspAgoWDmYanXFyS5ZIHzG2aFYSOvUbCQ+9d6w9wMsTJk/TwWFS1Z2xcilGwJX
AB00OtlANbln5351KNQCMevuXFaGl6JkB4Co6EuTV75VVXbq+8VNHGbx7dDDsZ3pgUk3e/qf65M5
gwxOBwy0lgR3B7AwmYbHjwcsEcDbGk2MfA15DxhMAR0T+KqhrUgV7PZrUKJFc1iB2Qbe3IuQJaxI
ZTa60p01tFiV7FvfVHZMzr5qvqprTZYX98o0NKTpTOi12Jjzg22UCvQjWd+d+158lTVvV+o6ZPcU
pggzBiDXXboJ9PinNJorPmXRMnAlFN+IXtEn+DipnarkpStJ3bkBldU1BlzLkqOnB1e5k9rHqksd
V1hD/l4EBowWmJHBnoVh8QJwA92RThnJ7HiIZuMmHZIHPckdPys2mVnr9oAz2yayvMZQsWRWQ6oA
L42sCtvo41DVqmoEq7T6M7T1ZLz3vuzRZSE7DVc3/5nln+ts+btf2a4sKKgi3k0zPxZbfUYOW2G/
ImybkARc6zm4iBeZR3AwFNcm8UTK6B8HpMSZljZtxtnnUW0COU+R047rT0cBkxnqahMak27WeVjK
EQBbIVf9eVSNTT9qJykqD9eP9oIXwwT+C7w5T4Q5StsfBEoaZdufozxrHgeTxDHvEe/5upWlDWDw
OoD1C1lfCGs+zldiuaWmCVl/ZktS8rzRyql+dsybxmm0m759u25u4ZIBc/6PuZnzr5uhHQK36M+S
D26j/23KXwZL343hz+t2lo7w1ASGMVDiF/zbjZhbvqel/Zl01pPm5jjh4S3M1Vejkmw5CByrNR4Q
zPFWXMfircB5QpkOacrLBrQsbmNUncPhHGS+LbkCmaBiq2kV2blfhfWSEZt6yn/UNSTd0rY3wIFN
/FNAa+d4PUGwtLoKJAQPxxeJV4tW/smFX9fndCnU+itfPpGnLbQ962JAubIb+7MnnjQ8sAxaR4hP
jas7gVHZ0viopzeKeO/Lf4Tu8Hm0IK4Yr8yfKjcPIvAft6raZfAyBKJ8LlLUW0j0eoF/c32IC2fu
g4mZ5zfrYspVj/LZTCq7T/aCvAI7W7hAPxiY+b9ShXle8xmDFFIpUnZ+c+hyICnhWyOvhAaLYwHu
y+05SUjOpVTEEXHJkELg2dB/6u6PNa25lc/PdVTAcI/mkMZ83s5leiPitfTLwpY26E7ELeH/iPFn
ENSgValaBRIZqhJh0mJopJcCVNAx6iRt5VaSpm99eMOaE4HSFMMjOSPSDvlxaw1ZlY5SJo4IBlu2
FLypyt0oBDs/e1X9X7D3UCIrbkzQbOpKCmXB/X4wLH80HGqR4vVaM57L0HtGtHTrK1/d7lzL1WYM
bpp45Rmx5J6wB48nGwO92TlWNRdShTi1GpE28/6jR+J/cjnfUr2i3OB7kGynezEwfo5ucadAzrDi
HBe2DE1NuGVw4FOj+yzYaCADMJMGXT0ZLe7cjlbulpXPz8mB2jQKBh8O9zNZAzsrtrX559PeAXQt
vMVsFW7KOYzdq4IqNLtmOCee8Nr0IhG3Z67RYC3cXO+NKLPEbN2KoQj7OeKDLgYQp3xKI+2FrP0v
KF8dDsqbgCSdDSvO/vrols6bpNNHxykA5jt/xZYlxQPJDRHqrb7pxNj1ngLqdRMLtz8NZ/+YmFbw
XTpArXS9b6tkPAfGRv1RStukvKm0lT2+uA3QFMNxkJonyvxopKJnWqlGjCjjRhucdG2elgfxz/dn
R9YdBDHXPASVO+RfrT20v119I69l7ZZX4x8rymwUtTk0aYsVpdiKih18U9bGsWjhbwDLMxat39lp
zPQBFir/73sfSdLY9L/HcvUglZ/U2ZhCfmOSz1an5zJUILMNbfp+pY7FMJw13nG9XD941K4h26s+
xwPyv3Z4s4GrNnguziJZtIzA8zVIrGrZfQpKuoLB8t84MPMfE7Po1fJKwytiTHgAmyoa0rVw5RAu
bi7CRlpOZEgD592NAjiHrAp1kjCEj2knA9HRN25+7OS1zrilY4IjJpXKkvDMmH7Ju7MY0TUwDIJK
8YT0KVC7lala2l3vPz9bjZhHq5UAY0X/0NjIv1sAuOq/8CbEuzirSTLrgrtmqAQlGMJMPPvFJkBm
6ADiRF97ly9OE6UBsowwX16yVrTCGGYVdTJzBJIk1rkdmtrL590imTf0y0jHkm6YzZUZuy6Yd088
m0a3tUKUFdzMDixpa67R9C2Nhpt/YsDlhcLz6OOig5YlASEMlLRKs91LsUzTOPnGlca6JSuqiGYV
CSm28jxyEw1B04WAaKqrdsIWvNHnp4u1kDQId6m9znuh0F3VRHfUxvOgABT1Cgc+5G2T3ej1Sli4
tIf/NkPCAbfQXy5Xqab6ndufKenbbfQjBdWTJitPjhUjc/cI3rhSmnwyknlOXnxtVZIia+mKRSM8
myaFbZTE5juMWD1tCVV6VqR0EuEPtuiafr6+LovLPrFJ0VVDtW5e25LJ14WWSW7HBBR8rMZc3rte
8+e6kekszCN1VuP/jMx2sFsYblPqPHSTiNRj8ZYCOsiVN1bGyv6NKeqn0KPQenfxAOnUNrFGA5h/
2A+ZLYvlrSVIj2023ueh/lKCeb4+tMX5gz6TvBUYZyh2Px7OPC5VSAfV4SxquW1KPAyVFae8dLug
3PNfC/NG5YgsYIWG8XC2jH0obMb4fsIBrgVg0uJuI7cn4QSItZXZNelCOJnXKhOX0tBDZHHf6YMd
x9VXr4zrW7cpFGekYELmODG/CQ3dmwkQCDvpe3PfWA09Ne0mNJJm5W5demtpEOeDRyA3A63jx/lt
s1iKhIayQJ6U/0mk4F7LG58epzpwasphtpWI7b5Ik8+/w433Zmc7dvDyDpSNP5xLrXOAIm5Xldil
pZ2j0RrKoWN0bNePIzOsoLF8+moYmduR8QSclg5msiPY1m/FQapuhTawHkC601qBuDStxkKyDZOo
OBRw1O4R7y4coVHDlRfZ0kaYuAyoqk/v+HkhRhvdzE9VZjzsbv1vDbwka4yZixZQG6WND+ZMMn0f
Rx749K8F9F2eJTCnkVmC633JqjU0y9K5gQYPwj848sQLRrPCBDjeWvjouJc26VgfSfZWMLrEa9pa
a4Zme8Uz07RuQwy5A8ANMduAjTr1SU/LpaV+ve5ulo4DveCEymQ8JgH6j1PXBd6Iv6akmArCvdwN
28wS9moA0EWibhR34VdRDL5ft7k0vmmdFEKQiW1+5uI8BApcs6T/MXZPmfpoxqLd0Q+ymoWd3mDz
W+KdnfmlKlpDKJcDUVvUp5uMxqMKRJrVC7YYvRrxrZKRYeHAh8c2Fg95vcYasjS1783PnqDJAF8U
ILrxDFK1Gpxy/JpVR0nbJLKNbv31KV06+9yHTCZ3u6TNCx5B1BeB3sg8FEsEv3K1tnk5BisXx+KA
eMRBiQvQ54Le2QzhWbE81o23V7tXBGG8UwrPdVylJn0UxcY2VLvouUr8YXN9eIuWCVwmNWH+mNfi
lJiuOlVjKsvqpoQVoKRuMMpfAkndWcgjrZGHLoQXRPokYEzKYZdKvOXUSt2gbH/WhEce98mwy8tJ
SE0X7evjWnBcBMZEYui4cCXPr2K11nt6bEPxTJODM5a/6Hqo/dfrNha2hkl1isoeTHWT1tbHE16J
0hANoI/P2fjFHXdad/gX34d5aQr1eUnOpa7zzEukti+kc2U5/YBo+8ocLf7+d9+f/X6xHL20UWLp
LFuhE0mwh30aQYhcAQ8uVoBeTDr3p+3w7hEskv9I4kERz6If2fJmBMv6+SmCQQESCcj5p6LJRwO5
WXVJgkLx2bwfQsUWaHS6bmD6wMzTsVWnT3P3g7ac9tm7EdRiG1eu2spnNY6MTWMlBzfU6M5tbpVe
uym1OnLKzkIaJoq+Xbe84MtNKDHRZ6TCRsl6NrQmjcRUmOCRI+0HnaO/Cta2TZ/+jRFwZYYF5w1c
uB+Hp0Qu4kq9L55jsQls2FoOjSu6jm+NL7qS7P+FMZnEIZU0dE/nu0HtLFhJQJadm0p/gpvleeoc
tIUkPA3msDKwBb9GEfwfW9Pfv1s3oaKTVe4j3vzt9zj+LpWPOsS1wUtjvSZWtbJJlpwNpVBgh4Cw
UMCZRUmKkZoGmq3juaWpn1ANsh0etL6/ckssnVdKc6BZoVSAJG0WUcj0gxjuSHEhVWrHsmgk/3xq
l6SCRTmcQeDPZpu99FR633Od/DH9Adpt2DcrE7U8gn8MzDyOoo/ACmplPKvFTu+O9e/rG2xpHXjY
4WmYIkOe0z/0ZWfUg0tJK3wbxKOJqNonBaGnJCjXIbcXe5gS9Dz5bRmdP4YW9SQz+ZWnthavObTL
C1IhxmAfkWHn33OfL8luHCKoZpy0gFYB7+hZ3xDUcRS/3/ThSkb3cjWwpcE6QuaYjNX8PMLtm2tS
MOinTDoGt4H76d308fOzIxh0UGqMKZ9P78zMsdZipoVyORgpvP4EtKTYNv/5Vj7odHnX2omWHr+E
NGI8NZ5nN8VB0g65LG70+pc09UoLtxJ9pFL/5bO77aP92fgsqK3oluu0k2C9FPQyl8GxSdY0Ri63
NEYm+UjSsOCX5kmf1urSYowYpBQ8FQ3dmIkdGY/XB/IX6vXxkptQlfRjgcci0phDwbIRsEVICHwi
N1/syjbRO3B9ivbsN0H4lVmm2zVLnqyhql+bXFYIRPPAt4VYcp0xzmm8r63qtpeN8gFgLdXH0Q2D
r43QmPta7ZtbNfC9c502yWEMvWSveWW0zxUgbuIA4oDGcLm+IRRB+lBLh/7YEzveeCQa7Ao8xGFo
6/gHhJ/eI5Wnnlq+KX2Nxl746g2auDMGPz+3PqQyTTnGtqvHNCt4Y2SnoRQ5RgILWhc1Urrn4mlp
aRvzhzALW6DMqvLSh9ZzndV/gk6QbcEXY7rkxqAed+TB/EM5DN5bhibfbTmYzcHUiwCsU1vof3qw
ZL9jeRA211diabWnm5gXN7nEizvfSOmwEhON1S5OMU2i9G6v0SktHfp3JuZPN6Vyy9SHNf5k7ZqI
dqnd9REs+S/yEaY2de4oFwFFljGTfePpJ1HsdoFwMxa/86S2Vffo0Xl43dbyUP6xNTuAfVGrsVdi
a2jNvSf+Bu3w6RsXSD/dQXhJrl3aoD9GEVLmpUrBzX+S2l2+1byb6wO4DPEmJsApefOX+kmUP37e
8HLShZ5knqT+ueEJVGgTyudGXcviLEyUDscmEaxs4i7nCcMqDLxCkFrzFIjf29vU/Pb5YTAOmo2J
lMFYzoNIUxVy37P0k6RU5mNvjtB1aIXwZYyV7kFr6fm7bu8vH/xHf6XCm0aum6NCn8Ac6OA2jdeO
cZmCkiqKxy4fDpJJQ/S2DKIRyiJThKopfTPFPNp2Y1Q9GDXESWGa+rZblzAkB6QLKrOynjNclLk1
dVRFh1JNmXzTcJRcjn5oAPoeJ6YDJxOy5sv1AVwe88mja6C8Jh0CZA0/rrsXS3UrJGNygiNA1Fqb
EoVdfrq4oiJgjV+H8h7g6Tyy94m1VZo4w5MhFs4IUK7Se8gjNtdHcrmzJivkYoiHFsKVtPQzOWyM
8CS0t5LlO934eZeIBSLGic4RDcv5BQgr9NCrYhqdlAR2bYM+f7Gxu/7P58cBJycPIZRRifFmEXyf
DRrFuyw+DYGTPQ6rzGQs6GzDckD++fw0je9eI6FUd36n8XlXexuDrVDfwZ3xWNT7sN5LnyTQ51wg
Hk8+gtZZMlYXK081xRjEnt0lp/G9QUN31j18drYQ9DPIN1O2hcpxjoZEGcAIzTqrTrm8qYR9tiac
PTnuj9PF93mCWEARgejOz0egin5gKWF1kuQqvG9F0/8iImN8jDS9vFPdtjsogmjYvd+t9Y9d7ufJ
8lSuh7ffvBCV9NVcruK6qE71rza2w5d/MW/vvj67sMQhgowjLKtTEUKEXx/af5EPoRRCnwnhA7IA
/Plxo1mw0RchLu/Uw1Ew2KGyFo8uTRAua1J/B0RxqXrmSWoqqSz9UD4I7p2orK7A9IqdLb48yZrQ
0IRe7QWBrdTI8CyYnnyqsbX10k5z3BL2JUeMEzQFvLEJvvDOyxz6d1UnF3hlOFbdFry63SFAW6DX
hB+Za5VOLbqlw8l+YcdIdtx6LXJIvt7sBOqoj1Ermxs/880dkswCBBAD2osx9EkwSj57Xa09mK4m
3IR+CnIPNsPxpbf0QbelTPZuKvpCcujjjGonZuF428lF95LU3OGdHnRASyrBEJyqFIdNWubGp19W
k9NFHokOPQgp52GJzFnQ08SXT/BxFwrsip8OrD5+fxaXBGXeVZU+LcHwnKhfVe3H9XNwGSR+/P7M
29athAQp4rGnLg7Ec1fW1b0EYgKGRbFVaFb35eAhlcTi025rEkDmYJDqRgx57rbEwpeboR6KczMe
jPCL+UlZERzvx+/Ppq0wy8bNG77f0q4r4T76lXhxAV6KBY41McyUbZpnB2B+77u+zQvgzU8x6Ayt
hygP6gbYe2PhvvDjTVe8DWmyub5eszh1AmRS/yDpAZwJXOk8ltDhLbEE7N134yO0cJBE3abqV2kN
AD9z+3/NTK8GYm2gLdSQPzqvIRRiszfc9l7PDCie6CtLhuSb0Uc/xYi6S2clr2OjuiubfWlwExzM
nHwaB2oWvfJyVCwhbMf72nedzjuN2nePl+OYRJ81hEY2zMogNAEiXaqaQXBn6UUHgY9q3anpi1t/
S3mAGW+fXCusIKyILi6tGczi7AaQ3CExIl0LTm37rYeaSCwhYzINyATXEjAXEzdZmtKFjEYEVDFb
rjBCNdJX3eAUaspRiv29SjjbxNkx1s2VjT+7dWBkh0lG4zoGJaZeXstNq42dDpPQaUhujV0+rvjT
WTz+9/PgKciBTM1GiBHMNp6cy24iWP6pFNJdYURfhkTe6tW4AkafZ6z+x44Fwpl6iHzJZNxbYl6p
/cSWqiQbJd+p6R9PeQ6ie7d5CnSCwec85eKmKzTsn2DwXNmAM7f7v+ahKwCdAaPAvJhPxAa7olgH
p6IzMFw8ww/yvYEVCI2P4xiGK15+cVaJDv9rblrUd0Hv2Id57GtVcIpkiLTTCFbbb/64v77dl3bG
hOf8r5HZdhfVvks0SKVOaVfZhnK0qpXztDAKdp3Cc4+37UJJ3c8GSe0YBehXx0okJ1Ffk+zw6VFg
ZALBmejvXjhYAWKWRhHM4CTFb67+mn5+4WlRITMO28lCppR9JxZ1EoenXCyMrQBK8jb11PaHlev6
35jnyTK7NbjV4sTJ+AXgZMSk81C0S0xv7CAXOw2W6Mhm4QzWwffXIMMLToi3Dg+eCaICF8csQ6OT
Z8h7b2T9UZtv1Me0fw2rgfbclRW6uJu4/LCCJc4tj9HZPlOJtuJAM6JTHUnhbjB7cVfnrrURO/UF
OTOCFsmCxiTMtZUNPu+dmU4tYCocLLij6WU3C5YE2Dv1pA3jkwK2SRLUPRilnZCZ33u5OrRZ/psG
w/sI7me1SO/kNTzg5SpOYNZJkI0jgKefuUZxUGKzIWFyEh+rnkZP5LB2n937HyzMK/WpLCZqrmMB
2kTtqS6K9Ecfye3aRlkcCOwZkI7hfslyf/RG9P+4ii952anvd+mvvvmtm4+fHwhzD9yb7Kd80bDe
NlZcjGWan1Qa1CHaU8uNmHf59rqVhf0AtgekCHym5FcvWhGVXoazVirzkxjHD64ILZjsgy16VcIX
0sd3ZN82vqSjPGZtunotErxwtxCDQALHP1Ny9wLjN3Q63VqhNJ6qqrUOVQiDsgXT5krualqLd09A
Wn4/WpndHEKYeVJijuMJDdtggCAWjsdkMLdFckDRREXJgMvz+rRe+BFMmqBeqbtNfEHz3qNi9KA7
gmH8ZEALeZcq6XhKehdqzBheQ0spw5XNsmgPNPoUz1BzmZeMLSutxrB0x1NfJgGMstrWSJM7Kw9/
Nslaku5i609je2drNp1WRlOaa/niScjHk6lU+7bsn/RxTYZ62QxXJOIzyJPOYelC7pUKynfjCbJG
qPRLJEZ63nRF2a0EFgtzByaG5IbGs2Q6BB+PsgokZhzoEzopEIPlX6PyQal/VKG/ub4lJPlyG4Je
YUMAyqKmPG/hUIo6Khponk5iJj8Z0AqO0bi1xttJdhCSUCdskSihr0u78wW3ummLuNmaLSzS13/H
xdVDWh0xWXWq0TGr8ytOAB2txkkinMZGskVv62VbOL1twX1Oo9aGhOW6uYVlxByhAqrwaCnMTwI5
NgEeFkYdQH1qHmX3Bezu/5eJOZDBKgJBU91GIB55EKJvsr6v1JX7esFRvR+FMtsjMWTOmlp2wimO
d126i6KVytDKLCnT3nkX3JpBxpktmaV20s0EVG1BBip3r9cnamnpCWrIVlhAGujC+WhFFbNESATT
PdXKT9+MIQI+d/VBEm6tAcJrb603cmnS0GFDDYgLnyre7Cmchr6seJbsnrrxjf4Yjm67Mm3S0tl9
b2Ia8bt5G4Q2b+QQE0APzDs9UV6jLj12oeafhDhPbqphYtSusxIqEnAisFsj3NQMP0BbbSBscFxX
ecogjrNHs8lXDvzSmkqMHYgNndEXJEATmabqua57isfbzLiDudw2YLi4vqRLE4C//1tOpEFontuO
ylgdqkE0TwOphsMX91YpV9JchDRM4uz+BDH4fzYuOnX9DOZ9UHMnuTel/0falS3HqSzbLyICKCjg
FehBrZZoyRrs/VJheWAeCqhi+Pq70DnnukUTTVj7zWGHya4pKytz5VrBAHJgr5Dq4FUdEs6NDf6C
vK9+VIkFBlabdF9LystN0xPrRlJa+XhtfdMSMFTESfizQVjoa42G/GtYUs/kDsjDc1MeSpg46Ele
7TlYjW/CQkL1IZU16KtBQ7pT1KaEZAFOeChTlGxsVVDQ1ofRjRnjXuUEahxDLmsX+VttD/1U7ukG
+oBAyf2PJam26YUsfIjcUb/hqptR0vmNsBXfiA10JXlcgySh+thRCkCuLL2wBnF2NTrodcjqe3CN
K+4QltA9A/e1m8hOvyexAWJlXWvcSiOVm4u+PnaJlh/1zur2ah+ru8Sh5TFuwWIPES3lTinir7yw
GrQ7233+tZF9q4IDNCv9LNSG1m2GWtmBb67dSAJUYJsCipCEGtkTPBVe8zAiO8fUiQ/AcHvoahYf
ipJmd5pQ2gP0PxJXBZvbbWOpTRBFluZpElwFg0DXY6xYL1GckQPrLLYZdKs4GGOT7FPHrHciV6HP
FfHmPkJ2x29ITLdl3kzFK4d5MTPBE87BO63nkAUowAfusVSSTU1Jse2A8Nq2ltL7ow1RFDBBd8ey
jUDWTkD0HAot3fc6qzZ9KvSbMUJCuxWlc5Nnve4PjhF5Q9UDilQLE/zb1nCsBhANN7gmj8xOQQRl
dHSnjqp4shWlcmlisaC2ErbtkJcKGgvKdyZ0JSCiU3Fo4Bmab6iKvTVMBjE46JhDN6B2a4hveCAw
UZ+vH72L/MdEPqBBYJSicxlVxen8n/mejDq8ie2aBj2UvQCU91M27BSLHSWDfkeWams394JDgUGc
ceCrcZHOa5ea1oZ9O7Y0SCC5Am7VJ0NR73rH/H19XItmkL1EIQ4Zucu8djUkeJcwGugGGJMVTf8q
dNLuSt2s9tctLTovxAWgN8C1dAEUyowoli2jdoAmSM9CnQa06rkPkPJLIvTX67aW7j6U+SfkK5DD
wDt+XK3YNitEeiELnL6wXbjSW0Bw74AugZCJXe7SASop2V9rqyLWAusQsj0oEyApPLtwqywWqQSd
UaD/A8mbYnN9SIt++ezrs6ChJhC2Vkp8nZaZpyeJb4qVTObCFsd8oYyNLhqMYL7FwQ2Rgc64Z4GW
Z4eQRDsQxvuFAwrRCEGrEtOVDbE0IrxFkX4hJmKG+TMGDbXJiJ5qLNKY/xJVtKmT+BNDmtQy0X+F
G+2iTXBAukpI0rGgiJnXGurRKlPX0n5ys91EirNyeS6cJRtAOIDdEHMhIzzbdVAZZUleTmSo+uhD
Rew+NZNtNg4rO2HNzCwMSpJOZoMcnWC0gljnKNbeIC5bCTWWNsP5WGYpD0hed7YYYETLg7K7ySuX
9Meq8/VmBZCzdFTPDNkzYHIlkhEKAzBExK6zHrryEU3EaDMk7lj9bsyVNPrK3M3LeCMF8W7cDLAm
nWeiJLuWDrcMl9n1w7poBmXoSZx44nOZ5d0a6DnpVtY7wQAMUHLKia8oK4+UJXeK5gggx5H7RUZn
5m2iTlSGPeoYCXp9pMqgI3Gwy8TTtcfrY1lIqKBe/45Znqjb5nVDZnL0jFqhEyj6se1+x4izSHyo
2caBylmublK5hmNeszgN/eyu1RnUwhhAYYHT8G1VVp5VPfTmP8JBHa/cR3rld2g4uT7KxW14NsrZ
2aUdYtl6gE1u5F5a5AivXqiTugJieQ04eLreWHnOLC4gkmFTCxB45OhsjwxgxFdDiDwEiMBGLfVD
KJB17FsS/7g+skU7UxfTlIRFM+HMXQABG6YoUDmB3tCJDg+dOv+ETrNl7cpJXvLn0+2B3Qh6dH2O
SNQUmSpEZU5Q1aoLyR2Qwq9M2WX+ckIJ4mqygBdENXS+Fy3TyAho92gAsq6g4MYut+kT73oskwll
pGHj2E4GAEXEXR5HOychP69P5sLBRsEDcaANGAvi79mpU9IuBOw9B1xxsBo3lyF0xcak820Owa7r
phY8MEyhSQy4MnRVzCHqadqoUDhLaUCV17Hfhx1eEindx/obOgpXJnZxWHBUaErQQYFtzoKLTuVp
Uw46DZqkdS1Gts5gbTv+mZgWbTVoukI9Ak+z2ZZHV09TlXZEA8gmBo2qS5eQ0NhKKOnsrk8esCyX
71hsFALePVCH2xdbhTgiVWMTCPvaZkDlKZbw9J5pbhzWXm0DWiq9qn9UUCuIeL3hFMg66oAXW6mr
X2g2L1/jFO2brt7W2r5wALLkZl4nXq0ZDxy6HrcIKvutwsvYp0neeWHWVVD4MNEGaRql6eNX/RpS
rbtrtFp+CSGH4qdDVNx0XFQ3aI2m6Bqu6Y4aoXOMODhFDFM2HnBNLIJuScHvQ8UhJ51FwivCfPBo
bEFmG9QaO6a3UQBBnXQzdG240aFsjFiwlJswH6UXAsTymNeM3vCipm6tGtKvSqCQqFkW3miI8S5M
urcixy+wYys8dJM6ZYMr8RFSVmzfGdBtIUiPeZUWj24X1s6u4iq5a2VjH2Mun8JO7Xd9iTstNBP7
1gaOcxeFrPQg49XfhlnaIvgNO/01CfejsU0AIyg1fmsiOxPDLYhiExNF4nFqW4cKBbE9EBtyl6jF
gFaLUQ0GyxgecjTGPaHiot82YBTZKOj9chMdknNGD8WCHNqavwqGAaU1GQ9RAY0NSKtmB95hqqzU
cZ7SukXyZ8iaXQbVka3Nof9jyUq7wZ+gNpaK0BNVLPyMtFA/a0jo4jEXusRuoEAaEuomLWSDpIH+
Y5AKpT6ap4SHwwN91TJpfW3k8rfoLQWyXRA0UklsH3JA4+8kN40Dr7PunvaQPgg5sY68rjOPGYmy
TwEme0kjtcXGIn3vxtLWngvopK244oXbDBVHEwhhYFIcHOmPN2hn2pWRN9QMWDRuiuxZEb9kX/ks
Td2qe6sg+LZy3GbAu6nq8sHg7MomERSuFBudAbIO6vxbT94Kdg8KSJM8IN3pNiqE24eVSs+S0zof
5OzKRtQGUU8oagb5uIcsS226Jt1eH9fClTZpRU4dVShsA67ycR5jwJMp8gsWYh+IJOKBzKoVR7U0
CBNPBXwH+agLBFEa6mSEiIsVSPJTY2RjjZB/pWu9c3MWivf1AeQPNb+J9wM4z48D6XWBSxXUr0Fa
mMqWyarc1xVoGRRRvvVCGLcOI+Q1M2jiDSDJ9MxOrf2sTortmFqVjxE0D0kOiaXr87s4euB0UYmB
JAkQBh9/ltmlEJNkmF/TBp2e9Di8dLvGOLBkBPRmqo3ZRX56ntFURAb5m0aaQch/y0l30Xf4r+vj
WNon5yZmYUFVZS2BDrYZmMcGAq1xv4b/mjbaLCsL3A1GMAnM6xfdlV3CRAZCbROF2/IbhXKPx0q0
dbNYfTHrBhF5EvrXh7Q0a5D1wOsZgDDQskz361kQXqVmVkBKEDuGW7+BgQuPIBGCcFlarmHBjCVv
ZUJNB4EV0g8XjdghcslpNI52ENoJh6Ta2G2F5K+qyHQPlJc/m6HMfabn1sbmHfFsnqS7FlJtrox1
SNU5RnhPhZm7qHIk3hiX8bbWRuUYI1BEzUvvN3JInS1EldQbxUant8VrJOkTaMj1vdN7ZZxrN2UF
YnZkK+ltSBu6c+I+hAaiWrzEY1RtqKKIrRHu1RwMtOC2bR1fgKdpr+LFhbRo2j+0SZ/fIJnaIynZ
GxvcKupWqhaQFZGt4BqQuIubvnbtmqw535Xpm3dl0V4nQ8bQCYR+Qh/Cea+dBOkaBVs4AEO7epCe
VoCD7RPbA03fILifUPZzWGdJStp2oQGjcjgOVfkCiN1TmDjWip2lk2We2Zm9XpxQ5X0xmnbQISsw
xLFrjM7K5bXwQELP7J+hzHa67mR2XCAJGjTVi57dQsh2Q4wvEcKxfzVlc1ZetBeHhVFjKCF/EVRD
dALK6ZW23PcQeu4ozgYzf6BwQ0NbJDxJUJVIEcbFU0YViA4096KJf6YF/YLRcjfhxj4l8R1ILlwT
OtUDxNA+M1jcC8APgENh/lJTmmLAe7OxA6lknlIB+pY0PhQhNtfNzFHN/7nYJkJvUIKgaWVOsWKC
eDXNlA7af9BDZQU/gGTelZqxNwbyrTaNn1AG35djd2ON8c1120seciIFnGDHyPrNi92tWhBZZdm0
np6ieiDpNx4/YwF4X1ADABUxDz/0uhzz0qnsgBb3KvTi8uSxaFZof5YOGGIPiuQAenLQgffRz6sM
NBUIbq2gZm4kt224MktzxrH3FTo3MDvBpuJUtd0OyFXy+0T5ltvCbfq9aR3VFF0SG4FMX+fsOyFd
Yd6J6q5PW1d0P6/P5OI+Of8Vs0POc0WBohqGqeb3ag8p5Mj2FGOTlt+psL0i+qWxnYx+X7e6Mrdz
Ibe01wG2wi0QWHmJfgX60mRrehjLAwNge+JzBKB6/qbmeQSGkSixgqRPA86HWxsa8NBEqwKzZl/B
BPAdz+4vEM39kej2yqy+b/G5t5kqR9ZUqKLopv24eSJLZY2plYiPBeGqB7lAtE2PrLmxhSH2lENB
htph8ZzFAwuaCG9WMbbFhqotEpUQYnaVSvnRgP7QAxxF+nHIor0mdWtrjz3E2wcIhleO/n0Yaoo6
suNshAMdlYir6ouENO8mBOx/mwJR6bKC1DmkCgG+vr6GZPGYozACKCOAPBcyLoXdALMUWVagp3CU
4jdtlOIoO6rvLb3StiWo2jxR0giqtiVi97a2t1Wul3hrDw72s5I/WEiM7fJIyIeOM4oC5mgp39Q0
NjcJJD4ab2C546JQwfYhwiM4EqpCZpfVOw3ZBg/ASsUDnoEf8Eg3jk4OiV/wnDonxgT0rxVOjtxE
ITWjA39x6hX38H5hzJd4oq4DXmrqDJt7ubBtzVRkDZKxoKvXufNWD9rX0QSQuS0frTZFfZI9qHYb
IPXxoCk1QGnk3tFGSDZnI9Ig5GuupjctSaTLDX6M7N+RjAFUJ2snYfGwIZ2KOBxxPio+H/din0Cm
vkYAEsRjuSGm2FCyv74VlnfCHwvTLzgLieMWCtCmhtcK+G58cFz6yiRPX/wdQ+t//CWoLTHpYG64
AHmYUaQA661bgV3xJz0vD6Olr5hYdhp/bMyfRFWn6TWE+6ygFMohExQ5Uzr+sqsWygqpDAwt2fS9
cihksRmj+Nv1aVyKt6DC9r8BOrPHktEaTp7gkAe9EUJw46tFH0pk1kBY8u/szJKa4LVmg5ZhkNz2
ZORa7T0Ue3R7JUWw9DKb6ud4u+MNA4KKj5vCaiIlU3hhB+IF/BA+RW2bu8Qs/GQlGFjc32eGpmk9
231Ah1MpgIwPRsMjWKc1dZ61788CgaimjYxbfP+rAKUq8C8rYfbS9yexC7zy8aI054AGZo/obkpL
EBbUTLi50963SvqJqBNtS8DFAIGFGuxsa2lGH5EwxQktGl/NH8Ov7Rrp1eIoJpEkCKiioDynOZrI
CiIqiYVMue7SUuauIvX4M1OF+gaEn+DdL0iaAYlppk5EGJHFfiQt6PT862djcRhT0yFS/qhlzLmI
9DSK9Tx18EwIyy1pvrPQXhnD0rmY4skJNjM97WcBl8rVuOBl5AShunf0N8TRmyQ9GPW4T8MVd7bk
l89MvXu7s5MRDURJUeVCtTVELyj4OIXbki+fmDBU6YDynjz0RZjlqKVdlKkDSgSIWIQMEpNrVDqL
awJGY2TiAEy+wI84DR1CzQTTRqQiMVe7Y7xWWF2zoH90IWkyWlkd4rFU5V4Dce0VV7i4DshkovqH
cuMFNUU0ii7NGfI4SLT08lcd73W+u74Mi7sKLFpo+0Bv0AVGhVWQFqc5gwmugncwA/lg0WWqr+Wl
6tW10HeWnmqfuPcxJvjeqfx9QZ4tzRZULhne1OkAFiDztpS3/Zp+ycXcoeoGSb0pvpzoC+ZoXbgB
U20MpzqhnuJLp/WKtt0BELOyRBfzN5lBDzMQMdOI5i05MqmYbaQxPzEKkRcR2NGD4RzqwfKMv1Qy
RZ4ZIHtYQaUPrH3IEn3cbBZlYAg0M34abFRXdJLeFBGEoNH6EWXhw/VtMb0hPwSpky24ZCRG0Yh7
gffC30dVDNjiCXqzGuABOYphLuioJHoW4pWc9cUhereFdAOwPiD4meesUbfn0ghTfrLbZ5WDx418
Yo0mmrj/GZh+wJk7G6NEV0CCxU99o/g2uFGSb4a6NUGGRP72NM2GMotdwIRbqkzFtJlf0s6vUD0s
t0xAq+Hp+vIs7To0XEx9CMAzolfm44g4k0MeDhE/haTO3LZT93HGfBoWkOjTb50xWrE3hUIX2wHv
YXQCgf70wpMqNMrUUmJcEflRqD80tQQS9U0Lf1wf1sWuQ7gHKoApxQXa9ou+PlBIYX55lUHe1j5a
kGVVx33Dsi8dE7soU26T1TcOwv/50GATwto6akV49AM38nEq0VAHuUmM7wQZVW2rgW7fKxti7Etq
5TsuQ7pRQMvrRYJBE3OwMnBY1OWrnTN52yVd4itidA4RceKtkYejL/HYxNvbaDziZMlWHwfQ+KoS
/+pIj/YFtICa7BX17hagYbxDk9CWbhIrxFdJon+RAAZtmrEBsTFEzTfS6PgBUAjVs8Cx7Ip+0HYD
Rep7bKPiOIyKsoG+n7hvE7SuZ2qmbJLSDIa21b0IG71Kt42WeY3dunX2peyPWpc+1qV18xrhGUJv
bAt6Eo/KjZJ1D1TRb2KpZxsSWeOmGhGIwRNVrgVOV0/oZu7FapUBQ1Zmfhrh9wKtnPiADzPPzkrh
9g20Q5NqAFJFzzQvyku0ACs22SUDSshy7IAOU1ofr2vqg/Sz2jZyFBhRqHtxW5seRy/TTk/Cp7QY
KcjKIHRato3tV4J1nqqFvyyoiPscKmwboDYLt8qJ4uUiYm4bs3oLzncUw3v8gymUxG+iKeQmNXGB
ba7dnubZvlSdX+hWQBNUPhhb0lcM8HsjuukSWm3rkBk+SYnucjBauXGmDbuqy+qtaqCqBw4M3evN
KPZUKaOdwmPobRZjtq/EyPA4wQhR/dC9lGYgisRP/gpUawQGQigg1mD538aEoHNJs4AbQNz+CrLx
BCEJqhu7xmnrjdpTees0UYWjRYmbJKOxT4a62aADCV0CZZbEp4aTH0Nvqt/s1mxvOFCLXgTJb7dH
jWvlfjYu/As61CZ6bfRa42TgNfbxUIwsq5jUZHGKmvpoTqiNyHmo5LfGpEfkjN2kVB4qSm6t5L6y
dtmY71rWPg58p6qjr3fZJo8hcYDMkqWwu7x2/AQ09Rx4rCLqsIVidwQCABLM6DdQXbv/JvKfnQa6
FqP3RriX4lDJcCNQ+FO0uzC9DzsTDi4Dcd0TCj8bxgM9Ml2j2cXonqgM81Hrm5UpWJwBFKkn9TO0
as+xV8WQxfWY9MWpqX6StvVyvNzZ+BZG90q5Vm+6CFWm2T6zNbufrDbk2BpdAaUl9Ayr7oAjAcXJ
6751+sgHFz4zMruaIsVgCcinMCDz1cq+NGtUF2vfn66Qs0tWbbUYbg7fz4EVE/F3Z+3OWzMwrdiZ
ARrlDdM7rEgEpzS6lfCvT9DFHTeboNmeB+WYEVoSA+hrBAmPgBzR+qkxV/bV2lrPgjiUgGkNXdji
JCzmVROyR1VB2/V2fSwrVuYPuKoAQ0euYCwp9xr+KPkLWxNzXJmud2Th2XKQ1uyoNcIE/63Zbloe
FbGeC1ozMntf2VZamtmANc+YG5OtFgdZDVnAfzlbsxBgzIFvdDpRnBThmQlS/UCAe9cX5LJo83F3
zQVKuYMWyAjl71MCBNkmNZTCQ2QDga3KJuA8bCDuZIFjJLdUoGV7xfTVFpdvWWTZpmia7zzNf2iR
/dXprTXHMO24C8cAPA5UqkFIiSD547kqtMEBTKXBQubWc1ifCHS5euMb4gs5kWwkkUe6lUTi4vac
BIOR8NHBGjkLXwcxgtktTIsTRblK38Zyl/1ame9pzWajQjc+umMgKY0mknmlT3Jut3pP05M18Bu7
vdXDbRceAWXwinivlsW2qb+a9XOXHHNxS3ux0rmw5KwgyD3BPyfSx4tqvt0V0KPR8xOzToLE4B9f
6ydYszBbNpH2ERvlmJ8yArJlDwC46zO49v2Zo0Kcx5Cdx/fVRPrjqIBqbXfdwtLhPpujefm+t8sW
KB81P4X6IXIQeEVAaqrEL0m74tqX9tu5pdl+a6Cd1hPk504RQMWlTjeGCe5gvVuZsuUBIeVg4T5H
iX52QyWqzU0Jpv6TaLZcPoQmtO3QK7niShatgPYcPcjvWkOzwagib1MltLJTgsqXXn4HfUCp/hTD
4/XVWVz/9/oUDqgJvPRHtzBYRdemuYO32Fcl8eRae8Di5yeqICCJkQF875o9uz4MFjbNaFWYq/BL
UtzDe64sxtKan4ews8VQjU6rHdYiXHB2nb0ZEEvXKxt40QQEhcBiglaAi4QM1Od0VkRaceoiD6Tq
kLso1U/s3IlsHAEoUqQXeRiQsdiV5SBcCNn9mD9UgGDoKyn+pZU4NzFzJOiiHZDtnWL92E8h2L5G
Urk4S9ipwPYDdXGR3snLMRKGExaniqbox6hcA20nIHNeWe/FYaCKB2eLzrSLBHzLDZFaSlKcYjva
VP0NocXKwXunmJjdKegt+WNidiQaEeL2FHFxQu4NjdA1HW7sxjDcWm8FUHZ4GJKheO4KnJd2rDrw
APX53hzAWaIn6MS2B8igj1r0j5UWjjuaSA/xJlK9KgszoOy0yht4H2+Qj6AbqxOQmbHZ4FudAT4D
G28lpgGx/veH/HxE0y16dgp7IzJiWC9OZY21aQLRrPQLLi4+Ct3oUYCsyUXRAoX6rE8tOz8l5vd2
SFHguVH1NTah5aX/fyPzaFdydWyQJc+RNko1lyoauuONNbKEZSMOhZ4e+E7QBvFxqopaIJ6Awhsy
otIN1Hbt8pj+/+Xm+vP92TFMGGuTqkFMhNdxWOx6e8v8Thy0b59Z8T9mZte6SlhXihDDEPkbS46m
8/v69y95WqZAF9iV/87TvP2wSMuOQ602P6WsvI1z5qfGuBlJ8phzzTf7bGMxyNoz9EPoY7+JKPJg
Rrm5/iOWd92f3zC7Ii0iWpB/MsRGPKBR4g7suQOc9bqRxQ3hECg0QGYRornTjzg7OyxUxnqgRXEy
GbJ7SEQQ86/be6a5PDMxhQJnJtBircM118VJRXKrhwAMsw7wcSsDWZytMyuznW0lkYSIIgYCJXav
LnIP8om7sN/+u+ma7W8d+hBMjypM1+gjcIES3vXvL4VF53M129gOKI4aRsviVPSvqZMhdXpwyqc0
Wjk/K2bm2OACPA1VZ2EYKVJBfQlqpTBxDf2tJ594QZyNx5ztYdQzFN4ZGE9NGFYjPvJR+XF9ylYW
ft6kFjO0YjQVxlJrk7AdwtUaMJzE/ttq8vsu/vPAnF0yOczkeocHplbejYAxZfqTFj9cH8rysvyx
MR3Ws5NC064lbOTFSepTp9GdAqG5MBs2Buifr1taPvZ/LM2OfdzSEH0eGA0bvyWq8tqOyOn+OxPT
YM8GE1pOPSgCJsph7Kb+uce2XFNSXF77P09wfWZDHdG1reHQN/mm/xnV27b/xIFErwOob0BKawPv
99ECK/qwTHVs4FTbMfQBgkbaKTZhtsaTtLT0aOmE/gRomVA6mrmvyumgdlHYGAmqJkLkXkulW4IM
JV6Bgi+t/LmhmQfjhtIKs6LwYOqxtiD4BSmov1/4cwuzKesHJCK6EhYc84BmlIx+4iSefX/+4ma1
2umFju+31g9VfyX8tpb760OYJmEexpybmLktPQbLEIpROB7lVubIanHn2MDfC+UbXpkeFz+v21tc
FA3PCmD0oQxjz87KiNqFtFCbO0n5ak6kRsUKXnMpLkP4ik6aSXrwQifPka0S505eQt60dksTmObv
kUx94bwVQKdeH8zi5KGmCz558PZBf/Tjkek6zU4TEw9K3boFut+MXeV7uCPfdf0zW/nM0DSrZx6G
xEkFbSgYgogw4qNV1frFgUAiZHqAA3M5745DdYaPTknzk0ZKnxEQolenongbrM5Tur3yl9qf6EQD
ugekPqBZAdYDkI+Pw0HNOtXKwkF+B/W+8NnKVjbZ4h44+/5sk6U5JTG4SBBPonKleAiRemeb8gCS
Ntc3wJJXPh/IzJcZoiMgtsVAynhwy/BRVQowd6zgLdaMTIt3tvh6bDsKugfzUz3Uz1I299lgepq2
9mCanNWFJ7DALoB+T2RhL+JjvVQ1TnLk7odkm6LMWv5UxxyM3qUbgdOrMYvNkLIVD7p4GZwZna1U
RJO61uWUWXZO0ZD7Q+hD28w3SeN/YqXQQgIqEshnXhCS1I4jmZx2eKvdmw2KgrtYrBzSxbGANR6S
VFADBiLi4zr1BsTQKlXLTwUKA8w51rx14zyw7afrQ5kO+8VCndmZ7Qc0ACBSKof8VCnea7rG47f8
dTAuQHEHR3Pe0aCGAxN2KPB1rh17Y3hS7GElVF7c0MCm/s/EbNG72Bo1HrV4/3/Voy9me0zoylKs
WZgthSoHboJZDo9a6N6ZJymO9lqH+bIJjAKgK4A85zgUyDbFRqnI/CSdNzV56eQubl8/s9B/TExL
dXbwsy4vmaJ1+anTDmn+vZIryZ6lE49+J0OlDkAAF3wlk2QfmlMQtw6tekObzgXdke9oL4P5u+ye
I35vis+8+s5Nzm5MpJCVFurnyPqF/Kjx2gc3nt/b2qHu1/SClhZoanpGT5CObOYcfheW0AmzrBHB
GfrvB/6dgMICNc+/XyLA3lVgkoC7uyDGtkkz0KbEFE4cG2pFb0Ib1DmfsIGqGOBwEGa9UBqloRBp
xnh2ggr0uFtF2y0deIiUo9tCnXpA536/zQHfblGtP5nOkykCfeWwL31+yrigPRBtUgjIPm5imdtS
igLnpJmIM910rW6w9v2ZM1H6KkuyEN7QzLYgTAZc6O9mHyThkBxBoXWSUYNc0OzhhShSayLatXdo
c3At+62UawKD83tjbmF2JkjSd7ZW9e1d2u3V6p46z/UxXWXCn88TrOCxhdAOiwBg/Rzw3ivO4JAu
bu94pwV6FW4HFj5ppNhl6fc8/GJHySmbmHhxFhXlxSTfAPeCKAB6u67P50XCcfohE9cCfgzKSBf9
IlnclFpv2eKOcechV53vbYF2iDRmhivSZAdR75veMPZ5Eu4srr6RKI1cc6RiJQMxd37vPwOlbIIX
hwW2wtmsQ8CQA8KDn6GFcutYzk42RuS3Q/fcVxGgSynK/raZRy4Z7VVqgelVdX6F4zCA8wFts2gd
BFPwvE0jJAxoaiLquxFY5R2TIj9YTXFXjzbYW2K2U6jygsYE+64amgM00/+pifxlhPVPrRfP4Fwq
XJCVflHtOHdBC6DeM62ttzXqsxs2dI9ZpYG0ResKIPVGv46VmwhN+xG4+0trPIBH8R7XmWc1zM8E
IPasL3aCttMfoDU6OLfo4yvduLJ+2QTwMehN+SIGztwO4+0IiYYYQEuZovTU8HCrJuqNo+OqUMWX
XLciT7Gyt1ATqX9921xuXwQjiKwAoUXrFJhIProRR7CR2JCtvGte8vBAwhWEw+wMohFk4geHwidQ
5lPz3Gw3FMnAQ9k6RmASOfgt4eQehLrDDup5xTHqBf9Lt/UfgxBUgNwQxKguwofRAWKSm5YR6JlP
oUNgpMrmr2bs3cKklDlJEhsoGs0cb4rXXhiO3AiqiDyAcPdxBIbluok5Hdl/bOBaggWiqegL+bgq
EnSCjLcmCcD8M7oZBGV+lHlh7rqkAFkQ5KVvzbSL91HE9W+pkUa+ySCVEtrmGjHae3Pj2YnCLwF6
BDh7MHbgKQ6C6I+/hKU2xDacujnFUnFLHRdBD+AoSzZR/wp2oTHcaeyrpP+wCsTB4b6zE09Lvtjy
GchcV7NyL2ssrzN+91l/k3e1W/E7Y42bYIo6P/5GtAMAYIITD354fZ5hi0AmklWhCVLpEvp6kVs7
wi8BH3ZAmfH3iw9TcDKYD2dapo/T0YAerhmJoQWE3mT0QVurfr2jjGZjAQ2ODQF08MBdPhNAhVOi
OFBrQa2m+UFNoElvCikfGG21jaQZGVzR5DGIyPtS3TdoFz4kg61tmzLUISo+mEdzdNptnWjkvs+H
elOaUfgUUiveVrwFQfv1nTqN9+PP/bA95v2ejV3Kloq2OVUNOoZ9pGfRiv3vTMwyaVFG8ooCRHQS
2WsZnwhPwPr0/O9szM6bBZ3dqCYYhlk86OU/OWldWWyv25jlgv57kkBIi0wQZBvM2fNSGYZECp40
JzWPuvshV5UgEYAHC6fLvGQsgSSXyvOQZ/X+uuHLNQIDAzQjTNDVadD2mB/hZmhIDRamwDBxzxyG
cTusdf/MbpF3f4XmARXtP5NC+PyJjqK9Y2QNJQE0zMvIB1L8+hDmwc1k4D26AehggmPP3RDPuqGu
NEsGEWPNFqUg/kyyFvGEU1bpI0kj/QndCz+G4T3d2mu7qJLtfUKhUOGWDpM3K79nFmhMvwd4F4CV
0ZCGQc+jbxVk5V3DlS5IjFQAm68CnmhLZBHrsreh0Q6JTd2pI9+OHPEFWVvF7drGdEMG1eeVuVlY
3g8/ZRaom2mY61xN+2CsbxRnG5Ij+csO3vfRQm6EoBUF7SEXAJ9kQBtBV8PEUNyTAdlY+XZ9PhfC
BDjv/zcwl1tKRxDUQ065D8wvDhoZjL01ek63cg4WNukHIzNHoqMhouvBvRgojpvUbrIGIllaiPNB
zJwIBWtio6dFH9jqP3l8otGuKB+vz9N0VD+6W0jkYZrwKp5OwrzVOWLt6Gid2gZ1NnSGm1Z53kEz
QC1+cvRH/KANws66ckavt0p9BJf98JcoJmwFtBCCtgvv/qmcNe++JWMXRXFLRNB3uvCcMETXtXXP
RhBNXh/q5Wx+MDQHswzjOJop00WgaD4674Zs268hCC/jBkSAAKzh/YYBXVTMTCOHMoCdtgFEiSXU
KHJIHm1b40GsScssxHMfLc18f9WNbTmSuA0c/UUbN2Z02/TPerE1o50NugdOkeQ6QE5nZQ4vd/xH
szPPr4DvL29MmE2IOd7kETUPQy7EijNcsAJCfBD0gg9dv+xcV7UoNqTGRcCAGB8TSEz8H2lX2ts4
jm1/kQDtlL5K8hYnsVKp1PZFSHVVa6N2iaL0699RembapgUTrjeDbgyQga5JXl7e9ZzgtipcWwf7
QoBg4QqwaMwt7YbTlCuNn9cK81NWFm9KkY/bPDLY9ra861sG914DGC8uGrgPxZDecRQtz/MeC3qL
3rTCd6YdgG9KH0F9O0pyhSubB9BhNIC6IEZVr4BuUhBvKjPJ9VOFdG2zS9z79w5VNEywIpjAEyqm
U2sMTlfErPXT2D1mGQJyX+u208/bG7ZyV8HsDjRQDC2Co0dMCSqVFs8l3snTpO6b7FjoAcnuyzwv
dudchPhCdLFaYegq0k45RZzhp7qnmZLbIlkFEd6HqSt61M4gwuDH/AfLDq0s2F6R8FGah4uE0c6r
FlCHlkplNGBxyzGSHZQUk8s65lZtNODffSBgY0bUtjCELWHRZZgC8EvFzfIJQ8ptfZh1/cjiIvUy
tGlJ9mzFhEIQaPfALbgCvDxY4ByPWpDS5infOPNbp0a+npZPJoaTuLu5varFSl6+fgi6kAwGND2G
Ca4c2SRKurEy3Cq0swz4Ln9b0Qvvv9nDIa0igKM4krVdn9aFOLHFiQ3A+ykaiBvmHzY9VBXzpOjw
MhmCzs1TyamlK6iqK0+03Jvja2J8vb1r1xbmchn6pS5wjGuWQIOvQsU6jM4EjLSf/z8BQo4ns7Wm
1zWwDE0s23X9FoPfkhfm+gGABVuSDyZsDMocgjrPOgOmfYHgj/ARY4FWso9jY/TimmwjsNBJzn1l
wy6kCY+12Ue8Y22Thqk9boiTPScWZk9v79mKKi8sUUA2Q0RmXzUFsQFjunFKkhC12coJWfeCgSuM
PDbdyxTfbQwIJtWRS8L8JjgdRCC+AXNTQ5OQNAT0hUfsh7aOPSIzbWubtpiAhRsHwK4izITJkqEz
W5aGvXF4taL97e1auSZITf77dUGHVa3Lu0zD1wFp8zKhcKpVCmhGI9mwz9qxIIWsEmD9mBqwRi7v
SplOXcVHLQ21ZMczYI4fsjLzcuXYTkFLJF1IMmHC3U8aZgykUxEpmN8BJ69itgh0vn4eA/LR+h11
iSSruL6J/y5O2MS6csdKsbG4nNlBBEzyDOm5VIaZs64I8KoN+NbIxAt3tehIFts6tI3abf5WZ02L
Vt1Bk+j0mhRMZaPTTQUK0BVCQgq+vgT42Wlo8deB+y75dlvhZN8XXM4ZvF9FmaZgWNHVF7343lP9
y20Ja6dxvgJhn9TKALUdmKjDuDio2b5Wd2kl8S2XTwjv5cK8APAXhGqAmBEMM2FpwwuGA2/7z315
XEDaCxPgUilmT7pOYtHWd+xfYcvfz4rqjqUggk+hzao9BlPl+NNftzds7bqcr2bZ0DMBaAQmY5zq
aRgpr+BdjDPugbDWQ5tdgAgE3Ab3zQPB40TlAvV7QPOAnBkB4qU8HRhvJeLPJIwepu9UZmnWtuv8
64KC6WoPCg7KktBQTO+5bmTO7NrZn39fUK9+LqZRc/Hr0wG+0rBBVjNX31l8uj/rcblNy7GdHcts
loVTL4JOo/IXOMDp++1jl22UEMNmSknSzMT3SzBlADpkc/vza9cQKTwgUAJj75o5hFSlNRkOTcK5
I4GRTEEJYkWMaexui1k7DgSxyDOACgiujKBM4xTHTsySJMycnes+aOonQxt3im74PPt1W9TKPUHd
AEVpaC7gFMR0b4WydxIZUxyWNegQo3E79fqDyrs3rS73xFAPRd7eOTqx3BXUW0HogYToUrESlqdF
pdo0rhuHShwoP51uZ8X726taUQNrqSUuw3+LkyE8lnnhoP8UWYBQs+K3wjho6iyJMFckLHOkeLgA
PIuOEOFGAphkVNB6FIdgxIwfXC4xxteKBr9oAQ1adA09WsKF1HnqKLapDGGt2Z4S88Z3HHCe6IXE
bC0/89LoQw7a8tE/hXbgK9hesyjsUSctC6vcMZ4LXrIAeewGRegKmO06GyXyPhJx1wKhAJj0RTeK
I7gV1qwyteUxC1PieJGBrkZt4/R/peSxr09tzDdKj7FsbXuvPiAABIwheqzQlYxS7KXZoQMeUNMa
WViSed9WJbhKi81tEStZu0WGbS2RB1gExdq4o08knVLOQloyD9St6LDwtXpfoYpPy94HUD9Ifxxw
rxIwbysSb+2jZiLu60IRAkx1NHVf8bC5jolZTuRaAQdmP/E0CfLWCTS7BExA9mAnQ+W5beU1hrGZ
SpV7MQbzPIBdbIDC5pG6/l2nJv7vatA0TGJh1lQZjZhIRS+lSsTil3uvdBOGWa2mD2N1wR6yMuuY
JI7jdVHrSnZhTZuX0jMyZIj74U5eisocAwjBhHRhhnn4BKxp85ZqAZu+3T7q67uPWUaYMBC4o+IO
6oFLMYkDEgwl07sQBECHimqfNIVKvP21TbP1j3I6ONN0MZuQENaq6AbrEYZvNIBXsC73qGzgb20d
50KEdTgJaZHDon3o0kemPw2S07hOjC5lRJwDAERx4a8OHuA2KE7rA2Y/HW9IfnOaAEzyvTLJrlFf
NBq2jixQXl3RmUjBvShm4k5o/h1Co9YAF6V9LozhD0zJ+aoEDwPT/VGVUqxKnZ8066FsJbsmWYIt
BJV1NJiRneH7cfm7MP6q9T/5/ci64jai2/CKS6jHJe1MNWchc0Y/o3lQMoklXF0BzhvpXfjDINq9
vB6UqlZjT2QAaMuLC4IYSSP+tccC2i/4EMAmxRuvis6R1rXETBpjQF4v3Rcm2J3bARE4eyxo9JYY
2XuuGcHtC7/6asFVAQMNDLthiIYljYHs2BUuZOY7l3+jybOmg4g7Nr0xjTdp/z1v2r0pQ0pY28iF
kgkIv2T5r7CRQApKNHR2DWiqPCXvfHq5vSrZ55e/n/niCUDEs8GdcT9pkPXveSfpOV2zYfCNFpgH
5HvhYFx+v8fkmWPMuIx6+yUdSvAqcK+WsW+tHs25FMGhALTwoE0aNilyJvpOFdM8FFFsfW6aVnmu
Zq30bZsDB2lOvqfAijuBpaaQtK2tbST6glFhReBMrqDSzdKu5x69kWFuMo9uLUXW57O+k/8TIPbN
YFarIjE1h7Cyg0wPdGf3R7p2tgYRDV0hcapyjltl9ulGB+Jn/ft+bTsXIJwTkn1pkgNuAlN0P62f
kfEnnwcZJ15L5HcQOF0qGyBqewWs0TCbe03Hy+/I8rxrvsXivQCjZoEu0QU3hlh5qqF7F5cx+R5P
8aZw8p2tHwwZ08GqMoGw13ABI4NSifC+2KOtWc0A66mCue5Brf/AeqJh9L+fN4TnxdDn/1hP1Ske
hpHuOnD32rm+UevpObb0UwIIjT84eQPtaRYoapArFUS6tESHWgnj6e7TroBTJnv1r8Nl5MUX+AQV
jfMo/C3X58yQqXMVtdQGaHFOVH9kL1l7GJrmoA6RN5d/0sMGpg2UyhAvYTmCHnT1PCos6prQrczN
WDO0SvPHspZlZNbsGrLw/zaACXqg165i2X3ahaTIfPAkmTUGgUEXTnUvM0PSb/M6nJP7PVuAscC9
cRav8yqLldCmLTULQs0SjZEgwvx1WxVWLhG6hglagzDabKE6d3lSI8OTow96HWa089PmRweGS65s
Wfr/lCNoRB9rzhhrRh2a5la1gan5CHAGLZUEs8tXhJgLKKGgfFr6za7xfWvDioqmGeuwBV1gfaAz
MDY3tzdsxdlBhgFNJ+Be+sB9u9wwBVNPbRdBtUGr4lnaJ6c65Szg7ZekOqSynsMV03MhTPA3okyl
6uxAmDl5oMrKdYkhWLun54sRTt+c0jxOB3xfq1/c4vvU7OPuV6cnKGBIwqc1PUP3AiYbEAgubuLl
trktehgiV+1CI3knKYbOUS/LwIbb/nX7eNZ2DG++g0AH3d1X+qzXnDsj77ow6hUPgxN3jrbDy0W1
Aoh8rop8GXpnhR3LC9WcKzebQvZN145pdbj75yMLh4btJRYA+6XwJudQvLG0qymkj4n9g5hf/+Dz
HylxtFmD7FMwlWkPv7bOXB7G6dcmBaDM/CcC8ExaQElCQ5bolnNkYhxt1nnITLC7KRveSc3wYmaF
Ow6wGiD6OkBZR45fMMOORgFH1dlIkA2utk3N9rWJuq8GxvI4I5gSYaB5aB+jCUh/LD2qpfNrQmLL
4YgMqnmf5a6vU/shLdpftWmHVcbud+LPf5/I7ZXEKgjPE4OFJnJpal17spagFRVH3gyIFKg+L/Ua
wYs3e2JzXk8sJArxcvSs9rnkFBc1ELcYKdTFvUVb01U6JWuqYhxahYX2PGv+ZDWvzlDsG8ztkgSD
tVPHg9t6uWIdPnCaMU2GDDT8xUvr0Ol6SV2g7oZROwCRbJh/jk5D/LTND7wb/74tbG3/PnKrC68t
yuqCAsUgxs4HG5lc4rXTo1tJLN3KG4Ry/cJrgBF+xxBfVCOy6szsnCGc600JElAlMGUZj7Xt0nV1
GR9EKycu2uV2GUbdO4VGWThN2okkxcsAEG0+009g35Y8d6uibPC0uMhGI2kkvEBZpzidPRcszMzs
WzOnQZ/Rzw539v0gRete0TpMTgBK0SWo3YumNUZaMprUmQGqmnobUOd6t899zYEzliFbCEEzG7IG
l9vmmjAA0TCOYV6ZmqcO4xNXmyfNiPdNos8HTGRsmZY/W5mxm2jxB2YBLHEEzy06RvB2XArPKzqC
/2jgoam/2NYn2QDxmtahDoCSITxgzO4Jlp2STG2LcRrDDgQxVfKumqcok5RA1i4OJh8w7wkrjhdW
UDvWgrsTMTwL494OfipIZ98+oDVdO/++8PjVM3JXrorv6212mDGlXvb5+5izzy5qxbdFrS4F3fAu
Kl8YCCKCqKoeaDzP2RhayjvL93qyu/391eNAInqpGGFwQ3yk0kjjKkYpcUMBhd4ejRSQhH+gUEuu
+z8ixHdGSdrWBX0xKigukLsS0BxInMO140DXqepi/Bndm2JXaDUpmsJ7ewIw3NYpnif9eRz26v7+
jQLsHGok6AYBXsByUGeRYpzbA+f9MIWD/qI3L126a2XNR2tnDSsPJg5sF0AuhMdFa6emSq1uCpX0
TfEH/np7BWtlJoRPsMf/jNqJ6U9udCqbaaOGM2mKbyNaUANqkngXp43hqf1cbpD3nh76GWCbIyvr
oCjb5qXlria5PysLBUkUGrhA34NOMXGKp6yNCRTv+hxqE3JsQCctWslrsOJ7XUgQjBgfutEBrfQc
Nu22a/1YeY20xxwuDnjb8sdRhhq7Mk2HTtuzFQlPdaKgHw5jvnPI4s7vp69qYWyJ9ezkkWcl2yhJ
wGLyKe6n7QBqk8bYpEnnx3bkqdYuZnxX0rBSZR0HK9cCUcyCZYtiKUamBEtLwPZlgkIEL6JePRak
2vf2tyYCuRinX25r1tp5wktHeyHeXlAVCZKgV6pVmBESdC3zrWJjpoPEDK6YKSwFU9fI/ALXRHzd
E9fA4CVmzsNYcfxGf6LKs9pW96slAI0Q06BRHozFYkfZaHRwljrUN3j2Tr2Kfbt7ly4+L+gkuC1I
RmjK0FcU+90OHCMSO7hyDAABWQikFpf7qvej5YxbaeX2YQd2lK02/T8/v+jbmQUk2WSkTY3Px8nk
qScGWpL7N+j89wtqRGs7JTWN+jCdHW/6PmeyAtmKFi0QH+gaBeAHAZDQ5QpUEymqkScjRqaA9etl
5bHnkoT+qghQkyGbT/CeignFiRvVOOUI+to63ZWwq/O4qf4gY41qPfxDwB7Y6LsXHgqQyJPUSmMe
NpYPihfZVPiaHp1/XnCf4t6kAJJRxlCLg6r0/+SaoXasA2oVRf0rkj3KyABYvBwOZl8HGv6R+Btr
R4BEO5AZgImz8N1dnjJJqhmNYhYPS+YDFKEr/Pn+4f8l4kS0ARi0JYMjiGAJj3IyzkhPWJoHPF3Z
8NvKCdgInAFrsZgi9NlcLoE5sTkwu+ehzv0BlHOJREsXUyPEzRh6Q70JRAkLHPUi/+wqIyS0Mw7S
+TCKn8DO6dVG6xvpk1MdMwxV5VxSzlt5iS7ECduFfPHMuygacbH9n+o7uDdq+37bgRE0AOCYOHb0
vgk6S1nLVGuGiJ5uwY6UvN02TSv+BD6P24ZhLRdxkfC+96zE4GvZ4MC5phyROCT7PHG63/pcg+5a
cxSQS4Eh7hjPlb2Z8ya5O6JBmg3xDKQbiAnFWD0HgFwEZlgWjulvVfO4dX+b6KUA4YiKASzZYDxD
Muhl0o8JP9zev2uFxudBObtk7/E4iTXCUtPgfeYIY8iIyor5VbckGr38vkuNvhQgxEkDK6wxcpCY
MdstZ5s2O3F99ydrsOGhL/2BVznJMU1AcdI6DBw/z7FysoLbn19bAehZECctsGqYPb+8k4pp9WPB
KhYWZvrIGUbb4a6nyJvxu/M+yCksqgwQbQIzI1yVtkWDqtV2Q1io1YYU6U7FP3ySJWRWjhxMnUDB
QWAJU0MEd8GdurQ0E60P+5ONCS1dlSWXZAKE1xwwZGppUgMCRhKMTuQlhkSpPoI6QavgJyDBDb8K
ZIyiw8DiPmkHFyKyKtlM1kttfabd39b4rZj2KmgCYrDATH3u18DGGqY2mKJ2Q+9vu4HHgm4VDdna
pRtCeAyQgCqVyamdE/CpPcdpfNuSVHZXVG9BwEN344d9E50WnQwdH4aeAFbK8Iyh3ZSV/smipUTD
Vw4Maa0PwD08bJh6vdRwFRQLZk0bcios4F8WoEIEXtHtS7QqAql2VNYWBEexv86MnC6J3Mw5FWCH
rQrDp6qkcrcmAYk5mDEMOKGZT7g9RuqOqqKl7jLLvYyFyDD9ZN8XDBlRqshyWeaezMnvadB9vX+D
zn++cAapCsa1qcfnx9rnBQCmHFmVe3UBBNDAGnCo0fW0/P3Mt2jifqwpsGFOLXgsiwL9e7JZUJkE
4a1q2wmUBzokJOXL/AVh9u0tunaO8MYuyF6LD4kMr7BFjV53pROB9ztps6fJVHKvSV0Gmgv7r9QZ
9q2rHDTzT9Z0LlTYNfQYY+64BTs3bzKfgn+0lE0GrF3ycwnCrvW53k6uBQkz3caZn3aH9H63FTWY
ZcwQDODooxXvBk+yvOtQwj9NhupZ4Kx170404FwWXGC4eUA8FMGnXaOCdzRE5DT6Ff/cx6+3T/7a
T738vPCi1NY4WzrD50tgj2R8n1jAMjrksnnfFf3FcBxG/hd0DbBZCFc8jQ2DjmYRndQKM8zPVvl+
exmy7wsKXM0l+liR3TvNhu82W+P++BARDTqMkepBYueqO88sZ7xEcxudCP+UeUX2cvvnryjqxeeF
7cliZDFKhs8DoQXMsM4cGPd7oxcShA2izKLmPEACZiOGDb1/ZAD7A7cBuQYoK+bFLi0gQ6YsK0kf
4Z1TvQOACCWP3IqaopwKL3EZuQNLofAEOamiAuy/VWD/ytYrYysogPrf9QZoc2eJs7gqCz0Ey2uK
WqSIh6TZKQUS2Qh31/3ZDd8t45Xp3xVZO8yaxuLR/q8UMaGhZwoZuwJSQCoU2MxFOfoPjhzvES4d
bDsiEcG+csxNpMYwRqfALgbfAcHsbaVdX8G/3xes61QnlgoG6AgIKIkXH435Dx4IcNAhgELf0KJe
QgSKcSIw02BK4lQq707ynga3f//apTv7vMgiZHZmF405TLfGj9T6GVs/dUXiTa9tEaoayEuiHxot
EcIWdbSvO4PV0Ykm1Vab1Scg/H6+vYrFQAv+OiqXwGxABzm2yl5+wpnvoVPS6GXiuqcmx1TQTGK/
sLWNVbk7Aj5KoAsWkmNfux54hpBTRMyPf4RT4dZgxUzDmjTF9Lsx9xwjB3xL2CQSt3N1Zf8KEmtD
c8HpwMCgfVLST/r4klRdYIDMVhndkxLJDPz6qlzrA9EDE2TCqnRbqSZTgzIb/cbesD2djxP5dfuo
1rQBPjQKzOpiVsRwt4niIeqQZoQ7kiFj49VAeLwtYWXLMFgPd2RJk16PKwyRAboYWtknw3nLmn0D
hLYk+ZYpqWfJmDVXFgNRYIhcIOmILbYQV0PuxG3J7NPw5Oiv1vD99kpWzgPVU2wV2tJsgGGJN6dx
lDhrMwJwUy1Ii7+KsnpwxtBlteRl+VAj4QLZi3lZEE0/ZtGEC0R6gzr1aJ84qyavnLNjnpQPg20H
Sc5/8nFUD9jXN90ag9EuN/cvE0OdyOE5BA2sIkttXNIJSNYJOTFePiTmPnl2q21cuPfbIVDbI/28
uF/X+WH0SJvtUEHMoO1Aej5I1G51D8+/v5zmmRGyRo4MS4TTavVyk/Od1R1GNVSnh6qpvbioPTbs
IxlyyYr9vljUchnOhM6dXWVRi0UpJ9v9gjay8cvtw1m5TRcCBKcG+TCuMAMC+DD5ao62VSSnEnDn
ob0R//vzbWkrF8oGtC7qlrCtGMQVXJzMbqNEs3GhlPRkKz+aVJbvXFsOsCNMFApAvXGFal6WYMPF
PKUCoDTbq6M3Kx49y+JbjZbbPG+2t5ezdjrn0gSVyLPI6RFUKqdY1waPxhgvj/Mj4GMl27YmBx4h
WkpBAQnnXNi2okwilUaWcqrb+TDU3WOKQfOcyqrra5uH7lKM5+GNxYyOkKpsgEM+xy2Wo6fUizA3
ekIaZAT2dJ9KDNKKHqDbGykuOAyIx8VOKMUec9qZCuBrzAbZNj93JaZ1ZceAiAbIGgxko1daBM8f
XErSyizcU0wDy/XKaaNNu9uHv7aGcxHC4ZOy0a20LpHReUlsICtLdGvl8wCsWSbwUSe6xkFR50Yx
h8pxTkD+O7RVvSkKGYHN8t4LrwLKdSh0wbVCs7p4CjNcT84SBDSuqfiu+VbbL5W9NVyMf/2IuudO
OpaxtqZzgcvfz6xZWs3cNQ0I7L914GrFGyDRq5VjByEDTBNaRw3Qhi9/PxMQI9Cv1b4ETAIgSpS9
m3uK8Xr3saPzHphlKK+BcVl0otiYjeVoGBjzf5gJ+j72tz+/cgeBgAc/Fx4HumzFjghEfcUc91oc
8rY0/KF3QOfN9zX7pRj1MjA3f74tb+1Iliz+MlwE4ALRtDQa7zhahpJwdI7cz/TDH3x+ocdY+gJx
EQXLhaJwys2hTUJCfvM+81zJz187cHz3f9/XLw98iooiZlGdhHnNJt+e6iCN2EbtzU4SEcgEGZeC
qhL4EU2BhaAw2FO/oH4nI3paASnG+BCybBbaaldIfvXZdlLSAeSj4vG2I/VjkTf7gRtB4eiPtCTU
QzkswChS45UoXiQa6J8A0S1DTv3IhIp24ex3iEFJFseDMbMoDk2idKfOyK1qUxv6i+tGwCqmVr5B
0aE+mhxOuNNb32hs98cZ6LVe3U76L7WR4QevGarzHyRoUZPHc04qbAwer63aJF5PPwM7OY5DfQG7
Qqv/OEsCs48u7KtNWLqowYaxwlNcwZssiY2L4eLkgX7xA+1FHtGaV45hf8+sWbcjY1X7mgO2hSF3
a3DIp8Sfh4F5TVvwQO3qJkjjIQ0Q0JpBlqX0iMJSu3VN2ZDW9YkBwRkofR+cFeiOcJcNPLN7beTG
htJO0Snq6xZ9EZr2EiXkN4iQyl03te42bWkL4uu4ClTS/s2U8jsG1uL9TCbrVBkJf7vr2mMQDhn2
paoFPw88z2KPmm33Qwa3C0HstFXNcHJebn9frOB9CFiqNDbQNZYCunAd1Vqrez3p3BNAd1vNH3Ei
5qGZ/Nx8NY2g+a5WW9S8+tRX9c3cS+pqgs28Er78/Wy3nX4CmLjRu6esmpufboPehCZzZKZTqFdc
SRHessJ0KiOzsEQrAQPLTDxtCN15X9JnLbM9N5G8a2J88488C9ETUIbgQIvR6IjKOCakR+dkR3rj
z6abeMt7ESQW6YM2bzXPoV13LN2522l64xwKNW8l5lx4/a5+g+BT0dTunJQNzsnqma9nc+I1puuz
RPeaXH+hVhPc1iPBqv9HHmwtRmgRZIvotqwCIIJSU+dkNh2GJRovjaKgjSeJW7K+t+iLx7VAF99V
3NOr2lKAgBwel5ipndAh2lbHHu2PHoKvcKjIe1XxH31k+WZXSDZ1UcczS/bPIs+EC2+k2mOwonJT
5wTGnCfkGw5uJpt3F5+uDxlwi6A1CBsw9ybcxxykrmXeEvtkqaFbVsEcPYz8RQeuazV7Y7HRh3ET
6a6v2fEO3o1/+xgXtRBXCIQdfaHJQh5SDCthoTu14ZBesHZrzMXfYP7dzlYEFrMmvC1q9SjPZQm7
mduTq1bMtU/t3DWA3lV3fWx+1sv5c99nyBHz6lDXw5ZwdTf3xp0oef/s84IqhKw91iq6a8BhjXqk
1e1Two/dm9FLygJrquKefV5YnBrRds4SfN5scm9r4V+3d+/6vgHgG+YFDeI4JlPEFmvw9THiIzlV
9a+yx8xQsbeU37dlXK8BMuA7Lxg5SN6JzR3tZPUTIcgx5F5mHXRT4qBf69rl54WEiT3pVYypB6Qf
E+V7qffPcVM9Knp3bOw7ixs4bIhCTQMHgpEhME5dvjOZMet6E0/2CYwsXgasnPzX7a26NrcQ4GIc
FsG+jZmx5e9nD5mCzLZVmoN9sotdnMDYzj84nk1WHw1HZmpXj+VMlrBvTTWnGRpv7JNextuqACvv
nfDO/2zXmQTBCUq6tueJjdVk3UtCghLFoM59GtBxZQ+/HX1ze+/W1qMtMx2gM4CTKFbrZkqQ0uSZ
fWKZ9thE7m4eP9+WgJnKK7uGWiBIEvA8AJ4HL9Tl+cToD+K9CSg+u1IbsgUgW7kv9HoIerzWnb+U
KQ4x6Lc24IVvP4+EJUHGm/iAggz3mBvPIVca66A2FLNMZZ1sYyc3v2Zpxl+rsp92sGDj18FRrE+l
QfM90yK6rw2befPsRn6jdhlYynJAcUco+2xy8NBuctJPr13Z4QyjxNyhezF6bPoGtC2EoqJQgjbL
AUjByegSZwMsxGxrsHz0ZjVPHnKat4lP+JA/ZIR9b1v7bwLpx06jatgD7nVb6Lm70aj7fW7UftfS
jAVJm9ePymDOWzTnmsehaizmRQ2Dd4dc9olyOz5ZRZf7oO6ifoP8AlgRsp98Aj4WYgbNj2tjCMwm
Up7dqRwfczfNN63Ts6NW5/UWbT9mMKdjFdgYrH41MpN6DUUFv+IAi9DTJNm4UWZsJ6LXn6IhKXyw
VpMvkWJX2yjri308NPm2abrxWDeZDSIerh8aYn6rLZ74S5zvTdUcvxA1Yr4S672vdciuOa1WHJVG
/RmPWgLMSOU1YcP8G1HEbR1au+GAPUNuB6iBBGb3UoNIb6emOSKdEDFr69L8iHKEl+vmmzN1u1Jj
kvdjzb4jwYsnBE11KDAJCtuTTrNGICyGJEm2hVJuoy4+UiKbnlsVA1AvJPhQULhqB4t7IKGps40A
lSPvWpXJIw7/NA72fTm4D4sCkJLFHwY2xRXIUxZlGAq1cP8IWPoiDwBakuNZe0zMpaqJBht0hYtx
0sCqSE3aLg6zqPcqdfaIE/s1mJ3lPJPLY3HpI8GWAMPDBYoHSkCi5+BWEccUQx+HeqbtMdC4w809
1k4dIIbzlEwNUKh/aW3zPe+Lp4iqkphp7cjOxQuexQCy1JSnHKZscr6jHeeLlfS7kemSDV2zykB9
Qd0WEFkoOQlPJsuSwiBVFJ0qp/oLrbeF12vRfYWmD63AuBKkINN4TWHT9mB2HNwOaXLM+OtG5rVU
lnxYM/xnIj6c0LOHWRsKE37MoJyYjZb6uEafWlXk+7h33/RmeLFbEgzddLA5zJtiSaSvKSVaNhZ/
ANWAq8bUPJsdCxM70YkTus3oew1KNjq9Z7NkH1flYOYYOS8LyRPxdUt7gEupxYx2nXLy8u7NVdFt
Sz6Z5bfbNnBNJz5aFlHUWLpUBdWrJ1p3mP9CcoRujPzpfmZuxB2gRUNwB4N0PTWCe50yhETRaSg+
OV5ZfLr988X5zkXf8P2l/wG9NPZVsQT8Lq5TRqlygjHXoRHM8EsFTJtzW8ZPgwH0F7VDP2aS9N0e
lM1aUI6Yj0dpRNZMsrKRGARcOmTxnlwPY4zz3A2lnkMru4A8WVwSxemLCyiYKBSD0EG8TAQu9DmX
j1VltiNAzY3oNPVJvdFTe/YrNM36FgrW8H81+m0ayzLQy8bZIYFa+y2Lsl2dqhbe2Cj51cPJ2PI8
rsGhinbLWhvozqjn704bO0GuRfAM8nzyikqJN7Qe/k5d65gy6/eQD+bT3OlDwLK08Ik13QnX9s8R
ouCFHAM28ApWxWy0Ms1UB20eSOJGqbGJKXlRy2p/W1VWDwiPCSwguhWuWCHgpQLMq4emGGibXwYR
G4kAfcUwLf2z/5UgopCOcU1HqiTKCWM/QZk3Hjd1+EoGCYvZQv9VeRw6xUOFPMhnbWcCtIxZznEa
3X1slwfbGnzMje8cPj5pTrfJi3SvFalEj1aeGsD6wi0A3weKQVe9bVbTgA4OZUxWP9lOAHIhr5kk
js6KXwUCV6BSLHMEqMgKNoW21rjAiiqnafgUqW8lpYGuNt7sWttikhiAtWsBNDN03gL8C5GtEKXZ
uTlaZUrjMK1xqs1firO0beyGdDcpum/3h/uVCOxVKAED3wOlIeEWZkPZdKjmKCc+PWfZvvl1+/Or
KoTgfJkqRmiriY4IEnxVx3Q0BY7c0o5KZKt+Yhmdn9VZ6WUzeoaK3tVf5qrNHiPi9DtzJjSI++gb
otg4mAcj2hRotX21Ixr9xSnR/LoAzOIICvut0TByNNtG1kK8plMovi9eBRqbrkjrG/iW+kixKb3z
Ftuxb+jUayMZNfDKi7iArf1XiliAtyYlz+sUdX4VVFiDn/0YxmOWSTJYq0JQY0TD5JI/F8+3B8kv
OHhLGInOcgOEmEXQp2D/jdoCwNtNG0vcibWrgjQDjDpyPovTfmnVZxqPiIIq5aTYGdrBEm90/6b5
c48yzqBKrsq6rKX5A0gx8F+Eq2IYSeF2FdamLIHaEHtaASrf2cZboHiEyTp2124mEAD+J275+5mb
Rs1Kry2Kpc0ZuDm1nTsBocj90usvaat7rax/b1UcysIL+BuAd8RGKmPU3KyrF8ez3GEUUXO83PV2
ppV4qmyYd2Uj4XUQJKAQ/CzpusuVWQNL2kaDbzYk416J0x8sMnbAt9+0QMioqawdeeXhOhcnKn47
pkWVOBwv/+zN/fNQfLttdGTfF3SQkq4gE0BfTzPg5RP0tnu3vy9WC5cHHv9Bo6iO4WdgiSz240wT
SK8anVYOWEBn/tJJEIPJcGcxOCcbmGkAj6cjnr7R3qiF+6pnzQ+1YEDvo3A2yBf03z02db2PwH5y
+3etaAx+FlrKYWdR2BEHgu2J62pawaOaoy1Teo82DwobvDxJ9jwGMWErm9dd1ZszgcI+aOAoRrex
Gp0chT1hKuWhBOG4Aj5tNk3BrGiSp14sfP6z70siHBMLQGQTG3UxKhiV+Yz+74lZk0fK4Qkt2lu1
A+HaK8DtfWMad0bE9vVs7nId5x7XMjyO1T1eeFuXSeLrJOqk9IljKksYk0ZoOnke+I7VWxtcne5X
Wr7ePtDl3gkuMtQM7W2I4wFvKrrIbY2e2HyJzcDZGpjU2jja4/+R9mXLrevIsl+ECM7DKwcNniTZ
XpNfGGsyCZAgQYLz19+k7zmnJYohhldHd+8X92YJQKEAVGVlxv0fMIJ4EeIAd/zIWnmmGYtrisg9
QUeBhZ7TuqitowxNgbaKxHou+hRN3kCroithRH+8XZ/s/jsELomRePh3w7ZxvVbmoHWmvlQLn+TS
T3kMSii88cbH1FYCF5i8SjWemGNti35XV5XP0dIiTc3rox3pNJ8Z93Z5T5UBZwU6sOtDAZE2Jdo6
5hPDmzvunij9CZEwM91b2k/ifhvM/Vjuk74Lbk/3nADmw7/gXgi5qLdgAmb+LJMOj42WRoe4f5Nt
yIcDOsbBQjd66vjbGoDIUXcaaCGI+ZR3zCvSBHmUIdRcEFt3imcpzKttZ3f7V30wC8+9YPpJoFqw
cFGbZzmgWTdYKlfdgxU/9lod9M03Fzf+VK38Eiw0A5TABnUjxvtCvOkazqSh8YzyB1FG3zTH0GC/
Yln6BhX+2J/a2glAWO3LAUov7xEDI50RROVaZkZfuEKBnx13WHgt8C3za3kdlXbDmOkeUvyanIkw
gcuU8XvejYGm3pHua27UePB9q8Vjwe0w1cMW+RtQY+nKhhvQHs10sD68mRChjKJ7KCxss+pptF/B
uNsaB1mcpPu1M3Zj/9bW2d7K//CyR2rX2Ylk5Yq8UO5Ep9rUMY4056RgMTseHWfM60RGBurUqtcm
T0Te8fR+qE4mXJ6Jr3X516B7FDrSci33uXCUTVzTGvgjcDZAuuTypJEVlLTb2DFQpj824lGcbvvW
wiqBnh1Xc+CQkJqZO7wBnpykEaV5YJbx6PbJFpTD2278ZEPvtK9gZhrAlJCEJs/lKGyJXKUoK/Pg
aCyoo4daXUMCL87TmYXp72cnch83YwvhQujiGafYlB77pC7mxxDQjYKmRVgBDGUeGgwrB3OYaR60
lnuejVbx2yuxNICJVwELgTfBVXpMz8E2LZGdPnDp1Tv++7/7+mx6qkq6OlrDzYMoX3PtyZFrNfmF
YxGZbSTckM+Z5mo2PW4z6G2cl9ZBtMaj0TcH1qNfoxevTIuCwY53vbnatrPkvEh9gMzNApfGVQLJ
7rRObRmct2USh6K0q5ei7eMwb401qpgrU9j4AFxN6Sqc/Mg1X7oXs5AEoWWTnRT9rsq/Wu1mbFbI
QdZMaJcmNKsgbSvK7JTkQ7tvNB11qybJDoXmrMEKro54jAbpyym/gNaJKx6UMS5yFicwpXRxUHb1
VmHM9lyrANSO6X+aON/edr+rR+hk0MWFCSmaSSt75h1qV5o6SKzTU0q/JdadmvyssIHoWr5qaVzg
MwZ8GkcOuI+mv58FgZhDH6tp3PQE1Ea1qRO+EY68RyfMbzzbdmZtv98e1tKS6WBKQ9YcyacrDFU5
6l0cuVZ6koNVe0qSvsrYOAjN+Gw1BdM3kRXibQaRR0jPX44r0zhe2+OYnjJAnCuJC+fvsv52eyxX
G3hmY+Z+LKaJwSIlPeGF+Mcw4m+jbt0B+YDaev1bi4sn9DatUYUt2zTAlQifAMfn7HAbUfcYit5I
cY5STyYvVieCWn9DIcRo7x25Vh1dXC60d/2PuXl/KsmGNhGmnp66Ng443oZKW/rxvziFMTWqgbQb
mPH5/bklaZw2WZWdMi31894+mYN7Gru1tOfSlgKkBtBbHEeTMuilT0CaOVJ1JsQplXbybMSj+Y2V
ybZtXmmEkHvbORaNAR0LtBXKvWjluTQ2mHmcIT1QnIaqCgoDpamC7t2OewNZ65BdMgW6XBQEwJOE
6sPMVGYInTZcilMjEY26rwPk0+T4G0+F20Na8j0gk8Ati5h+LePATbT7QcSvOJVZrG5ICpV46Ids
HKb+sTT2glvrA3Dl9cpEXp3y2GVgS8M5CYJTsKvPAmFCmFRsBqu19qCSB3clAbD2+WlyzwKgSCGz
Q8tYnEqvYwGAnLfnbGkDnf/6WXy1WCGJVuDXO29FiXdb2/vWSqhbG8G0bGcjYGaVNdY0gpGGRG70
/3KC5ruGGRWvOD7fKDsCDaft7Qma/vWLlxqW17WRnpg0YAFTnk2QAnRHCyo4cYIWzbbgd323Efw7
K57zfmdq23JYM7iwW3Dg4XUC/DVu7+40nWfT1VS9njesyk9Q1ARYt47Jg51Wg+cWGgniAVpBtwe4
aG8ilcZhhJL4POr0FaRWyqaHPXfDXlD+/Juvof8/3hyzScRZh7uJBZgEChKzSTQHlVqgtM9P3OIM
2JmeEb/DnvIBUnJsiG0kJGRF55PM/VJDwbAy6SFLIfPuAwTUlUfNRNVQUBU0xa7WvBbj2N83TpLG
ntbG4gVLqI7e4GT6HnZ6z4IcrSdarjwI3aSBKC0lFDmtPAv/yj7Kjc6zZEPv44RFfl916VGWVuzV
sR7ZaKNt2be8SrDMBboBjSBDwhQ09uBe6lNoQWV9hvd37O4SRRkf8JIje0DuogDrw9CsxnN1o3c6
EtfAnnioQ0TM00r+1jmNelBK9c0poh+CkkFuGK8BPqSpEnYEbfCAjkB13uM2OGx05ryreht91Ymi
eW4fo1seL/5XS8j0ORMGOylq4kLjy6LIG41JtWeqPkB4M1bv0K8X/XRTTWu9JmauT1Kq+ZmRm3c8
s7vAkmrlqYJwSIMOetAVafcERiAb89JVK761sPWBS0Q1ZMphoto23/p222c6HlY4MJuHv1yqK0W8
Bd9FBzkguijc63Cu2S3KrJ2cp6bBT7EBJc7xTU0faXfXrpIALURJZCix+VE1xw1g/hRi3URKUtP8
lA3QnE4fBJjLG7lSZlmYLBz+eIpM7JsacPyXGz9R9ahTRMVPPNlHL/aaqtrS502swlS2w5t0XjUq
BnOUakmykx1/6UB/rAs9vB1JFi3gMaABjr6Q2HCFUCgB9cmJlr7ZfLXWyqgr35+XrgWn4Pdv8X3D
Dd0Qucf/6ufPSZJiN41MZcDn7XugvmsW3P78FONmMRDthuhp1ie42FUMlEMWV9C+yE5QlfOlaPa6
fsDdHKFur5A1JMbSVJ0bm208p8tMnrpFdhrUewfhRHu5PZiljTfB6ZAfQK8+khyXvmqkvLccQAlO
dRwWqfQaVnhcDYrNbTML+w5kOugSwuUb5OjzNzpaW3WUfTi2xBgHupofjMrcRb329i9mAM6BpAP0
LefHEy6IJTENyk+J3pxQZPC6TtsJc1gZzcJVYiKQnCiOXYAr59jKGH03XFfi6jRATVBzm9DqWGio
j8l4sFjtRW3nRdlKCmLBEaYlwh0f+VoIWM5uRwyiX6lQi+qUHAnPw6r4pOAsouKHKBNwZlgkKHfO
PIHbrHLsoihPukCizjPX6iUL2waU8yD2BGcTNo0+C/GgzdbTtNbEydQC/vzcf636YI2fe8GbQWWA
Sik4SRC93NkYoGCoZiyLoGCVDS+tCAfKgEUljjemnw+RsASSQng1/jl/Ctm5apSsx2h6LvwG/zvd
9uSl5Ub3DMjLIIkA3NpstgaJJcoVBhdLMn8I+mFtqhYNoOdcA4oChAbz5VYIIjxw0dUJhaAyAK1P
8PkB4DzHQxHhC+f6bACZWrh2xytMkK3tmjrZ6Or+toWlxT63MDtma7tUIVLc4jkSZ15sawEuTSFp
fxWfZJP72BkTVc+kIIosz3y7J3QcqqE3ylP8s0x2rliJJksr4eLejlrMhKNWZndqm7SxMlhWeZLF
16H0NXut1WfNwGxXsC4VTaLDgMG3qrKNVtgcFz6PeisSN2jxsVEJmWUFjKbkhlUSAcWO6l2XuNVr
+Vrh8/rIxc0fkt5TGQTxY+ZMTiZGwJQ6cdIbYLKBdPM+7UoX35+5koREbVJn+H6XyH1Kui9I3mys
iO6Q3vv8al+Yms2W3kskhxKYGipP6Tz1y+2RLBy0F5+fFuvs0Vk0o1ZAl0ec7GqHuBehLNV9PvQh
Y2zoIFic+Crm601oxZM6douTYRUoswPSA+lV4d8ex8LmRl4V+FO0LkP4Y55+5HZDCisqsCJGGY5S
vkmoRTY1DyPBP3+yIvEztZ0CNIKc4Gz/qb2dAM3riBNLH8Zdk648bRZX5Ozzs91noUleA70TPi/T
va2EUg07iJndnq6FPXgxhtntQLV42yMJLk453zjZptv9V5+fc9fhNdCVGbPFycr9tPDIGnBjabWR
KwFPCK44E0Dt0ms19MqnSQGXKvOWPvVS+0soqH/rNFb2BqhwVg7XacpnN3jcP0BmDz8G7G7uwYUc
2l7HS/PUZbn6ONZ24mug/vP40Ni+isMqiFLqvGU61dZwarORIn5NurQOIhnqiajHzbZ/zRj2SjcR
Szjdycy652ykh9hMA9cVn3O8K1OzUKC2sZUSNMIeS1tH/uNnAsGcKF3ZpzPH+zAycfiCsn96Tn9A
Dc7ijT2MStxJQG5krvlmtivytcacNQvTjJ5ZIFFvRgLCA4cWCOYhZM7XT/n21QhmvldXKUsyC99X
/nIWmO3nts7V52fbf1AsXucVPp9HoNP1DbFyNC451PkCzHa+JZmicEeNDp11L7NhWxuRn7JTZmQr
7jTNw9mm+f8DwQ5FVh7pcXRZXK5DHjHBNQf9PGb0SNx9p7IAmTCwARwio1nxqkVb8CjkN3QHjZ2z
85jqvQJ+WgPAZCt5dBPoeIqTqKfUqRpq9kr8X5xB1KjxmMe7Cq+Gy4GhrKu4oFIhh4L1oWA8FEb0
LSnIny4ut7d9bdEUSjQAFqNj6Yqgk7YlagAGMHlcUl+PHzQJgFL8kNG1mviaoenvZ5umMyk4kEcY
0rI7quVeVu8Ls/Z7eyXVNTvcPpwCtWO8Fj9y6vN2f2HUneG2AP2NJNkLzh7jwdzJIV5ZonnjzZWd
mUN0DTo6IhegTrt3X5OU/uwo1E4bzQ11Pj4S5EULW24KqW9qBTQA+hpqdckhsW64jYCABu+92QU0
NkmWg4kY/FzIHOei84hIvY58+Wi0fbntJB+n6XynnRubDbaw+rrQBgtIt9xqNhkKvqD6sf8I5jR3
QFDSbSlqy9dLqvhEVyErm1dxv3OrKXzBo5BKrwuvQwYjtNEi/4cm9jeCHlcnsjZKOcoHtBBzzx0y
7cFUQYBfgcZzU2fE9FrF5phIBanmGEVzc6zdgINfyEtFHj9baRqhn7ly7/kAkJrL89ZzQTbp56mM
dpUSNSBFMqKnJEeuOhpU996N+U+R9tX9CPGTYKxHtu16w/HTPu32ZW4UT4PVyjDKa813uBU9Vmn2
3jd009Cm4Z6J96OvMKt9IrVEi1E62J7UwFk95LLea4A3KpB+M5DJ5dk9G9GelLiD7qP/yNzEFkNC
y4j5Lm3p9wkZGoBtBT/YGn+BSgnZeTqgdSanymYEwQqAkl2C9gYOaW29795N6qwBGK/OMSS+gBBE
4RQKaIBbKZdbUmiJGbucp8es9XTzlBufK58BWQEubMVEVgokeziOp616tuV5MSb5mLrp0diWzWFM
V155VxFl+jyoZC20Li/wRQiZlKheaNmxMn8ahd9tXA0vpNfbrn+9zycrkzYjtF+BppjfzLK0A+PN
ACsTG2H10rPAYvdZjLa6gBDV62pUh4hf62tdYUuLg3w9HrEglENpYLa/oUOlmmk3wi62x2tXfe56
/rE2EIIBSnGiFbtSs4qyHH0eVZcdWQzpuw2lv27P28LPRxRGLgoLj986960hNuvR0Sk9Rs2z8aMs
P1f4nX7+xedns4NOPSBqXXwe/APMoEHSN8HtAVydI5cW5vG14HmtTt1sRysy7mSlvPQdY55ZFSsX
i0U7SA2jMgOYOMBpl5tEg8ihzA1Oj4qsAun8rdsHusYVsmZjOkvONyJr7XzMCjxf+soz2tyzgO5N
25WTd3HJAeDFQAAXQwrv0oqoLNqpKqPHsgStD3lV1joYrzY8fBVwEkAbkU+fMDOXBkrA2hkjaJRs
WzzyTxu//WS2fnIrBWpMAFzg5XAtA6JHOEaaGmHYIceufRPiL29WztKFWbowMf39bC2IA00OqY7k
kGU+6I9E+tnb/WwIs6BrDOC6pya+T176++LzEX1qZkZ7MNLl1xQ9NTPIoLsRetBo0nigOXkkTrUy
QerVMk8jANwQBX1jARI1RlIDbTziktHzzivtJN/gmInunAY47zHuQISPIpQHPn/hF5wNG4Bhq20K
VKJvqoL+VkStBjrlbmiOU0svKd017dery9fsJ86eUHqbazkwifGxdcvfJZN1WDbDySZ4upeVT/Nm
5aWz6DRnUzJ7EFhKH41qSsE1QZPQcBKfdr9vh7vFEZnoZkCCH0Cj+TGnCfBGiYSASdr6BhIrv+b3
JqQgR/Hs9t9vm1ocjI0bAZJpKIxos8Gg44/y0elAO8KGLxk3XkrSbW6bWAh4U1P8/5qYE80zcECY
jQVmEzN5cPOvxPIz+i8TdmZidgLRqKxYVyhwASf1uPzTJE1gt8eMfqeG7f3DcHA8oIo0JaSuSju1
1URKDSaQQmW+mt9pw3sdvd+2segAZzZmcUlAJdjUiybGGUECPrSe2v0qKuHJ9r7X16Cci+szlUQB
J0YgmV9uNEji4s6ALU4GM4i1t45rm1KJ/mHaVLSVop8V8F5cRi5DrT5Qh4PTCNFcJdu435vpFkX0
7e15WxrKuRH90sg4IWGnuAjpq9gHWdcvSfufSr/WVbJmZrY8hLajUEqkBITzZUiPxfjE/+GWMO1G
AMQARsWFerYvW2TnNNGDHr0VLfMH0uzUvkVX7iqQdykAgE5RAcs3DhE81S+nzNDjHjVZaNlY2978
mqsrJfel8wO9y1OWHm2+YGG+/LzoCDimGoSydnCfUJjfxVS/o0MSKJ3h/8Pio3SMEx1dt1fsGwim
Vt9G1tST/cNK/kT2LulXEg2LCw8iMTzUAKC7AhAkkOWoE63CaZhuIxoYWhiL8B9GAe4rFSrYwKfP
K7tlqRoou+rkIAVL9kNc9Vur7aNtLsu15Ox0MF4kEnBrB1sZzmtcsgDcmu2WDOQOWl0M6kFthpfU
5abXFPH3MacviNh/qxGJNbCU8JVAsGh1YiuADA1oUub5tBwl59FMa/WAqmMYK1uW955ZfmVRWI73
Ixpwb8/nQijVkFEHx8TEPws4xqUDmk4Uk7ZwlUNUvMe57VXo/ewAG9Tt+xJMUbeNTbvyakaBgIa8
JwpgV7QekTIMVsNy9ZDmXXRv60jjDbTNNpVaAtJIWDjkthka3KKewUCRcNv6gneiPjIlRDGveCLP
tnKfJYA4xkw9tGoNOt3vVfUcJWRliHNazelaDm4F9FFNNYqJS+dyQmMmEpdKVUVD2CkZNa/p7rRC
8eJ2w9BNHYW4RLvpr9sj+/D62cQCKYDUBe6g4LOZ1xHqCEm1LEO/kFGkZdjbBZiwdJKEtKyVHVek
HjRc/ZKOvGo9uwLvbVvXuT+OtfzrVE4fWLRQn1yRVJ4rbLRVK+iV06qk+tHqsn7Jq2r09HJIH7sS
gtU4pbRnrUR7shrjZq0MHI5a9vRUDdaPfij5rrd7zVeUpt0gHQYeGjG0WVBktAitSkk2ZEz7UJaQ
a/cyt439HqHkEI3EemkqG1wvqljTXVoIsxfzM/397CET17qSSKNGM6CqB1LdJIC0clxP3M/HWDwm
dfxnohxBVf/STtYYbtFXKmh/nV2h3hd4DSSb22u9MJQLE7PrvMCVmGcFTCCho0Ono79Lhj358w9G
sEkAGoD8AKb/chxsFGna0dY5OOmLoe5Y6RcpXCNZ2SwL8QBF4/+YmV0UwJwxNkoGM4DpBciWqvrf
pAv68iAE2I3KH06xkoqZ97tOu/PC4iwGZBohhSxqBxRarj/Wjm8z6G9FNKzdwov4vTZswEPlaeqv
noeNtb89rQsRyABPDKgo8Fh04SGX09qXdiw0Avbkkpr3fWndR1S+ds4avdVSDELToAqqxIls54pW
MKkGI7UJFHnTsvDdPoxK6ZEE5wgpgP3+qaV3uWF6UFL/h+GdmdUuh8fTkVVpVzkHu3htqy1LfHdN
Z3xxBs9MzByTjpTQZiyhnxsXv/Uh/dX2NOz52iNmaZOdT+DMMdGlU9hqjAnU+29FtiunZLmy7daQ
wkujQdstHpYgIrtugbYppFzFoNkHMEJ7Qntu6WsGns3bq7I0FvATIWgg33X9WlYQxu2khzCS0eph
Prg+2HhBNPRT0vC2IWPREnpWVTRRABkwd2+z0JucKTHUTyWvNz1zbF+MY/tF5y7UqS1afbcNSjaR
Cj6EuqfdxoyieMfy0t0OkidoE3DVZBMRot91NC/Rdi6ADtRtFgozAdVqleV3FgXdTkcMzR81ffhh
WgU6dUqheBDm6oKml9aGlY7JUI3pcrA1mKx6rtvR+suyorzvzczZ4ImYbqQwkKGwmRnIJnIeEnQi
BKZDqw0r7P5JHRndDy7D2YQGiad6gDofREsLDwR8BNTjjbOydRamDnEQ3W5T74l5RfcY24kRZ5EO
vWZzxC3hPa3LjUHuKxRubi/SkiEk6gHWwd32uo+HmXVZNKpJjzw+JPo7ad7r3vaNYY0pfs3O7JjS
KhvOMGJAuvorz+4K+rtq0ba1pmYybcTZxefjNgkKiQ9M1SweKE0Vc2NU6bHThiACx0bB11REFkei
4dYInMDEnzqLaqOaVYqVDglYy+BQliJ2Dsu/6DbZEbGmTb1w+cfl7T87aDZrxliRkRDs1bL7YlRb
Qz5UoLlt5J0YT90alm5hYJO2GBh10d9qof56Ga6LtO8sXO8m4md0jfAdL37Cz71Ofb7tcgtrBBor
QANw558aR2Y3YuBCK8akAfZvs/AT9Q1lvJUQt2Rh6kuZtIbQxzlfIm6Cj2NoYueQ+Ggsh6TE2itp
KVBPPSmAdqNV/ooigUcNgCEgdjqU0OdIA5buFGdze5aWVuPcxPT3syuq7qaCGJMJqZ7Q0GUrPhhM
4u+3jSxOFGjYwQSM1rqrbIaZscEYmQLpP/OZREe2dgJc70Z0wU9AtOm/V9ffTqM46VoJ99Vx0Uif
wPu9stILz9ULfZjZDaqtapsBXgNaJqf1Rdv+QTTdF9Lx9ASviUrUK6uyZm+2IWs0zzXSAEKDZM2T
XhnbPG52sYZKfOTeFXW9UpZa8jMwoqALEYpywJbPwhlTmDTBxQGUkHvoyN+2eejbz+dojHMTk4uc
+VlCZGtzZZIucx919TmrnwtnBVS15GUT0mNKmiNgzpNaBqPQGwOJ1IH25RsjKEU6Nt3d9uSlygsa
NdGpgNw55mpe8wTYXI452goPrTOqnsHR9LdDndBKPJazHamKO5nBNSjbRmrqi8HdW6QOGzv6lmXG
9vaPWRwwChIfyVv0ks+ykV2uK61eZEBEJGoCSqDsm5RrnHlLroF2NVCzWYhAOO8u143U4II0cg2e
aJLKK0S5KRuj99apyBYNQQcZiWIgdfCQvTSU1L1wKFjCD7XNHxtV36hp9mSNa+9YYEUXooVzZmh2
LqDTRY0/wI9uq9P7UjBrozkUZEhd9A3J3XGjAE7CSKU/9jopN+OgR/u6QV/KGJnWJodMQuiYpQxG
tS29RqR4Dxvmbx2ImW02lPFdPtoQGIiA1iFaxEP0WRhhQtGeNURui2ReNREvCcv9YXaFfcxylweJ
LAC3wW16m9kKDcXQVF5VZ1VQalT6GdhvAZYBhCd32/Y+Aw/43q3dvvAqB4ALOyqsAJDOym/pYG5y
UeR36KV1NwZaIDZ92Wee3pi5R3ooukvXsrZpgQAZM9ntlGSiKTGVEXz2Nq6tbZdu+4qaO6aqkW8p
wO50slaeDRvp7hF1RPBAe7ZQhiclirW9bo5fOP5fT7J183C0x3ErufHDtrJfY2rYG60n1n2csQdD
4dsML9yQmUUMYcRS3HVdn/l62eUe+ncVrx5jVPUHRu7jMRv8zIkNz2ni4VkpcfMW6N7zK8GiwLJH
/AE57TBPUE5qtKT4YuZJFTRqoQSNVWRbqNgaPin03gfzZP0EgXNra5DGChtHiXdmX/QBrUzXs1rx
6qZOp3ojHD9EBoVrflc3lo/KFeBTUiC9H9P40QapaFDSfvR6CD95mT7+LQd7xKGvonm40EqopVa1
l6d4PACI2Ty1eaGERj9kwaAnWaiBXvVedlSF7HbT4kdGb01laV8i1qp3bmV3rj+kpP1Z57FqBuCm
huZmFn1x6zT3VNzcN9xt3nnb9h54Hvh73JCf0KvIH8cMj5fazelzMxDmyabrfGA9bbx/hR2qpnCf
HXeTqHdd9NLnjntMCLe2o1lH+K2DfS9yswniuISSpAuwV4A+BPMhzSl/5JAH8NtGuN4gRQ3GaC6+
JJpdHkcngzPClfJ9j12DZoheQQKD4omiQjPSJhX6pa3WVjcKVaC1V6U/jKx+t6uKPzlNo/tT38C7
UcbOxuBxvDU1o3twmY6G3soQm94oRJDV4DPPDFseshKSh0SLxQacuu0dzTPg2AGGy0M0kJPAxkl8
L83OukO1DAPtOQ0yJfvbVVGzbbuEngij1M+ljL9oVqfWnstaFG7juFX2dpEOWy6q0tNjNblTGXF3
mlKbvj0myZ5HqrMtpNqD/rhrw1JUBgC6MvLHvEv2VJdi247vbaP5CfwWRLBWoBvikxRWU9oITfvo
MYLo55SXn8VEe7SjShslO1ZGCLyIsXJvWgi5F5+fRUKlASmAElUMr5gIqnoMjILKXtOVlXN5IeBe
mJkdIVHSyrqLa3aUo+dEb4JuErGJopU75pqV2R2GDlgtNyrZcSR3ptgT47WQIbiRbx+5a1M2u8ao
RmKL2sWKUPRwixIoA+NBuiu3v6V04UTWgNfRpPKEvsjLs7CQAJOi64wdB4HWSI/kzh+NIn2WmePw
2BTIv2LDpPHG5Qb3WcOVwOhdFvA4XYNeLVwxLn7JzEXcClzvEIFhRzsK9CEkyspQ174/8406SYBW
shV21IbQCoY1BoSFezS6nYDCQdvIlL6eLVfXpURjHZarlyeePmogG0+POt3X8RqT6uJAzixNjnN2
vzXyUcWx1rKjQf4CGTDmP2873tr3J/c/+37FiQVtaWwit8qhRGkYKbQa15oaFxLjmC7UqiyUdPDo
nK320JImki1Wm4Nko+/9hPwamyicOgZkDD4L/keuyTQvrNAEfzRthEhwp81bxpSutTurKCA4YhW4
5Yim9GSebPB/fi+i+sGq2j+3J3IhTuDCjHYlUBVha82zheA11Ku4kqCb7d2dXkJPoOjlDvSsuPho
a0mchVWDMXQcA34+TeksKBWD7hSaC1B4Egc4eMRat9Di91E+BYAYWqHodr30iqZiWs4o+ki40YRa
pZ7kkK9lORZCHiTAp2chKkuosM88285Tp3IlhR5ctlXoNmch6T5foLgwMXNuNFikxBxgoik2Tq55
Wky8/NM9Pch02ni54UXgQOR6zuWc4Z6s6gnFDgID713FVt7QC0uBBZ6aUSZ1D7jy5VK0Gt56Q2pi
7zi+FawqHS19HtAYcBJ9ULlYs0BJFHUU3Blx8IDOsrNRMR1eb2+MRQsq5kUDMgRjmP5+FmG4ShIr
AVXQEVSWkBlzms1/9/2ZH/WqqCUCDz3a35ix6cmKDy0EEoCDkcOGo4JseQ6bEHEF2g8KAK8w3Tvq
fk37X2zs/dpG6bn+/Q9DObM1myrc581JxpUe+81gvCifZOGfrn3o0sWZZUIZDxnm+Uw5BAwyQ8GO
LVRO0P+Bfxq02CC7FeRrIX9x2s5szdyW5rolOjzRjjrnid/H7PvYgqGZ11aG9src9AQzvt2evYWA
gn7RCUQz5ROuEEFEGWK9HqDLkOR0q0QPAy3uaPTjtpElb570nMEkibAFp7j05sjWB6XFpehouE8m
97K1HqppXmYVADCJoDMERxfg0PM8kOZSnSEPxY5RhdZ2vCFr5bcaQaTV/TxU68LQbOODPNuZOumx
QOofx/meE8OLqlezWIHPLvjBhZnZScXzChI74K44gsepQAePkDY6axPPjE9SW7nLLDjAha3Z9iGO
SNJU1dixEUc92rbiSLvt7eVfNAEY6EcrInbQLIFqQMzJ0ASWP6XfayNkuF0qK2686AGAaEHMduJG
mXfRmQO3crwGsEvTbNC9hLPkNdFZ8lxKqgSlLpTPp1BRdPpPRWi2RNpQ0rTCmqAXSXM9t4wj5BdJ
FGhmNIa3p2/pBQKacQdKLZN6xVXlgWQsrs2kTY64wQQuLmS0GP86ktxpECc2k+Rdk0rYo+riRbYb
tpHyNzWifxnv2W+YhaYclH9QV8F4W7W1/Aq8eBIcYEgW/MMz+2Kw0944O/lGOTInKpTkmFMiQjn+
1KWzJk2zEI9c0KThfJrE9WDu0kYuM16PtZEcK9BP+UCA3F6wtc/PtpQNpYo4jixUC51AxeH96x8+
jzsTUK/w+KveeyCEKZQoKywFcTs08NEHtQf0/baRhQ3lQiLg/4zMxtDkUEzpuiY5KuVR138mlr7V
NO6ra+xZC7EBh8Kk3uMAnXVF8QglBW7KyY5r74d6iyQO8kJrUI6lBQF4EysN2B+y2rPB2NRx87pM
0U+kvwMhECsrnX1Lg0AqBvpZqN5pV4poXeMKmTEHC56HRRa4RZitBYHFIZyZmLlskvMxqzOYcMsw
jgM7uL3cyyPAnXlq3QP0YLbrkPPTRAyup6OArhE3VW+oQ16sZIWmB9DsmIZ463+MzM6BQska1lm4
ayABYMqjQu8IeSBil2Y/m/JX3a4AvdbGNP2cs0hSp6WMWQxzhfIaJdSz1a2pr6TTlpfl/4Y0v9mA
B5OnCkrbx8zap/aWrCzLyozNgaScjLlTtFgWqIsFA+l3A+13pdKETtY8SoM/Vx04XeJhJYBNC3Fj
oeZ1JlECUi37FGbJW6w3HouOrnZkebftZekBKPxfOZ828223GxpL4ZjEeCDbgkBVyxBahD7JZuVZ
uOIR2rSaZx7RNVGP4xOGrOJPlJwsyIyAuvb2YJYC55mTz98LdqypVaUmSBPHIaW7/0fal/XGrTNR
/iIB2pdXqVe37ch2NudFyKpdoiSKWn79HGYwN91sThP2d4OblwCq5lYsVp06pyMPQRd2KqSAdN8B
rs+r7KDIFnHM4DPPXW/Gq0Sr831SQnbiHa1zAZh3/7MgXPiGZqHOACxX7LUknF7RLRLenijVEASX
4y596fsaNhktPzQH9kaRO/5uw++3XRSGOaDKEda69xpkuV0NqCDbDvP5qVu+NMnb4/QLG3y/ne0n
MNzWdPZBs2MEbdSw36vzcRh3+op+6z+3J4tPxtWJPBuNsBqWN6QTqnV4EUxbuvYhAdeAaTDIs9DN
kK2729bkS/Nv7oSlCQrqWumAudO8g2uE8xvZ3a/WRrgIACJ2KkPz8WQ37ovkh198bks/ZOXP28Pg
k3I1aQ6wB7h1gLh1Bb/SjaPfeeuMfHYdxFPWntrcDDttjYrSVryipKag/Mu73IG1FTNCaZd2jseC
PF5rF6CUxaT3UHwd9/bYTLFfT5rCQ0tXCH3qIPgC2Okq11i21C501OhjP4OcTc1ZNO1G9ayWGsGD
natDByAQE7bBXKHjHlm0PLa7H0XSIAuoiGSl/vjMgLAP0NjcukVv5nGeeofWB1Y5cF+cLN3e3gfy
caBRDOqm/IUo7IO8qnoQqsDTFNNORxW1Of5v3+f2z9xAn692uyS4VsrPHUqWKiYa6c8H5Tq0TEyU
IMVCwACJirwfahSgyi823SMye8fPP/u+kNSYUdksqYa3c7lGKXvCOP637wvTb84Dcf2sK2J/2gT1
VvXakh49iLlxViVg6kXG2tVhXgtOIKSS11+ms0RzAxCY+6VZdcU8SXcrYny8IyD3BH9yuczBYKUE
dw5uRMMNayA+ADeJnGna3J4u2Xi4tBiycbi7wLh/aYaM85SU9YTUr+fzRFYNFprVAce2SsTsrxyD
6B+huIL0D3gzAf8ULHF9DTOd4bT6jO2zpPmoDejGYlpRh4kBgEUL3ekyY5sm20/VuhmDJexq76FM
5n3b2Xsv+3p75LKNDq5/Dn5G4ht+4XLkaYrkZ+OjbLdMh1f6Rga+v5fO+deFbW41Xc9YgtuAfrWW
jaVq+pLtjvPPC7vcXjTSp+WC1GC2a4bN0nyw6Ovt+ZHtDFRPoZCD+pUJQonL+Vn9pZ6mDuFGUNoh
+eidxhqU/Sp4JXe64q5Aa14AgSH0ClyxVpStPlPq4TwlaRmOziNFk2h5mNpnEgSgUFBVtKSLfmZO
uAN6t58X8McVsZF/wtvToM+3J41PytVwuFyS5aLEeEXqE2SuW+aJn8arbn2wxmnZZAmQ7oM13RFq
bwKkPdNkfB2Zar/JQjZwlMEx4RAjvcE3zNmtMGm6VgQGyANxu+7qad5YrbmbTe9gmvSlnwKFd1KZ
E7zTatazTxqYy4DfJtO8K11tg9JS5EDnEWC+d3gpMJsADg0xKtR4+LKeja5kJE/YmmeAqxSvnVUC
pFqiKKKFztgoTMlOFkCIIN/kNOto3bo0lWv95FA2ZHHpbli3BwUW4Ea3N4nCxN9mqrPR6AQSxdRD
So00r0b7eUh/zsGv2yb4hIj7kDMyBQCoA68qOltaOrUTQFgoXrpTOXzNgs+3vy8bAqrOyN5wHhh0
dlzO0pxndeo7eRk3HZ4G9nyyjWfiqxCoslGgkqPbyNRBJUWUiscuQ4LIL8vYSX406dd52d8eher7
ghdtiFZgv4Liy+53QCiVvSKNLXOh57+f2z9b6AqK6IkFPYB4CF4AYNSzP7r+01UR1qpGwdfqzAr6
P/2UZk0ZT8OH5d6hikHIPPT5IISjno5lUaNCiEHQe8hYh13xu2oBIh1PaEohmuqhrpozYWdpC2Ge
SWFuHqOpDNvk2Vn2yoyGyopwD+i2vxgJ5TvLhr7l8JrZ4Jxv9175+X/bYYI3cb0x6/MBo/HJn35t
0Oj+etvA32yyeNLPlkd0JtAqIr3dVmVcesGBslMZnLTkqCWf2vxXoc8Ra55p/9MKjiPkcQztjqkO
kWIqReJ4w8tXChL/Mk5ItMybNDukK/q0j7fHKd3kEPSEO8PlaosSJFnlmZA3bgHhcvY2MC+Kz8vu
MzB8/vd5IRish6DvTOBCY7QkFc6u/N2X28TY55liua6HAUgfmHcBeuI8VyJuP1uCqmYrasd4U4c2
kpssvD1P16uBZl9Unx0wu4DuQBdcGvwN6LF9WsXo9Ayn/CvIl3r9bq5UKrTXFwD4mEE3BkOAvl1F
h+1SoELngYCPkFe2PPfWnekoHI/MBPS6wYSBLAfSjoL3tAG3nPSe5XED+fUWtJmq3mzZYpwbEBzn
ZC+N1YLAOm5rGgL0QJXddRILXOUPNC5827riahSGz+ia1XV8Wsinfvp4e60lEwScCIolwL3glSgy
kyAtOwWdpmGtK8jmQD2QQQg0aFQ10usLABsKvDcQKwQlyVW1xk07dy2drEK1+6lOtkB8P1U5ZCIO
WT3c2fTN7/dLa4Jn1hq3d3of1sqD85ir+v8lC2JBgYkDUIA2ByX+5V05m0E9d2lOYq3ww/nZp5Pi
/KkMCD8fbRQANVIY8IsNKAvncXt7zSXn+2IAweUAGm329JXg+w35Ojt3Ux3R+a5wXt5uBTqiaNYE
RBH9ocLJyIuZdkFbdDHiFnJg1rFPDyU53DYimyo8u+EM8RcCPGEtSG8kRpBDhM752QWfbfPT7c9L
Tgd+/r/PCysxTrnezoZLYlKxqB2ietz4yRq9w4iLKNsHRyXg+gLWyPO0NYcoHIm98a7PgnBEM2i+
KBL/0pGAFwj89/9XjvdyzVsvh/ZLa7axB1mTQ5lX7NXOi/GTPXXB5vZ4ZGsCaijTBWYa2FWxQ7cm
neMUeUnitjzFpvbmihiAJWdf55v7LFKt3bVynRJfp85dn5PQ0knYT4oiqeyEAHQLBD169MBGIZyQ
0qiytiZYkjadAfc8Lkvcok1mVSyKZKZQ28ccwfsCUyBKLDjakngeWBtiW38iTVy+fSEuPi8EJBou
Xm2o8PkE54PEKjcl2VIADyC3iK5JSLaK6QKQ4nheN1stUB1o+emAiXdQSNwEq0EVkZXUkgOqXmRM
uSkhIHH0onasYm1j7LmwBHG6wfJoAi3I7Y3LV/UyDOYQm39m+HKdba0EUShLLJgpyeeunwFnDELT
+ZDoJ02LLY1G0/LztkXpwAJercAD20Zv86XFbmggEbraWPq5Dmdrs7QftFrhh6Wb7MyGMHmUwYfV
3Ebe/wI//Ib6v28PQnJYeDYM2B4d9LFXlV1fc5uymtY0Nsn9uj5rzbjPx/agTyqZdNlIzg0JR9+r
C18DIBREbVFeomFuVgW+kuVwuPA12NPQbo4Y4nI5mFcRtLJyclrzVfd21DraKiiUZLIgsggMFFLG
cC+icwT3ObSxKNM+mMGLXYC33f0BUatwfaNgD3LHCHjP7AhzhabPoB4H2LHdKWyr105FaXf92oEB
C5BytEpz0kzhamzSfAEKKk2Bs+hwUvyIpGY4DEYEiF9o9W9nALk0J3hkVA+TsiHgxS3LL73zECTb
Ids3tsJjSjiI+DsBNSsOJAAng7ADaDvYemdm4Og0wPXfo4e13hmQuqDk0+x99cBKXjYfEzIrPI9k
Z8MsgknOwQXMonBGS4B+kN4laYzu0fp1Lv7Hz3PzZ45tNcc66IISTKrlEOUmb4hVeGi+2oLrvBgA
P1lnFgZHL4OgB4cimuaqjdvutfyLnqG/eZtEt72N9Iw6aJVAUyNqCiJyGlFMWVQ52ECrWn82tCA7
gvFwOBrNO4qk2AtnlgTnbHktGlW5IInfg14rqogikpEuOhyNA0oL8HOICDYLNIyjM4Gitf+pz/uc
KPaybKLwZEQC2kfO+4rWcpn6NrNLkIXPKXultN2WVnDCzn97DIMr+Z8ZwQ/QerLpyjgnuWa+stx+
Wcb3nA4AlHTckgheQRZ4ubkSzxn6saF5nLanpT/M+9s7SubJzADBN4JjJDvEYG8YraJtLQf4XY/z
OZqbvgg2RXvXZvnRsBS3sXRV/hkTWfttvSVB03pAqUKeMkudL5D6CNlk/749JtneQkrdBJkFgmVP
9M5gKDDayoMZRu9+F7ritMu/jvnCJQO4ktjTBe1YC73NQCMv7mZgD9rblQE4ee2/7wuXlznTBu8u
IKpt+hx4/R7MHBFoCxReUbYU51aEt2OTOn5n6xiF037cadkX11MYkG0ssN+6Jhg/0Nd1VQbSc8aG
FkfDM9Hv3YPvO6mfqT4fi0DbZhq01N++6CCwcZDJQVoNkdLlOZmagFgelK5jhGvh44in5O3vy8YD
tS98mctjXhWE9Fqv7BztCfFM71z24IMDHt0kwSb/dduObGHgFHkgzi8VEcXjjGtlj2YHO35dhO6Y
HUyNPPiOiipXto0dB4lO5KSQoxDVrTSw7/Rzh/ki9yXzw3x0FRMmN+A6DngI4LpEmto2YDVasGfw
o/UZJK+3rFDRI8vCSSQoOMsXf0SIQKE19wtv8Wf4rl7bFFMSjvbTOGUbkBAoxiK3hFgPWjAIjkVM
TzoY/uDTBfEe1HK8OmRhCcaG2VVc7yoz5uUeXu2qTH0PZtIJdQdgnzpAu9th2Pvz59u7TPLaQxUA
r26EygCuiCgcYgAzM6+UB7AhtQ7OtLONe3SyuSNe/FHSK257icwNgokze8It1iagmQYjRRovCJQb
AFWsfoeu2CbMdxXI0jY5YH7tOzIMF0aFsFl3u6zIAMWMrSoi1UYjil0hO6oeCPM56w5kf8WbwAD7
l2W0UBoIgoecLZumO2V+9z8a4XvmLLhk+uIWFTgg4rX7yLweYk9Hb1E9/mVnFWlEoJPRw+4jErg0
YgXmPJUeHpet+0rZ82Ifbm836UwFHjpLkWOAtoewscfAMtsAklTxaOUfxnk5cpwlg/7JbTOS1iuk
MHS4aDC/43nmCpOlLWbnUwJgwEi0IUxpcpd2yc7Synh15mhZeDXPjlo2hpDyiMZk2rjV2xnVLn+D
cLO6Zu4UrdNBtTzY+fppYaoCr+wmOh+kcJYy28mD3uINRdOpaF81u9l5q7uBQkloq9Q7ZRvDN6A/
zOVDESIKT8JxJh6ZEg9hOj2sUHNVxFKyfQGCRshogrvmGtLGb1sfua00boz6aZrdB82cngY0S9ze
F9JR4CUAEi4dWS6b/4yzM9StCMsNgA4hPrEMu7LQvD9m7+Sql6bMqYImDW8zpDau8/EQNJlBnoBY
urcRsrXGviHHoMrCFAxnmTNtnPZldFRxluzOODcq7AaNmjU1qZHFPqfOajLA/167LIkyXbUXZIuF
TBcfINzElULxUCcN+EwA7Jn89iHTUDIL2jzKg/Hn21frzE4glATQ4L2OFkOPGaRcNulsbDIV9YP0
OgpAm4BUugG+NLFy4hjanJjDmsWz7p7ISl6S2v/QjFqoszQGQ8DHZOiAFXXjshw3WtFtb49QOpPI
fCN4waECaO9yP+o+WxK9TPiaZY+oPcYsSfeJb73nggJXp8dRiCiwiO4Q3c8zMLBTFltkQZnrz0x/
e0SVmJQMBrsapAfAfKFkLt4dbZEy2+wrdFWYkC91tOM6THutnBWuQrLPYcaFejHCPZCGCm41BQNW
bZmYs3z2UMyewR7kRqn2lI6/3rw4YFMBRRC08Wxemr9cHEayKW8pFNPMvjimzNpTw4nMwVVUWSQ+
CUE3MAAgIOH6yIKZ2rDB6QBOjVjzD2m2V5Xmpavy7/MiJaCZzQU1Fzy/iAbWuYWCz/EnM423Byfn
gxD7uBvgW9O8hE7e4AyITAIIZYO3rVHFQLLMJNj5QVMKxQtAJUQ7Wg8+tRlZ17gYvwRatetYElU2
2RTOGjJwKxrli2F2oZ0/3d4Lkqv2wq4Qt6RtMDkOxSI5aKTL2gz8c5+S9tisoLPLVNeHbEdYGByY
F7DTr16YkOhetY5N2geUe75VdRMN+fTp7eMBwBUdVvgbjdTCIRqpO5muDfU2g37tx36rA/AW/ACu
fKNViiZbyXn10I7GX8xIkHniee28vgU2vEuhAIko34fcV7JdR3TYre8oIXMn6gL0CSYB9NddHlg7
tZGLb5HKqJdhW67GYQSYJuic7e25+5uHFtK8F3aEm7Zx6Uja1ALqdNEeEs2Jur7ezfqwz7tnEMzs
LaOK7GSMGBq8UHY6DD6J5lbVBsD9wq1fIfgNWkBJC2SAuB2pFdq0jeoSFfP5VK5fgmQKSx18U+vz
7aHzkd2wKWLHisGoAblCYOO5AzIFj6lfRPNIH8be3DvtFLtUkSiUHAUPUQYIh+Acr4UAp6boaEPQ
Po0dtinJsBlUD2CFBXFIY1dYzKIBgpn8ASDm0KW/3zFngDUApgYOWLx8LnflUlpkQpYnjY0GXIyb
BYIrxiYoP3bTfnoH0AvFgH+2+GDP4lsyBVAntCAWlyzb1Dp51Ys9KzLdEk8IE0inQloJwYRYG5pN
lB6ywMEzdDoZxa4qH8Cqbn/wVEUo6bqc2RGmTRuN1E54mdMKnlYC0YMft5dFNQ5hqiA83oJTDd/v
861nHno3Au0v+x28nVKJ93zgfw4tQ1FLeDh1Wq9BeqrGy8b10oO/JJ/JbH/KmU3DaaH2sQA3oOIy
lg0NTxzoOOKKxGIJJie98Yk3I4ANnCZ99Jcg3WTwWZz0tosKtga7YCrbP7fnUxJneLhPAkj9gjvq
KlrqB9scoAkDo5CoI/0PlBZ/JKniLpEaQQIJqXzE7Pjrcn8PBvRfQAmbxvrwgwZaWMyfwLakmD7Z
zgMlEe9LQ/IL19alEaeZqTsseN4kxRDODglV7yfp+uBBy6mpECaLQUzje4MGgGEWt6E3n/LgZHeo
tHx5e1yJLAvAhiC1BlhEfFt4Ldoy2qLB20J/Lfq7rHt7wxGSAf8MiMSqcDb2tOo10g/ur9zbpnVk
laC5Cc0qmp3N7d0lXRM4TxTaMSLwdVyuyVhWQzDSFC9q7U7b+v7x9udl+wpd2vDvqH9dF78olCfG
pvO1D50LYpyFoB8GrET345So2qZk0dCZJbHyBalyi6YtKvi8ZW8dnlhNI4jdhpXzdvSnh8ZmkN2h
8oWGejE8WPTEZQuuAj+F/hPY/P1TthqNIi6WBQRnVsTbs3aqYKx53sbzq1fTYo/t6BxM23lJS/+A
2DMKyl9vXyoXxSSehPLxZBJOZ2fSrl9cLgBD93VGw9SMLFsxd7JFQhcdMocWqiJXouXu2pYAegH/
YI5raOiPtYF4yhtC39jeHozMEKoIqIv81UQUYwOmVVMxtzCUOOQuadMkzGxtD97aTdqu7yiM4drm
qQ5sCoiHCM4zDVwG5gO0jbaGGUEKzns7fSsvs/4zwEd7Fn0EaF9wmI7m9skBPzRYn9k73AAsgFHL
BtocKgVCRmglaaK1qY3O1wIE2noTKjaXZD0AEwCaj+u4oJVXGEHqrJT6jOPYs6UKKY5oa3qRl7Lf
/fD99tLLnrIAVfKXEbYzKsjCAa3XohwTF3XEhCX3ft/+droxysBzj2bHQ5quMeuLu4DYW9oy1XOd
f1uI489ti17IrebcTlvYXlFuseb7Gji/ST9Rbdo2zmvX55E1KTyFxIPDJFLIvNWNZ2AvN0eF9EGQ
Vki9djk48pf9rBfR7RmVOHFwMGJvIO2OORUP09BMwRwkPTr1PCdC0BPak7OpAlW9VGoGzRpcdBPR
jphDRk1wzvVyRZrLcu+M0Yh8PzlkdqCIs2XzheoFMu5ccxNCuZfzBYCG22qc6dPyDkMKWnlFlCPx
3LjrwELzN/F09SypO0YG7EoURMo6crp9wg7gCWOuH7YgjqkdT7E6kqDHR1IQ73O859AILRxdq+4G
fWisEs/VNlqKEhVtcK+YBy9LD723vb0VpIcLvSK8Ix1luSt6zJYmfVcEXRnrbRpqkCLLqiDMmAG3
NIUmmPaDESIqv2tH9Tz62+wuHi2UhnmyI0BNVTzWSEp62WCihxBYM+8E0FMVZn1vn2g1zyHSPfXG
tYiPclTbRgnyi5CxGMuQOdNy57s1iOfc5j7J+6IPaeYVz6AkGdDs7AbbrvV/Z95C7sbJnrcE8asi
YJRtbA715mxr8LJixNCY/uj4Aylx65UfW3sBlsnGNdGqgEyy/AkaxP4zJAYNbtmSBSxfZdy5wRy2
en4cuvzew0uyhTQwOyAjet9PzWaGJoeRtjvNqY4DVNxu7xHZAQOKCklxTi2HfrXLA+Y2XcpAx1OD
tYDup0w7ZO8oAIIJ+J8F89KCN5NxHT1YqNpw0E+jSrpGtmCIgBBO+vgPr6LL71t9Z1U4bnU81utd
X330QQeRmj/fMU14PthAlYM7Q+TFIoZZ1paf1LHDOAnPplLhXGSOCKTe/xkQ7ty8s62MlDAAFMpu
rMbttECCA6flD+o2d1Ov1+FSa9nm9rBkFWJkF9AEyRWbUKQT/NEMDHLnF0EF7tk2soogSl3wTZW/
nbwJqXcHzeaAfXDdaud1v3JAfW6bly3duXVh840Vaxwn8dBwRu6TPtjWVrrzBxXYgsfCoi8C1TWq
GEjyQsGN/4qzgAy4Rx/SB2mNHMoQgtLoAA3TY5J14AmpzOOEvEDJK9+2f7ea7EuzmCd/Lh7aMf19
e7SysMr3OUaaN4bCNV7+Dgo547EuG2zUDk3CdtCTrZZSsgUX2hhmqdUqjrZkdiH6wflkAZ3C/cbn
5WzcWlNbdAjaBmXeJgJ2L8q9Z4N9fPOg4N6R8eDizXDcwukO9KaelxkX6FAAcAScXkhd6NFCIzuE
zuRtWxJfdWFLGBA0l506SfwyNuqdHYSlGd3+vuQMYhhg2eA5Vqj9CbGoNaLRzpnRKlhYz7nhbBNy
T6s/XfUw1t8gtKmwZkjCz3NzYiyQjD1A0gnM+eaTAaXM7miAzDWrHhwdAtbzQ75ASeU78cdwWV5o
+rzM86aBrO/0nSV/GnenBX9uj186v//GLybprNFaGVp9q3hmu/XJYMfbn1dM719fdLYfbQuKP71W
VqAU0aJgfaI+FJmeWPucJp8r/dttYxJ6IESMZ4MRNovXGANzgxzWcvSRr1/79ESWb7r2m/inIaGh
lpyqdggTakZt8aGiR5RnwsZWxPuyM3j+K/iUn425MxC+4GqvYm14GUlYpeGqos6QuBUMlKeEXF5y
9vi0n5lYPBcStQNWrXTGrbNqO0evDmVgfgB673B7UuWj+WdKOCAjJK4cvYYpvTrVxRAtkD9R0QRJ
ImQkGwCTRP0KBWcxuQkIGckbB96a+FAzc78Fk79Z7qtoSF9vD0a22xGH44M2Gu6AW7+ct3L2cKH5
uPqqYkcgjrW9/XnZspx/XnCMmU1pb1oYR1cc8mqj+2A8Behgf9uKbEUAF8L1rfOuK7GCiU0RUIua
ZUyyjV4dpx5Kz4r7U2VC2F9VMKykbWGize1NlT60PJZ/hwAqckzoHACCHJ1Kutj9pnfuYk+GhwdD
mHv3afWOq4NjqnDz4jGE1M/lYmt+MaINdUGwTcZwfgSdjeIhKZ0lvBmAfcQr8qoB0h6Hwun0Cc+G
tIaekh5V7N52Fd5EFq4hRkRbIp7dqASKHWO6YbKlSTFLhPj3o5EfWx3Ya2eNCKQDkEeLzE6D5m5q
hEXXvPRuE5nQl7y95WQbG/QAkFICw6GL83M5lZ09tWSa6gqaC6O+g0Cas4WCQX0oa6igUZc1L++w
h6gbQEw8T0DVcWmP2UFj96Sq4xwzuiAzs2fZVxSqblsxZLcTgAb/meHDPnOjvE3DCmZQKxSTdz/V
buin9WNVZtvG9k4Z6Fz0rNw0SA9l3npnEfPIGrDV2+y7Q4tXalaPY062xHIf3M7/qPht3BUJESw6
d9CtjUY0UHSK2V6eIjP1JaliZH1/uh2liFzR+TpCo+QuLcH5wUq7DDt9gaaOUdy7Q7cHHzZT7D7p
wp/9CuEuM/RkNaGbCIe5QN3386q30O4cwsH+9K7hYnvzRlisunBYM1zPxOqcKraW4kHTmr1eGXsr
w6VdNATimtmjO9vPvbd8KOvmk7uoAhX5QP+zLyLuqmwBd0sK+8H8Ys3PqRXqPRRMFDtO5jFQWMMt
5/GzJLruvK27jtplg1F2kUUfG/Qz6/nu9lyqjAjOe7AhyahXeRMz50dDDxr7uZoK1yq7sDmHK+rE
gLVc1Vm7YQm8NHXr2ES5Xe/uFy2IdHc+aNVd17uK8cigioCS/rMmXKtgUpvtrvHq2Mu+obSDdqks
QpI8ZBa6zYssSnvQC9d3tv2A5lrFislcxLlt69JFkM4mem3CdjE6YW2/sCCLQDAbujh8Q/EJtTnF
pSJL4F2MVjhyHnIAetb7dQwF4N08gLRTfzHmZjuOTz5vEe+2hg01x1ElbSvbNo5rBpxaSEd7spBT
YX2betVKkbNBU4dv3S3Vd2NUQXVlGwcJf+wZZG44Y8fldE7EG8iSwuN2a/+yOsGpbow7qruoZs3e
MU9UWArp3jk3yEd95uIHsDa3E4jB47Hf5V0IwtjV2gz+Pi9Bhhoy86lyD1SFB+WjEH03v6p5uRP9
8GIB2nLXcQKPAMDWWlTuW3N7+4BLPw+sAb+eDPOqFSeo7HQwXbQVtWADq8lDNxxuG5BtBQ5q/Jua
QrJfWKXKpQFdc2AamfPM2qM2PCeFIqKQjeGvFwSho4EECffHZ+tCWzoXvgWBC7M51eyLlysiWNm5
RaDC75K/SphCpJ/MudlmDENoQCbW+s6GjNoTEjTodlhjq2fbeq2fb8/a3xYOcdnPbQp+qqjAOtfl
gM2CyH1XNWUEFp59ynWFh3JbgoI3RZZ7rKsNOpx2bZftEjffICWMRDDeOn4Td9Ua5fg3n7b3Nc3u
QUFybByywWiijGa/Crvc5uZ4oqBJ0+pu448UMvLByUq8Y2e7W71eN7fHJN0JFryBi5c1+mKEZQJK
ewXfLm8pZMex3Xrtvn47FzWYI5BdxbMFHgGIocudgAi2cPycoLt33CDDo7mK0yJ1AWcGxNKpic6r
lAGiG7uOHzrWcQEBrUOrnas9Vd52GJ6o9rMHuZnuq2ZPugn/DU3M/lnQXEITARDIowYO/C7svY/p
HJMhTloaVSrWUemROrMmbL86mVwzNYFCryl7odmyYWWpevJIUyznkynch+4MYGJQo5iZuOWhGdyQ
9U5Yun2Y5/bRBade16xfAX/4ZJvdrqj9p8pBp5FjRdkM7sDJ/Xx7f6rGzP/9zI2wEvUin9dWvRys
lRR1pVVxH0tPwNms8n8/s9DOCUM3Bg61MUzhkhxW+mypwN2qfSKcMpdquemNWLmiZVFif1xAVJdW
x6Vku7L9aQSKmEY1acJNP5TUIV6CA6GNJwsqGUWnSMTJSoE403h1gw/mb9X7ctLSArS+K5TF4xQ6
9qz/mhQfkUzQk8fZeGrYo+88a+sQduUnRr7UVRdW7daGOrZt0bBi+7b6arQ/6AzZbkVp2eAzeeWi
z36Y4GzyxavTbsEPK91H1hYbH5D5tI/15WgOy4ZYALW38Wj+WMkvvfnOul2W/CmGY8Neb+/b/885
+n8zBELHyxlC539j5BW8XrUaUae5jzPgfWFuNDsHcclK9XAAV09q9xttpvuVDpGNnwve6YOR6Hfg
dfp1+wdJJwaCVg7Aeajuiy8TtkDFjCxoJB6WMbToEa0GhwnqcIOjuPil5+nMED8LZ+dpnUZ7NWY0
5NjmctegLj00/WlUSgTIjhSwkuggBwkZwDnCsZ0LLcmyCvf/4jgROusGd4qIk4YQcwKlZbqvElWD
tHRvnZsUTvG6ZGm/9vD21cCifNwF/rcZeWgaPJW5Hs06+jTKbDMPX+d8h26hyNTmrTs9Di3C7UAl
wSB9RkDcywG1MnBWVygKI9CsivCepGb9spA9tCzDejqM5IPD8pCR7zb9Opfx7U0kcyznNoUZcM2s
Mhh3LE6QH0iYrdnhtgHpqp4NSvBcTTskxlpiUM5Etmj3ihryGrhauA50Y9gvY7q/bU/2XEEICXJ5
C8XEK4ZSOozF7C3YRT3J96ybN1PioEAzPbi8baQ0FcOTz99/5sRIxTJZMdomdhC4xgiw5UwxHNnZ
80DsjvMNtBD4QS7PXlOC8d/T4XRM4HsdtnfQBZw3u9tzJj8HZ1aEEAF72R5H4BpiwlD9WJ5t99TU
5R4MNHP/0rBnu/iQmPeQPw098pGAwzYZnme6q+vj7R8i3Sxnv4PP9pmnAReGqSUUv4Ot9/XnoIjY
EOrWtvfvXU81ZtXMCu5mGHVzKgrYyrLvWvXEnF/wn3n+tVwI1AE/d05Ml71bfPO7PfNIyBtvbRUz
ojTQhbIWVhjJboDuhYlfabNqLciRYqt50uknfRmigh6KwglBJRwFCQTlPDt03adCdS5lwBY86nmj
EwAlFurPl3Ptr2TNQWSHBqRq6rbUNvxnypZvhUPqEK31v123q7Z6ZiQ7x6UFgNLFn3wx+5cxb35M
xaBKokiXHrscVQWugCwiXLxpBq0ib1rr7X7bpXqcQdhSwyss78td1ZebkalefxISbQNT8M+mcLjg
hfuAeGjQA3zzEUCnLSvNbdX0W19fdhplG7suPgz18H0ukoPe5hu4yg2h+T2zzM07dv7ZTxFWw/WZ
2Uz8JWAvXghy7SjnWn996ObVdvIPOvly255095/ZE06aobFGYybcpD7A76O/HOo5fxav+n7bjGpV
hUPms2zSi5HHrf2hsYJNNX4mFB4s6aJUR6ENe+22QR4NitHi+ZIK95nTdBTM/vDHedq8JF3zq57n
Y5a0YbOA9NcmdjQ2bIvCieIekNpFEly30O2L8EVIXviaNVUQNEH+KBsfjGq4b3TyCoGDbV2VJ11r
jnm5bjz2jn7FAE9800JuCTIgIqqq9YC7NBr0F5tBecjX9tgBs0eBlSGOo5hZ6Y45M8WX+sw3t5nR
JnaGw2JVy5YZ2rOxjhtW1AqwEV+gqwVEN4vn6Oj0vKoj1TPN7U6HmbKh4ZCfTEAp6m2vQvlI7+0z
M8I+aZbRJFoAM2ZCv5ea/adoPcVI5Fvi30h4pHI+YVaa1NMKjwaqxYfMyu5NMlahtjgMADs0CFb9
l7Vctu0C2dDbh0A2OIwNzU0mWKyAuru0nILdk00DZIKcvowg2hEmnSIskVkIbJ76ATgWqreCu5rI
WBjMBuDXa470kRT/4+cF7xT0WoHkBD6v1d+W/HuiAvVIfz4n2wQOA48NsThKJw0/fwWkHI3gj3na
P+EIKeIL2XFBrf8/E8IQ0NdWWaMBgLftb3InqlmUqWZJtsHOTVwtc0vz0RkRtdHkFIDVyyMM6tzL
h3oZI8Muf+Ma/aClfXR7d8lOKKQueREWVIug+LvcXW26pn2Trcgn5cjKrXRrWeNnu0ofAW5WTOK1
KeTKgYlD9wQgZfhzaaqBVgeIo6FKhy0I3GP+rUMkMiTeU9v67ub2sCSxGE/MI8y2LPDImmLVXsvr
NSi4lhL4tqN1/QX4Q7guRai1+2H6ohsExwi5HjffFprqJSodKPgSXQSCAVfvuRyoN9LVtBMCYSV3
Qv8ocMyRPhFrjwitN0IXfDYqi9f7E6NFsR56dgAEmmLtaJ6AlyYmHvXdpH0CKTSUcEskehSpA+m4
OEe67wG6ik6ey3El05p0kIwA2dkC9dLR6beVYd9VY3BvLipitevjgBGd2RJOnOtqa+D0uAtLrwA3
vnYqa3Pzf0j7st24eWbbJxKgebiV1IPbtjzFdpIbIaPmgZRIinz6vZR/n/N3y0ILycYX4LswoGqS
RbJYtWotLoN9T9O4aJqdPpIn2vCNNs/VIeLunT0GmkVLt1GV27tgekCDJLNj2k7oV81EGBTjqSLQ
77vupGurBr001wEMGNn3Zc5HpVPvdC14c8z+ZyCB4sRO97SNWObj6QjKJKQf/pAg6h96U0yaGiQf
kFhypJqQ1CIovJEtPqg1I+YMq5+lLOCDi9vRM5kU9oiAqfNf0GkROs0W58DaXJ1bWAQsQjhV6s1c
JQq0OG2H6j2ivyK1dn+/JJAoA3jXBf/wBwm2zEzRDsFQOVTpiWg3rRtOYuPEXT2azm3MPngWSoCc
K9PpiKhWdmU4BZCYeGuojN3ykDIRCvMpHRM5DaFhf7o+uHmOLqMxRBBng1usEmgdjVpZeJaUFt31
jR3m+pccDae9qlDG5CAg2PKL9VX773QuVk0bjYxyBxb7wvnEGnogvI5LUKRt7KSVnMfl0BbXWO4N
wHlLGGqaA8k+6WUbBd3RMH/n+XdaVzGpb4X9hgbC0LZODSi5bcYji914+cv1OV47QM7meIlj6SAJ
Bxk0lCs8neahLpxns2WnitZ7Rsyb67Y21jNY3DMFyfwAtXVk+YPEkHdI7wd6FabIebrqi7fV/rrl
t4F56bfFwDO7c/D8U8FDVfzSTYqGIjhs/4NBQSxtwQHSztj+H4Z4uj7QTdOLm6eAvIlpinlWSax3
78BKF/0vETxyHzd6+sVS91DeCF1R/9+OgyVcwkCrUJVrGHIw7hr+1Bs3E9sY27zprmzKZbcdKf7f
pkRU9FbZ5k1G82OZQ0Ob1THztI2dsn5S//8dGSwOHxVMVmr7mElu/AZvdyj55+trtXZxn2+AxSHj
55pTBhQnqGa5Ya6BGWkEUS0vRtBQ5LeD5ifMHh8F+wec5nwE4AGNFBzGtwTsTbQrtaZGdGL5+aEy
8lAZzWHgPBJtF6l+X5mnOivisdmX1q0vNipbq8sIhgATDBTI9i+RzcowBmdqcAAFejKlsZtWUSdf
XO2TBDD0+gyvm5rLe87cQ7mE6rVZ2XPe46UgQBxnRmMXd9khd2Nnq4axer6AwfJ/DS3PMtsr9Kmc
kQEpCF2Mt77j4QxAbLI70/7tdc/Xh7VSMcECnplbHGfEacrKaWe9y+ClboFrazpIlL+6/Um3fg7e
fVMeBdl41q8e12c2F2da1qHfv0PWDCS03oH4dyZxwmG8d4KNuHJ1253ZWRxg0sr1HHrCqGI7yAC+
kenn9cnbWqrZ/llMYZd4GxMT46AT3bHeDC3i7TwexBK0MtTs4pyipn3d5urlfjam+e9nNjMZ+G0L
pfFHxz3m0Emvo8aKr5vY9InFcdUSm+lFg3lzlHpo/SLOWudpsIoTSATjBm/JXtcPKIEfjUlu2F49
yECdhAr6DLxZvqlatMnq4F7EQdYOkdfeZcAFQSgmf0lLvvfT793fS0TB/1G+AxcySsBonLucT+Cf
zRzopQK8Gca+a4Jvoilj5Ol+XZ/T2RU+XDioFcxtsFBYWhahQMpnc7/FSVWXfSSCb723Af3aMrAY
R290XLkZLs1Ra94nAeVzN/t+fQyr7n42hvknnLmer5ViaFqYcBwZWsWzr/xDxknYjU9G+WZPW/Hl
6jFxZm/h6mXlqWzoMGfERHbpUy60UAT7bYH11alDKg5Uzi5qQcvMQZ7ysegnsECULIK8Uuofrs/b
6pY9+/7iuNP0sZTQqwQgyo8y8QxVqq2If20EyLrMAcbMh7BkgBpyMGQG0sMICnfXocCiD/Hfj+Hc
wmIMTGosr6SPWwmsFQEGYlv9AWXN61bWLlm0rerojfGDGTF+6WGK9V45thouWXB9mJTtpPiiZUOo
bCuqho1Afn3S/mts/jFn7tzh1V6aA4yhDX9PiwfN35IcXLWANABacZG5+QAYH0kf0Np3EfaVQdgw
oPxoeH3CtiwslqUv6rEhk1M8fgrUa+m9Xf/62gYEBgDkriieByA5uJyh1AMnagZM7OMQdtpRiggF
1WmrB2HtVAFNpImMDOovH/LgyuYupOXBW1U0v/oGh2NRRKBbDCvs+DYLrXIDrrHqYz5KTMg0oJ1s
udsDkonCE7An4Vgp+dobdlT6nzvDPkj3y/UJXF0epMdnmcO5GrMIrjoAop2pRRqIGJ9H4H1+Xv/8
6vqgzRrpd2i4QDjicn1Iaml1XeHzrnB22jjFyvZAbl5ERGxYWlsksCYgxjdnGt5lmE9QtTaZjojA
5E40iDIqtfu2u+2pmIuQSZ5X/+DYkIZCO7duQ6diSavBpM8JCC+R22pjHtZ6dH3mzNUBIT33R9hh
ltm5nLqgq9O06crqsZRMR3tBjap1ppAnthzUNieh4r4A0xxKr+8GQO1feQtegtxJya5WENduMq4i
yN0bBzGUYqeBfC1EH24P7hEpHgq3F6HK0AObBsZPu5MdGuX6PgY5MrqItGBCqdjS41pj/hfep2rD
wxf3jY0UPLLg+B9S8B4AzItTlAhrTLWGiYSRImr1hNpfbUU2ZnARqP0xglwtst+zBin0iS4n0AfI
gdVlJ5OSaj1uNghmS6rTGmgLU5zysdPeK9vOni23Ibc2KFm2AuG1vYXqrzsrWcww7UV00Jcjc1yQ
ED9qOaRSdOivYRdslQEXUwlBORBCnxlZTGU31RpRNdwE5x+pytBHwlhY/3ARnRtZXETSowX4MGBE
C1t/P211zq5OFN6TAATiTfmhMGK1Adj8c1qBNsQdTjpxIGCitHIj/lw7i2wfVFqzPJmHbPSlP9iS
2hngk+g71cuTXmthw9sdGqVC1dsbZ8PqooCwC01YqM2CR+rSlOcPmXByp3zU7V4eJ7fuwMSbeqHu
9cXx+jnxJ722jNsBb8ReAv+0C+bkS1tW7blVrdnoAR3RhuQo7PNm8qwHx26hKZH7wg99q52AMkzZ
blApEsjT4H/GVH/R5dhGOre7eAD70o2ncRu+w1WoO72FLHBAE9y5NLZ0DZQ/IxWf6wLisQWl8oRe
bhpmqB7/SKXOU1BbUfuB1OMXncv8Nph4EyOxY+/8ukC/ps38ex+FqEjlvvfYIKqJXNl9Bl/G9Ez1
Vh0ci31GAuqb1GX1bGTo9SwBprqVvlvtRrQfgf4JjztZfdclyQ6jKmdSHuDYWqmQ4DOnF57TEmrG
zLybPCcNR71wQugVJaABd4+i85xwFB32ft0U4cjrL3ogv+YgeomAIVH7vHprpk++euqAkQTbygGU
a3JfUQbpl1aFeVqKWACjBZnTgYO2SUZd5kRpB40wz/APfdA0MRnQ62l1FjqzbSQ9O6vuosEc/ZMP
sFtEUIfbl31H/uUAAAYA0EH0nn/k3GFdrVjF8eRV4PkwaRMp+73jGwf2WkhybmS+rM4jUVabQ53l
JYDjegSt5DezDnaqgbCMyPZY8Y39swLDnjXfoGBrAuWJbqqFvXrEWMd6LB9Lc+RhW6TiMci17qZz
g/S2g1NHRi6nnaeZwa3B9PxlIKilRb0+iXv047p7i5T1aUKK4DBmtbWRHVrb3ihVu3iJIbP3YXu7
FnpvZEDKxylQUa13caGjoah63djZmNPlxg6QN0SzGmQVP7Av1G3alzbFg6aw3XpuKBOfEBr+qH3V
hXS03YesYfxg4Ia5c93W2bg9F2Ocb0/oayP6BNwJdDLL9h9svsFPRTYmzG2PzJMvNPAiAdqljaVe
O/uB5ZrHiRQtHoGXntXXfmWPo1s/GvIdXXnpxiSuRVFnn19Cd2sDZReV4/OyOJHpBJiw5+x5v7OK
H23xD27hA6TvoP0Wq7Z8jAxTp4NGCd34tZs+Zl5274Jam9VbGK21ewwVcKDBAHzGrl9cxqzsMoMF
I1qyZ9x8i15iO847Z6+xjavlT3l26YHnlha70IW+M+qeDJbc7KFkQg+ZZt6k0F91ZBEBER1XQx0G
gzhantqJYExy03p38ymyZH8c6ybWhBkLsXWTL3zzT8wD1oW5hRARJGLwS5/JTX1IRSrqR+r9sO2v
AfvlbOk1rR145yYWYVVrGZL0pazB3P9tHF6y4MHs92n1nIG17/o23xrMYpJrkIfmJsFgHFuGQXMz
TnP38sZuXvcZTNgc+aD9ZxEkDKoAe2s7gC0GafN04pGHDE/h3aAuuWFpEXX/79r819Ii6tZcnRZp
B0toKNEjEJbQqCyUdTLTstinFu6nooPSbdbjdtQlqq3XZ3Nl3QB1RjwMHhkkTJcDBSdVDyrwZn41
AeLtNP6dSsubtHWOpHTfW1vbXbe3whwFYi9kg0FSBV4KnJSXvphaIJkNeDYBYQb5uGq6dfN3zTP2
5ZAADKOlzW7IP5OAhh75LWwRFfqppz986wUvhhDTiHbn4sHwtygNP557iAQhSIOn8PwaXtadIKun
5VmWyqQ13nnV71zyWRYWgGO/1GCf+uD5+jR8nHZM9/ye83AjzhzPl7MwEbfSNFuXSV88i+Y7ab7U
4N1ujCrWjW/XTX10sAtTzuJdDMJs2rlSyaRqUiBw9kG5q4Aw9r1Xlj0SGYOz77rBjzcU7nr0iyPD
BM4PlFsvx2bUmplDYUIljbUveZxv3Bqrn0egC4ZY1O0+ZJf6WlpSOrVKaFbHnfHbSl+u//6VKjkG
4M88TihBIl2xWJwakm/IyWoyYdODPUJzx7zR5Dv1k2rcD/ZjY/+qxZN0xo2DbXVg/zX7p4ZzFjP2
CqiAvipVApybGzzn/4CnAyE2IFlAKALM90FJmRdOnfcl0PvVSCOb3BbF3Kp40OjbxgT+ubkvL8JL
S4sz2nUly4uqRINMiyZlC/X/vSP071ZG/dcGCqDgL+jcz9T3ypum7u2bynb7mIFk8GubKvrd8wia
jB38PH3yhv2IZjf0nVhy3+jDG16KTgKsFhgQisrdAdbuvWZp9rNinsOiQjnpDxXoEkTM07D3a8I+
W4X3qWSdGfWD2x4yx+afGmMqp11WBsUD7UzzdyEyPhxdPAdu0XxCXjVOSdQzF7p/IvXviqafnknT
UGSDtPEp97W33KuCJ2hpNLug7vRDLSckh7K2yhORufSAiq9ThdBUsHZeA8ajiBc+v+FDBTJqN9fw
xGRAL9ZmloUcUNyDxSv0NjANchKZbe37IWW3TT71N6Xh4N1IuDrZrshu7A73QKnG/KDBYUA6j3b5
ARQIe14TM85GM300ENWjrII+JNOWiHrHYYhMq8iCkDm6/1m0jfaQl1SS0BEO/y58UZ90tfcp+50G
9JsN5LUotKMqrdgD08tzXrr0dtD5U66N9qGdCLsp3W7a5R2gT2hO0fGSIzLivT1GHiiVHlLe04Sh
GPjFMQvtZ4c2ln0xlfzFDjTtVgVERdIava/Encszxdg8OFTSQ+XKEitsKBkZ0sm/Umb4Tx3uR1Be
FT8V2Db3g0Le0HftYt/0ZNiZQe7tVeF0UeCl4oSqD5T5rCY9ijzo8YiFpgHgLsAdduYUGUZV3qBh
x8VXBI/oZH5nnd+CdECqWDl+HiMwGyOtBVoketULI6q0qXrWR695VR31nyuzK+9zcFiFHSpOt62X
GQ88rcHBkdIGOBCIMPVG1r+ThrGD9GsvqsFDf/Dq1Lk3rAzdK2iDABk9cgvSHKBZCelsdM97Y2g4
tXeqndb6pktL+22MiKOCEiQILppcb2hTsR3v9PZQMB2TLRrIZvii3CFFByUF2Y17TzN4bDoDu3HT
zjhpFqMHLwNpbZHiNa5Jg0RkSHlklqV5cG2CoKLxnY1z/2PMdLnpF8emnWq9R2lVPqCta28Gn0lx
CMAhnwY/rh8v3sqNhiQ/2DbQFWrPVO+XFwySa9lUtVPxMFm5+404XtlANskZTqnlMuwBpKmYnfo7
Tx/VEReJGyphBnHvEnryjCoIp6bSIPj9FTnGyIEKyf1EyyYy2Zfe1iFp6407VqABX6hRPeaNLr77
AzzGdIv9MAozglCKGRFd2A8tXkoHqAlPu1KgMbdkzRATWnf3Yzpaz6gTkYNmqnTPUwiETKYSjwXT
tLgf6ncZDPRYOMiMaHbpxZxx8LiCJvpQNj37zsa63Tdu8EO2UPnLCHKtniqCqAtS614SJKVo4O9N
hw3PulRi5wc+AZazcvkLsar6aOGluqPV+LsZLKiTUBAXWFJnB+42FFGARvOoqeEQE2hfgHPQ8RJJ
LR56QzH+HgvDDvWSi0M6QBkor6CrSuqheGgM1kftkJMn0cqt/P3Ce/7zfoYqN6JQ3LvACVwuqobx
e4FkY0KCvA9Z190iFty3JkRPdOpt8D4tPOiPsVm8BdnGmRB5GfUGZRU0ChX8xGuceHK0e5BVP0Kf
solS36/QambuIcHz0+y0jXB75Y7HntWRMUerAIouy9io6GrN4Ub+gFOuAy0bOupaMJJtbBBM1fL2
RfMtzgYTcoQfikhmmgErL1X+YIrY4uDW3KkyRoG/ZPF1Q6ujOTM0//0sYkmLUlM4PWGIP6R2EbbN
Ruy6FoohRwd4Bco6aOpfMmq2uSGhU6rlD8RSSS7z15oJDp5v8VsV4inNHWRszXu0dNwNufjVk+l1
Y4RzdLyYSyRZMJP2fOSgonk5RIgwlTboF9PEU50swtxtgsMA8oFXx2yskED5I3bHoT7y0pHxwDxy
R5t62IleQAp0IuUXtO8b95CeTnc1RBwj5fbZa2d4TRxweACF0Ow+TfXgSFNf7XFB/Eb3DLknQT3c
ZGPWUyB1jHpfOYQ/t7Vyn3L0tUTGUMs7kaPx1ETjXewW3hQjpY1UrQqq6YvEqjylkntPICLNfqfU
7z5lOiKp65OzRBX9Zxvh/WJD/QJPx2UuqjJSZ5RmMCR28KJrR0RsYUHbONUqKEfGufZORYYjZyO3
uniq/ceqDSZMwHzQp/uhkFiR2st8fYCoSx8j6OB4HIOGoNWQ3qmd4NB5TX6Y0i1E8sqTzZ1Tq0DP
z5xSy7abofEHDgRV8VBb3n2X5pAvSc036ZFT0NaHLE+fNmZ3fgkvXM8F/dssYYOGFOQXL12vmkjT
trqHs6L3uju3GKc7ggzXTjjM3KnWKU+YBZ3jrDSDB2t0g1umcu2EsnK6Jag1e/m1n2IufgpDR5PB
3fxhJoLomuEUWP2zsqa/rjhBMtNDGQgQDg8vu+XpyJzS45WTP3iGEeGmCgf3lUgUXsXG83vt4Do3
tHifkIpoErKt+QML3ksQGtWAml5fvTULzixbDpk96BAti2eSBL3b+QypCmMKNUeHLNDGKb/YBkgc
BWiMwsazwRSNw2kxWYEKuqHU4Y9KQwTpK7D6tSHVtBC1rxi095G5pYyxZhEcmoDKotMG/byLs7CR
yEoXQ4/lqX3vFg9/7045utoZLQmSvHdxc+r1kL+o0dySDVq7CMDSqCNVAja3OVN16YG15JXup8pK
TIPIQyks87UB39ezZ6rmJiBAeLmot0Agy+33WYkrNSdFsDeVkf3+64VFyRVIIiSU/7BGXv4Qw5eW
yJi0kr6uT0XTnbayyCueM4s7zY1oIEZGuvbSgEnaqspk5iXtneE8tFvN0VufXy6i0KZisEDUM/JT
XR9R87w+PytHxcXPn+O8s5ig43ZtAOXnJcj/tvwniN6HLc1tc+VSBj4BXo8NhhNvifUH9M42ZFO4
Se/VVQo6AM0DC1MBATgwBAiP7DwoEjzN+Ud5IAWA3ajH9ictBbJxoNkzpDxDNDta+4p73VOpGfqO
oxD2rSKt/EIKBFYhwk4k7A1nCwC5mP3/3F3YPQEA9jr6RBezXwWlEhrB3cUlDfPKfQEU4/v1BViY
mM+Fi8lZLACIRcu6QgNe4nnP1Q2lf4fAxgigew/fBIoHUk0AIVyur98CFJDazEhYBX2wcrjDA/79
+ggWLjSbcNA/DbAQcm/WB2iStDpDBrLxEj83WRiMWv6m56nAA4yzDVOLyZpNAcaJQGIWPZtlqS9H
A/4ATSCs4kgxZEET1rnNvhcaEit/PSKcXmhLdkB3jwfr4qzmJgreeBty4HeANOqKiPH33Pj7J9Sf
J8UcE82U6kvnKgiSDk4rRZJO1q4GdR3Ld65+N7KthsvZhc7CgT+zhoqdjQf43By8BHUadEyFrkaR
GAZrb3qIKO9yCh69wc+/GNh68d/P3rm5xeyRzkMjsAtzhJQhMgLxpLKd7fy8buXjmxBzhscZEqOo
SH7ovTRZ6zFT90XCxSw/7h58mdi2CMvy2wCkZ2BT4OOq/XWjK66O0A4v0FkRHUIIi0DEA6fK1NIJ
RicaTuajS0lYWBsB85qTe8Csgj4MBXjUpi+dHNtstAYA2BK78EL1lg5/2VT6xx/ODSx2kSsJs+Hj
ItHfIFYf2nvb2JI+nNd46XLnJuYxnl0rENqRda1gIjvqYADTfkYqRSJu4+xcc2xAE0EejGoShMcW
KaxWH/20Y7CieKgFhwmCMHv3n2Zrzl0BQQwQqbVY88zz2CDyiif5EOxRywgl3hK2++u6Z608zoAH
ge6cP6cZwEy72DXu6FNSGejsbgdszH2BFkOOxGgOSM9t5YBI7U1u0YytOdq5ycXICg1oXyvreCLv
rW4n2uP1IW19frE6Ag9xYvqYuCF7GtUDxNL//vvAqM+MxzijgRa49LHe70wD7a8s6f0xzOeCxBah
8tp2n4WybKBusTLLQjwFo1EGbDdL8vLVzNy45l+b+vM/jGIuv80ARPjxYjOqypO241QsGUKE6ZHd
b+WwVgfhokCGChyKZMtrZhTpACZxnSeNiZT7TRXsx/bwD2M4M7GIYRh1PaNkBk/G4cTlcfy7GBXn
1VzVQ8YC/82Y8cUU9Vyv/JK6LAnG7tSPw707PANT97djMCCjDVEZBPOohC7v/AlND0Y7TlPSjyeU
8pHduf79jycivv+HfRwRsA3CgEtvNYSsGANmMbHBv8Xd3ww1klydUpvvarveKLquGvNwPQZoqUI6
Yv772fHrQ9S20LNmSgKjvWnkfYAuNakXoT46oT78w8zNahm4DxEooyX50lgPcGuAo14m2bfeOvr+
xsStnIzAFgPkPAv1YJv4i++bymrrimpTgnrYo2UyUCr5fQRakGd0ZoNGlgavdlW9aDw7jZZ4vb5s
H3cPErLGrE2LAhjq44tDbOI0s5nFWMIM863u9U9okPllDenGID+elRdmljgu26UK/T2CJaLxfusS
rErIFF0fybwJL69kmIDcEfLZ6BpHQu5ymSqD8BHCMSzJ1NfR8vfIeYBZZIhBohL/gyWkOxCrI6fy
QW49G/xBM/yeJZUlbz3Cs4g7JMopQsF6GjY6kJcorvl0mLGKLmr8eoC7YF7BM19Pg7QnljcNSd+J
bg9LItIbQp+EkXm3gTCnHXP1yK4egAEuQ+q32al0nR7VVlq9SAjx7nKzCMK+d9WuY64dppyPN9dn
ZGU/XvzGeW3OfqOtOqNuOR8SWuu7Kgffby3akwJXjm2077Lpd9ftra01OumQ4AEP0EwhemkP6T+f
o0g7JBkxu9DMtKNJ+A5Nifdjvck5NJ9cS8cCuxHy7bNsLohfL41R5rQ66fohMcxfSvwqtM+e9crl
owGC3Rb55JNeaTcORfac/Jysjfft2syeG5831tnMUlPTgpyRIRnaAUUzU3wjnnidKj2IVOseLb7V
R7oURvrjbx7EDpHrRWYJcsGXFqdq1pazhiGp9XaYy4/GkVgFhI9N5AiaiZW3fW2VD8wEO0RBnSwK
KKBTDjVYhLvH2VjptfMJqRXE2ro9pxYXu3okdVPzXI0JFeiMGHrtoeL1rynfwr2tedS5nUWsCAVm
pL50FB5bcm+wMtZqLSrrPBrbv+ST/8/8Ip5HqDIXkZY1JD+rez9NKZC5uZZ9B1nMEFZVmf+8vkNW
5w2VAWAsXTz1lwAylw9qcqUxJmNAHmUrj14/7Yoh3+COWiK9/4zGRzVgvvSBoVt26Qx0tPLatFBz
UVztAtGqXWoAi5SOmhW2iPrjDGCIKLP6+hNv62YnbU/FwLMY6CXonZCYBpiLWgQlDdP/EjY5/zgQ
FwGAgZwAZOmWVwLAw9Moi2pIWtCIoEYSWtlJM0/ceb8+2Su3G5BMeNmAFNrSkYe63DKDgxJ4wWGH
6+9T88ug7cbdthYjXFhYxAgSjdGlqBuAEqd9j94vD/LdvGgA3n2hBvpExBve7qFrquj6yFaOnwu7
i7OvaVChb1zYHfo3YmeRP4AD4zhUz2X69veWQHsxk9wirvt4pKdtGwzzQedU36DtkU8Jb38NeMOr
5+uG1hbrzNCyMY+ZqQ12TIa7yoQu9t2WTNTW5xe+EOhDXtopxjEBBmIHHFiIrXzXqjecD2HhDSh6
NI2lzZdCn0jc7V6Xolew2jfjmzLbGJ4SVUa5l97G1K0cKmgowHYKcHJ95P00nVSDonc+gIe3kTvW
2eNuZqe4yywop1xfpTVTIHtxZkgEhIaW5U20y9dBZyAzHQTVnZfbxzy9o87G5bplZDGPbSNMiHaL
IUlHBRWZ98H7VqAt6vpI1rbQ+UgWW8j1BrTm+4iNcv8mm1EW7tE2Xx3rkx3E/zdLs2uexQoErKVj
X2M4Ko8LL8JLe3CibLgvx41Tf83Hz4c0z+uZIW4pYGp1hZJ3Km/1zHn2Kuv79bGs3Megz/vv+s9/
PzMx1dAntjTMmou3UNZ+LywjMgHK22LnWB2K5yH/gRQ/DC7iC3MkXk5qbKWqlM4pcx09njTV7a6P
Zs0HkL5D4yKQyHM56HI0TYXGG7eY49W6CZ45RTWHVnoHNJblx2PRktPIFX2/bnRtCs+NLrw7F2U+
pS22kFHfAaGSWwBd3Gnt63UrK0NDn5GHLDUwKZCVXITiNK/8DPqOLClkp55MRaajXnf+jQ++qJj7
cnwqA7bV3bQWpHqIa4CAQMsp5nSxqbiOnSQNuIfSntzhG/XcW1qIHVSgInScHYjLYye/T/PyPk2n
mKqN987KwQE6dpQbwCaNy2rpNR0LAAwuR5oMVhuKzIbM2pu51bW7MrMwgn+4FW20Vy3GCE0GnTSk
oUluBKciA0Sup3dsgkBffer5Zogx++DimQMigT8gc/QBoN546aN2Icamykqa0KZ8cupUD82SQiC0
+uYMM7S9qoow4/Zrw2lI3TyaGlLur/vSymaccxDoQUDty/7QmMfrPKWyCQiK2eXXgHwpBNtqt5zj
+A+j/K+JZfsBHigghxo8klTGEXnV+1K6EOp5MVUZ9u74bNv/4ClQzJiXENw8ELW9nFWrRkdpZtsk
Kdr+m8umV86GF21C+HZ96lY2O/Yevo8wfAZiLFaPTY5J1eiSxChtvNLuG/aJjU9u8eW6mbUVQnYF
YS5QD8gYL45lHqA7yMsoSdKn0bn3t7SF10aBN94c/gFC8sHlZcsEVoJgtrSdILecfxs8wMI3TuOV
3QsgA8BzeFWiQ3KZUUG/eq9LwOKSpnZOgzZEikELqJo2zKy42sxpMkO0AIiByvDl0gNKXbWkznQU
06ZffW5/Scfg58j8u6bR0lAirxMa+FN0fYU+Wp3L1CgaAQjnfYRpFd4YyKmXeuKAFzlWTPkxMbXQ
zWzoQ1RZJFO0QhtyK/v20TFms0jAIydjAAU9YyTO7ut6UoJoba0nvRHbr9w4XB/Vn8m63LeX31/c
oHhY4v7u8X3QgdYhaIShRA8Z25hNdQItwF3V2Acmxh9m0X3Gi+YbpWrfa0jSGKqNtHpIY2U4+0n6
iWJaGOQm6MbsxzK1jqU/PfU8wF4xh/taER7rFnsFs/OnKcsiM+sPnc93hkleqrYHcIqjLS6bdiny
cCNw/BZz3yh46fHWLlBLH99a6h4r4USuZkXGaNxWnB9wc25kwJegE7xt0VQyc3sjNYiTcllXCVrX
L91KYML7vHpQlc9OohvM+3Yy+DHLTeMZsp8FD9FY0D0Etv5D00b6IrMqcEOXHVL3Xn0VOevrWCv8
6j5I3TZ2e/8H7SlypiOTG7vho4P8+Zkz072HSs0yraTZrPMACXXvpY9Om89ZfN1BwNn+4WR3UQIC
NBE5WfTSe/N1euaBHqlkLrvBuW99t4lI4e+cUn4emIosQ+wg4VKEBslikqKG2lp7dBmeHGqBOZK0
N+Cx/IZWh3CYRkCTafqkef7NZJfHtqU3+FzcQWxEr7oIdAgI3eQIfkbwIbV+xWI54QFO/exBH8fq
hHZC6MLU9i9T+rdZZ6LCbdJH1md3TR08kY5mt1NH71neIWtckJ3boW+kLA6lJdnvzCJAtKflEFMI
Uoe9B6LiNhWHqfff23IsASeaknxqRVgZw04z6ltzDj4Ki1ihyCGdywI13JACWmONsM2Q+7XYTZAU
j4uqik1P++33ZTShPccvWrTtdJC/1EjocVDPgMmoCCtZjPsU+WISpnn9ZfLdO96O74UTxKL1b+ye
PDjGcO+UZWxZ+fM45jdTqt/YY3CbgkC/KIcTiIrf0WN9k9vuEf1DoOhlsRpUXIl6b7jmfTMNx7Ij
n7yU3ignu1N5ve+Qm1Ljl64zYjE4O+5p91CWwbksgp0jegh/ymMnvU+Gmz7XOUfdOKB6XCn3LqM6
spBEfLNb/b2zRIx8aeI25o6IAA0uddJWIr9pNA7kuT/tzBye4Ju7vHC+Q/LqpGcji9qgzKJWBVk4
yTrfd0ZWoCWhSJRVIuMoyudiGmJrtL9rrePtbWgPxcDqg6blf0j70h5JdaTrX4QEmMV8hVxqy6qk
qqt6+YK6q7sxi8FsBvzr30M9r2YySZSoekZ3Zq5UEpG2w3Y44sQ5ffGDxG59VyXp3ukg6oZ8liPQ
/UPGTdbl1t6O+a3lcjR3gGAzQJsWwMg0+pkmrL7La8/YuJUOBInbbyjw3j7azljQxeLH0IIwzIns
FTzrwhYE7RmAymA/Q7Ju3kjIi9Lom0zaB0vzfhhl+ZXJlU3+US46P6adUxMfmYuTTYiXTN42Q2cf
dK/RHyPLjEF52JtfR60sxgA9ajibbLIx9F2EBPa4eZK1easnqb6t+V+i030BdlwNbMfDn6ratHCq
Q9k1qIqSynnkeo3+HWdTkFFuofmtNmCKV29ZajQPGRRlVu6cy2AEiU0bABWCsxaPjVlKOImYDmiE
MRwcRwTN8NhAXaoWLzRmK7N2eXKdG5o9oYCXtt2WKARt6qbU/qAyxj6f6Tg1AZjU+eHY2b3U8IQe
DglkE9IvotpV7aeTKecmZje0KNBzKKbpyvhWQW1S+6GvhYd0hrTEpQf3Qspcx4N9alqZzRTaVUQE
SLB9cGq3AE5a1XuTdi8FMJ0GI4GHliTiddlG6arfeUZi7kyh2k2ta+9mM24F6TZRxvg2huq4khJ8
Mp4zXY63UsueNaf41g31Bk1q/a0a8hwnbMwe0hbq1uPQVlvRoLsxU9XrAO3rW0dLgzrSvuuVCHtN
RxN4/8wVCbWxAPOb9ZD0fXYYTMmhxzY+O16xlZ21N3EBdML6FmX5D4+zr3nMbR89VkZg1DWCBm/4
WaTyh220D6YuDqNlbBIpDm4ubuNeBRnziE/BbTO2yQ8UbxDK2PZDguLebozjEh2c5kMLlumssb7o
o427rAosSQK9rncWk0h0ATvGpHGPrXmTpOrFyInt96n3gMTsy/Ur+fL9isUCEACKaUCBXmTfWU7R
xpRI52C3MsZlVglfdONzZybPpa75keOsvIEuQ98Jeo4anY0yHZrmZwmPbMxKLjNlHDxVgHGFMRrd
jcXQvvSZBz1S9BdjZ7GxPRTNWO6uD9aZPn5+8uGMdtBFjwTPAqaSmihfuF3UHxio2h4qUlevLm/5
bddWJJDILu3RU8deUdPUJjkP51cO4NUdAD6gHo11cgfRg3oSIKVv6N+1H+qkzSBYLXLLt12GJp+h
SoSPjrzkZSzyYZvF9q+yNuOXbixFFpiiiY9DqstnvPDtrZ3HIGlACUZ/MwXR35sIvIeWbHENYx+A
rVgBkQnWv++Rbrc7r3S9VxqZOIBGrUCareofXNVED1Yj5H1FWXLQtKTaIMXc3owGKIhlF7XgJDCS
+64ZwPZlZu6xkdH4JYqc/lUWAic24uA/htmgXxqeGSTol438ijkaB4W/EwdpJGswiQ5kD3botZzr
dA7MFgMHBPJCOLtB8DOvGmap1eOVTOWBNO232mTbypYBrcimwCnB7Wqn+ug5WeU1XnBAULxOD1cd
tCYXD0vauBpNzKQ/lADxdMnfMnll7W3OUEZEE0Rp/1zxuctR4okMf0NGEQ/aeSUR7xUqaTeOuDe2
Xfck+S0o0K21c/0yakApeOqAQYMrTt45SKxyZSViWoyHtArH4unz8ENAXmyIVFkQQsfumSUuekiI
t5WOa4N7PYd2saX5Rhd/1R3I3Xx+unBFoY0BRW3Aq2cXFLhYuTvEZDgYwws1d3C6wb3v1+BoC1ED
4HT/tTI7hOAVhuinveSSxIc24j4n39sp7W+/Xh/OQtRwZmg2cVoFutxShyG9/IsHBMgydf3r/2Zi
co2TaG4w6WBnJkxkXhAPh8YKtH6l9fXyksDyT0/YCfR+2YHaZlZktHyargbHGxQk2c+qDRogDZLP
h3NoTrJhB6lq84LeSRhDp9rSkIfMduXvhOtqn0Eo6ilJibkFDQvw9tdnb8ETpm4oVKDxdsJNOA39
ZPbysqytTjjyAJ5OtHdnNxaGVQC5EA1r0uMLswjwGHDbJlLStkGnn3JiSreVNXLcdAfZOOat6hK1
L4SofnPmDS+k1dPAHXr0i14f4MLJgN6RKVsHiBIO2dkASTRkXaXl8mBbdbWtR13fSXfUVtZtwc9t
YC+hfzq1dF5wHNuk7sDQKeTB6OvxWA1jhnxObGzHjqxBMz5wQ7N7AxXHST4cCTugyWbxZaYbMZp0
MnlgSqaPklulb4Aa56lzqubIhCLv2diqg+va8WOtlPYzZVkCQWGnB9yMF99bRZO7CLf2VkRMBUUL
DJqWd+mzJz08x0sjQiIJYi6kUMp3uG12QdzyfJtD/8IfcgaOjKEFA3lVVrtB5nTT1yp+wIXfBcJr
dR8XZ3/Dhua9FZYE2lHDnunKajsO5X7QB7w2pQDBMSlA+oh72h+dYVszcP31NEsQhQyxD7xfIFI7
3lmDjdpF7nq3CWlx8ipmbsxKs2+7AhI3TmrlX9FT/McYWvuPNygnaETbblvL6O5Mo4+2CWurfVpU
2ZNedOCV61Ar+QMUvHbIaWvmPjFS8Iw4ddOHbRr1xUqec8kt4BIgdHaAAb3IJwkem0pHd8nBavXo
0Jdl8yMDvcuD0ZbjSq5tIZpAWh0pNgDXXeRxZ36u6kgQJrP+0GhdsVOOTZ+ySEZPlQZpSDA1kW3U
lvmDa+bRHzxD2T+MdKKgBeMusBGoNp1v7qzJNCBv6/5AjfG97tDn7aTQlorzNcD5wily9uCdjbMz
ckbANTQcWOSjZ5fGGyrDMX2Sa1rWFycjgS8gYAHuFD0giNHOR5QPKZg7tTQLY10zIE/YPRt8BF1E
/tMC0Oz6IXXhJx+2bBOt0ngbXMBCacHcDtquWQh85QFY9C+JxTcuKX5fN3MxdzMzs2RBNtAR5Ldl
FtpO5LPYBGs1kpCxts0yEGl5u+vW1gY1O6dA2qINIIjNQuEYG4ZclGBo1HF+/C9WLpMG6Gvnecmz
UJP3FDyh9VO5xnxxfSBAxJ17Ajp7/78Jt74x+33z21y7hS9i8rOFQfx6bkHUvAZlDhYGUp8PAzO+
c1ohb2SHxIie3Lh/aUxzZd6W3RuFYXC4Idb8yFSf3MYOA8Iv9YYsrAG7hWhRuWMOesf311fn4vad
Bgaqg4nCHBHNPHAmxOk1WulZ6GnfsiMtv17//OIg0JmByAU0yLjhz+ctauzOK5nIQilMUJCgsyLW
7ZuhG/e0Lm7/N1uzNRqKlnJnbLLQJWgTv0GXG+jmK7WCpF7coicjmp2jFaNizDlG5EZeiqfosGlr
60EqegsqunsJTrqV+GhxCtEiTvAIhRLkHCXA8XwfddDChQy9zVnIxRjUrgaM+Mr9tOgJ0FCAwyHP
gvjlfKnQ4dg6ZsXzkA63RnKTf/b+mRwNnQ94ZAIWgEfa+efdzFFVzujkzj917ZmId5m+/YMDANCB
twDIii5IsCMhmi5PMIIW/Mf2bZr7kt+gcHfdyuI8QUkepA6IV1GIOh9IGZNcxtN6tDz+w1E0LDX7
/bqJxSUHRhyJSjqRc8w8WYsSL4G0aR5moJgG+ApRnuGztZfswpk2pUJBHT8hQyD3cz6QvDAjXeui
NDS66hajNf2xbWu/gixhM9CDW2hvY6rWeHwuwiB0hJ5ancZ+cqyVZZ47bhxnoWXLxzJK7nB4BJbd
vTSF+msO2k9NdLuS9StVi4UrAoha9C45aHdFdm022EIgdw2W4Syk9L4Wmd/E9w4EEq6v26IRx0Y3
AdIcU0h5PrZ4QODBqZmFFdkr9ah5j8na+3PB+yykplF8hvchazM7fkTb5YVAW3KY50ETgGjr+gjW
Pj/bpdDsEpkZ4fMq8cf4rlpTSl/6/v9lNw3AWcAWcD5DrWRjXliABrUEBdCgWMkDrH1+Fj91AjiM
wcHnY77N09fBXVNzWNiZFvhyJqkF5KMveh1jakaml1pJCNyRTyH/0pjsZgSEeqjUijMtmnKnqxmJ
DQvp7/OpSvggKhP8aKFrMb8q8Pg3/+p4eg2rAqlLBwGaIrAvENqiKDKLA6MsBfs+65Kws8uQ5M4N
KOaCDFxuviW0/6sr983bdUdb2irY2R+wgyl3M9uPKicS72eRhGaag0HdvO+b+rVH3/B1M0sOMYGZ
XAPBx6UugmGWglpJmoSqCmP1SD6/XaauWiCZJ1+4yCpIlZii6MwhNOsd/Z602+u/fk4Qg1VHVuvk
+7MDhdO+citNDSEe1Jlt74T1OICqr6a+we+k9yWuvymeBFAbuG54IchBGwuY1pDigmbJ/LHIgW3q
04z0IUd1y+7fc3LPtVv0Pot4JWhb8D1kbSeCPKCoLgmoXC5JocdxH6oy1Lr7MUUfh/oBsEM1ftWh
5Hx9XAteB2vgXsMJjWhqnpkh0OAcpUZkyD120FLn2BT2a9KuFbAXvA4+jRoJ3qZIas3v76Gyla3J
VuKQlmiEf/O6lSB0zcDsbPC81hwrVIJC9It15c5SK+u/ME9nA5jsn1zSDervtjV9n/JfsbYZdJDP
/L6+FAsLf2ZidgCkEUjcXHCWYghf9D7ZiLzFUfPo6PkW/KWi0FeGtODSZ/ZmcQe4K1lvO4PEQwcZ
LbNA2Xf08Qt2WXus6YqxaX7OMoBA3E46Wi5iDmBg56mJxOv6vDSEDNP6xd4b8svn5+7087NXVdfp
VsRdfH7MfQAW0nbjoTMeildsX/Fv120tuQLSwR/yQvi/+UEdezZvaFXKkIAZpYXAiXpDzmxlXy7c
ddT50GeaYI5A7577GzKEFqhIzC4ELkOWKDJaNjKBgDfSfn99OEsrg0cISDJxtV4qTWg0S1ERj7uQ
gZ8isd7Vyr228v35yosC8jlDnHdhe2yMTfZp1hg41snPJ7OJ6tEyk4FBsQuJfZuk92q4az6pejvd
OR4CdESvkJlEAXIWojXNAHbgOG/DxLjD3ZKTmxKs583Kil82JH+Y8RzQeUwdyXPk4Zjl3DC42YYU
Oei0H6Bx962IfoF9sM9fs9p/YzfS8d0j+6PRgIHf2Ajs+Oa6M1y6Hd5xSP5CYMakJnKj524nGg+g
eMXa0MJvyMFSzQAg+1mWn45KwZagT/wbBOhtHAznZvAbQJAaew22qwt2TeTYPsmyjjU7tzBzi8EU
JVRhYAEss2kLNYHN9Ym69OqJvI1AC8NEs/pF1Usr3KrUodcUJm+AFg3lz+ufvzxj8HnMzYcvXAYB
ZpXXUuhpi2DwxkqCEmLB8rP7Ho9OsCtPaNepIWieRZFpO0Y26kxHZ+9JQGzlWtr7YoomAx4emCAR
QwVtfk6KKNb13MqiY/4AUCbul09O0ezzM1etqoKP0sbn0URhdI2far9jeyUWWxvCfOd3CaAZURod
o46gFTvzQQt9fRRLFlB/wKafenwuVsEjTayRuPOO5fgTXNacrTEqXXgSpunUwBR1nAQuTum53PRa
7xjVpb6rG4CZ0E9lPQgAPVZma8kUTkkXjMsADGPxz00VRBvA3FN6ICc4GABmVkYe9ONK2mJpwqBs
gIolSFFwUs2WfUR5xooroR0TF7xnII8p7/NCW2OmWRoK0rPQMLExkgt2HckhZd0PVRzSbggtL753
e7IHHe/m+uovmZkK2eAIgTEcWeczlnhIo/cJyPyRDDx6sn9MddDYr4pWXZzq8AEYsG3Ukgk6q6af
ceIDwhSuhsbW6Eggd06LHmzoySMQFYAsrpE3TTviLM6DKTSOocoLbUewbs/cLa9zK5KZF4cFSG1f
ci//W0rggaoBKj6UTe1jkUf/YQ+d2py91okyRt5LxsKN1byT5v36Gi05HBK0OIuBf3cveIitvhqB
yKrjMB0HuvWk62xUXETb61aWlghis7gTPfRMXsidAFM5Zi3K36Fn/m3Gn6P4IfQfQ/Hr01aQQkWb
FjYokAXzbqZ8tLu0pTkLqYsKfBS0relbdrlp07VczbTOMz84szTN6onLASmRDbqesrBBg7Fb81CC
FttHI+2vwk52qem+cGH+/ofRmSjkImtjXgJD+iR1zDGC740mgHFIdoP/TB8PiZusONxlm+SUOT2x
NPNyQZXRmLUbh+2QmRvigYY3JY7YNpZmvySa2fvNiI4AMEOpIIVq5H0pFGRA8opA+CyB1uo/DNyG
wC9ayCl2wuwYAc99wZkOurTSs4OqeNZU4RPrO/H+XrezcFxBlBakkxYowVA0n12HEKwwjcFu4xAN
A3FAEm7sTa8DyF+gveG6qWnPXvjPianZDLdQ3/akGONQjfKojWMBxckcnVZt5Oc1NGG45yvVg1lt
jfh00XGhUQo8GQ7Li3ZNnorR7C1NA58+j32ViL/IoU/JzSfQ0L9BmusHjepPE4dO/gQ8NEr3QBpd
NGiCQB4985aIQ7Sc7HkvtmAi2kQu//whAzNIn+F9ASKaOXxTlIRblcPiMB9GFITGxnjMgDvddtU4
BhlP6EqIubSIU5kTFQYTcaA588vSAI2Og2YUHDdec8fxCN05aDB+lN1Bg5ZGtS0MgYphNcib696z
5Ki4gCa48sSHOZccLKQqTJYbcUiKaM9AVeJXYGmCqvHKhC7bQQ7gwwwkJs5PuYhmPYJonDimvUPx
pu5+tWtDWbgYMJD/mpj+fnKQTnBcx8piFlY1wETxe+MePPsh875cn7GFW+7MzGxrt8hBaIPQsFRM
awCZyn4CmLNybC7OFqAiHytikzn3RE71Ht1CFKcmbbfKPdTK3vJuDdazOJITK7MMcYXGqG40sCak
BK4tU3V+W1Br7chdG8vMtdFEroQcI4wl9jJ/JOCWLvFkBk3WiisvDwf6zDjdUeqeJ2gtKWMkT6f1
H7yw15E7A0/I9bVfGgvEStDdZzoQPJhHoRUKqwo0ONGRIlL0jabgW9aPT+4AUdvrlpYGAzgqKurT
WC4wz44rAHp3CzwJY/bCLQcNHebKmbM4GEDKwBmOquBFSM06nDdaW0ZHXo/eprHG3z0Z43sPUIgV
eMDSzsTjYGJLw+vtAoaQRZVVmIJFx6bJIcpj1vYePW4BYlEROPkqn+HSwBBJAPVKUYO4AHTXQw4Z
5xqHdz3sWl75jgM1kk/Xa6f07ImRaQFPThtlaS0Zq+mG8PzMeczqQyZXbvalcUA4a2IimCpE80uI
DCUUwIwEZ2a0dX5G2c7+c93J1gzMQocRLy0gG+M47LLCDHiEJiZrcAbf7gq6/d9MzV4eAOVmdlRi
LDoOSzffW/Yfvbz9BxvYl9AiAJHKhaor7wvbLCsEJAy3NTpTm7D5hzTHFO/8x8TsjhGS2FwJRztG
ng51K+Sb4pXyzNJeObUwu16cuDbMeMAgVLYbegP6fWJbREVAhpXjcinkODU0W3xFlTLNCovPoaKV
3Qn56OV3DfEt6ic5/vmHAw39KAgBQdRGAG8+3y8FoSg+axgX98sKDFHDWoZg6cScENMIMXCmgRjz
3IAZabWqxgYGyt+GeF+rBi/tFZz6YJGf8k8XEWHf2dLCNYzMgNA2kTIf8/a1hET8dReeJn0ezKPh
E6VbJJbxTJkNosOKt0lSIKYuBJd+lOvOPnZJE4yj1sAf2LjPE9nXvugp/yynEk404E9wZiIOnXRU
zifQzvS8NZxcO1poN1RG6dvpisstziFe7uDeNoFkngebWYqbrq8z7Shch4dQu47u8rQkN7yJ8pWz
c2kbgZAf8EeoFU+KZueDcdpEFFIo7WgP9qbXv1lIqCTZd+zflRVbdDuKDA5wFh6492Yr1rSlolUK
tyNs60LcdQ09vPb92b5ppGI1j1vt6MUPEPVwq9frHrf2/dl5Q4SNGMCdtk0PBS4wydPv1w0Yiz59
MkOzg6aOGq9tJgsJDQzuG4mfvmnvaFN9Nz7+KzVIdfn1XyJ8NIiAD2NNv3bR7dBxQxAKgEX5Aylx
clWDXWIk6LzEod1tWR6g98VYw5MvmEDykwKNgPQhettnCV3I6gygHWD0OHbmRoNgJ5R5nsr+9/Wp
nNZidjqcWZkF7H2B+tpoae6xZOSNe3xXDvEx8VDziHn/B/xJK769aA9xBzCXE9XwvF2/0t2oraHa
dIwgNep15Y0tM79ArioYanJrtqi0Xh/ggjPiAWyjeKiDrQj/Od+1NjoZCsZqenTT/ufo8Y0+Vl+v
m1haKQBGgONDYA1E3+yUixsr6cAW7B5b9WiyFzI+2e0K+npp2qa+TwTVAKZcoK8gLQ/imyL1jo5W
pn6RG48aawa/s/hX20UHMLHSlcjno9o494xTk9PEnrh4Y5IqghSbB9H0fg+yGYj6llvG6WMPEKbB
4p2W0j1L27dONk+6Gra9yJ+dEb3lZn5rs/p2FGuvy0uOSBBEokwDdmQIiV+SPTQDU8SL8b6APtSL
0JKw59k2lfyujdRmkOKPEePHVQU0GRlZ2SkLZw7IhxA3gxsNwfP8phlgKgLCwjuSLm9BfhO1oMrJ
xZ7VsQBHW1U+CJb+SnNvjYXoEnY1jRpfNhElUHBlzy4eSA2BDjbSvKNRdNaDQhLzZmi4fkjQ2PQg
Kzvdl0PGHrp6EM98qPVtC6TbrcHbP9f9/LJIPv0QilQS0krg+Z0DSgfHTdqkRtXPSYgNsr8GHHEg
kX9AI7hxk7gZlBaqPPOdPuqe6obVD0UNvryiqq0vEEQpN3GZFkEkhmqPd1A8+KzWqgPIKrNv13/o
4lKd/M7ZhuwMQUifRN4R6A4WMIjn+CVC7Nd27KNAtA7b941ubzxWrq3V0lFwOkOzTWNUPTIGXRId
IaW9oewud8YNlBqvD28hEDlbhulHnOzMgfWRkw8wwsH1AN4XuitloNyVV8P0Uy/2PxxrAgogjJvn
PjLX7rSexd6xJtbOk/VuSNZSosuz9R8Tc3RKD+BLgdiXHnuVvXEAvNGXGPb9agi8ZAeCM8h9QJoH
BdnZhBU91RynZd5Rxs9xg6TnYO3i7s/1VVmaL5z/hGC2UAiYl3dSs7NyZeC8LFIUANBcPHjP1y0s
rfuphZlzOarRzSiDhVKB5u+mcn7xd0JW7sulveMQ8NCDLxFsJHNKK9crCrvOPXrUSzeoSwA4QKvT
/VYmRNhZGbjJ9vqgFtcGqSI0MUFozphzeqeeFUVpr3vHHGIrWyeXAsFO7d0yNBysvBc/lmDu0sDD
/8eWeb5xOLJTojZ67zhY9I/NwGjROAfLGw8lhwg8s8O+SX46ken3pX7TgB9qlOZxgFDx9SEvriM4
h4HHdKbWkOnvJ/tXQmx3bMYRnoJu39q3wFbyntVop0dnEn9XaDFducvXDM5ioDStLeXZCo7zqkgO
afWfie5XN9dH9RHmXMwuGLlRbnDgO3M6niIGu0eaZN6x6dz+Fl0cb0qYBrj5hvwgs7zc6k02burK
sV+dKCe3OVdoWlS5CCQ6FY4Jk8VGJRTSw4p3e0tU9a4hnQzswusDDwjQXZ+xaFPKyoQSMaCmqD+w
lUEsxVkIL5Aex2PZuOBbS1ttbGvlRseMpHvi3Nj2ja2jDRy9Gbn8h2P81Na0E0/cwOiTCh0CHjA0
pSueqZFHN90Ys9+UlW0gZBWt7OylAwrCW0j+4f2KnqRZGKGV0kgTk0fHod8ZP0T2eWzIB4IRL30A
EOx5fGRrIi+glopEdnbvHI3seN29lsq+YOIHgmLC6aNSP3sP0WYwpOBWdNSSeHxxyjZ7GF2aoqvO
tQJSs59Sgf9PG233SN2C/ho1HTRqXDdk6PLU/ZfJBEUwFG6Qusdb5nzx2jgqVDWl7Qnb6HYArfvr
w106hhHso0MNRKuAos5CGEXLtLUrhsSjVv6oov6tEMW2LQe/cdG5WHPxF0yI/2ITtWX0ZKPidAFH
d6VZtKKFQ/baA6s3nfVVVDzQJN6FPyudrWTwlw5+KKdPtCXI27jz961AlSN2I2w1oo7KfE+RKECv
0sqQFn3+xMjsxNdLR0sam0ZHvc38knF/LWe/ZACUVNhSyApN0KtzPyjSviUdSJiO49Ygt7RcmaS1
z09/PzkjOqMTiImwqdhA/tLEfUJFbXPd05bW4XQE099PTFR9n0Y8honRePLAFt7vrW5l766NYnbh
uV7GlDAwSc2jLl9qtvL5tRHMrre4I0nqujEONl2/i5vohyr0R6jBrCQz18zMzmsWFY0N1qfomBT7
iGyiLoAO4z+sBU4UVGgM4ADn5RmvKUgRS9c7jnRDtRtJUUNbiQUW1+LExGwUBXoq26aBCYZXEAFK
ZmUIS7EGSku4YDywq6HEdO5OPHPSYZASh4i+j2Jk/3e1+lGtkeYtWoFIPLongbtBJHVuhaTcK1y9
wmXQBeyJW37zwtcU7Bbf3cBS/sfI7MLscBZKoASjY10Uj8wSIHIiB5AbvyB2bv2KIsbvFP/TqWET
d02QC+P5ujssRSMnP2B+yQxTIrWt8QN4gaRPXN0Phf3QF+Qlj4cNenX/oa4OCgvQZaBEDHbIOaIi
zZohc0DFfQTrL3riNbDMaivuseh+BMQjMITsnzf9/eS0yTy0b5QxnuY1c3e5jX4kZ00AcunqRO8g
EkS4XgAjmnmgMhOAKfBCO9aJkyMjkZLXifp7p7utcRd3oHtDtjDdyArtt9fXa3KIeQSMmcOdhvcT
OG9mlknuppxRnHOFTL+h6hZaKdmIAd1jWbmF2rIZaK7yiyZdOZkWdwOI4cB/CilEQL7PJ7UBzyZx
O4XKfjbKm1wjCBMQV+8HR9NB59jUu+vjXLSHRrxJZRMMLnP5dANsqAglkYZLIL+Q/GXeYx5/qcXr
dStL3g92JFRBECFMGuTno3IRruZ5b9IjUG9bA6FPXz715WtaIeFvrASvK7bmmQiJ9HuqpQRp6e5X
Hr/2pi+QKYKQa199vz6qpQ1wMqq5d5qx3juyhyVpbgwarEl+rX3ePJ+0rK8drcWz/pjSn3317dMd
psgAQk4AjzvcUIgQZ+euluXIUkYOMjaZH2e+XGOxX/75//3+bM0l2B2VqeH7RvEtKrifpGvFr6Vb
/L8jQDrofIJig8Z9Lyg9OuUjcfZ2tNWj2+tLvHhxnNqYnQP14BK8I6ccih7flpmxMZP2Ds+m16bU
nqnX3xsWfzYy6WzK1vymF2tUCtMszc+hU/szJ6gbgrIrbs4jpHMgUPvK1d6rXV/KR1Exn/VhP/6+
PuSPa/3CJDLy6MlDehgZsPNpjXAaJG2R06OmV4ncixqtc3GpkueujqzfHp6dT0YqkRwWoCA+tO6o
9k0dpQeTZZ0fC/ZNjn12g4aA6slBHnsrRaqeOIPOCcvZ1xKEsnutdGpkavphpR9q4TRDjRXy4BMV
JG6MmU9z2lnOGFl4NvZIePHHbYn/cdfwdwuejcLx1KExNTBf5NX0MSWGZIZ7hNJl/I3mKwWiBbdG
Vh61SA9Dwe6cxcCqdkYQs6BaKGLxYifJz9HWG7/R+c31hV4YBlgt/7vO099P7u+6KdGRp1J6tEHN
L/xuTVN18SBG6zpyN+iJRAbm/Puy8uoqduPp+9UOtcl9HxFflXuLlxuQXP1DNAJO3f9Ymy09ntCA
eMiMHjN+l2a3YLX6h9kCO4YxNf1jXaZVO5ktVpLKkHlBj5VHbqO6eZWEvl83seC9KBH/18T09xMT
DQQs68pN6NGC9IaevyOxFVjRfTt8uW5nwcEgQwAHBpAE3AXzwm3cpSWzKwwFxeI0yB1b29dpMWyF
p+Ur5+eiD6CRAEqdcAC0s5wPKSW4BlA4okdTNAfR8R2SIXfQ0XlWY34rh09zTk13GgXb3IRRsSC3
cG4u1jSSM5A1ItN7W6erQtiLWWew2UIkwkE1/4LR1tZq3U7aGvFoN2Z/RpRrg9LlXu4Peq/tjdYz
7xTKIAoAYzhghW7XmyIDzsSvUmP0WSM0HyQ/+krEs7ieQANPFHyTfsVsI+da2TjSQUVZmdYuaoed
Iza19nzdaRZPCw/0gqAtntoQZxeh5sZpkza5d3Rp5z+2Yk0gaOH7uMEnkAzSVmianYUL3GplpdcI
pvQfKTA/a7wDSxc5aK5AFYxz1UZaeOYaoizMxlAergZjeLKhZ0rAs+fk6YYm2hcGCXDf5ZC6cOVz
VZCHUq0RKywVvAHdAuMqykqmC5Kdc980wW5ZidIBPMOhvksOJE+Dpn3J+AR7lrvKbgNWuIHuhtcX
buFUObM7iyCUOcRCg7T9sXTHX145fhMGvRksUD+1k4DEdWOXsi8WmgVwOUIXbBIcnR+TIot5bORu
EUbAFWwoT9hejAm2SeKMmj9EI3r9s5Juq07/nsqM44BzQp2l+WbCtPtGUWi3VWOwDS/oCxwl25Au
htwtV+29jLtXF+wHK795IR19/ptn565h8sY2uF2EwhL7otO+ei27jyrjK1Q2djWRQVGPvmcNN5Tb
D2lUIlVgrpyTl95//hNmdyXEljLIN2DadPVd0+4I2oKuL8yagdn1aEs26GwaY/dmo1U8W/n85RGE
34+agY42bvzbvGKKtlzeCmhphxN601YHwZ872PmHMZwYmcZ4cj/WKc3bRIeRlAejE7Bxc/37a4OY
XVZJKcomnwZhUYjPbNDaY6Yr83R5H57P08zVym6kFCXSIuT9j7S7tT6ahh4sVu5Mbe39uHBbnRub
ORUYo3Fb1gTjGX802n1kCxQ33ooB6jtAp3pPul3uGuuv1N0dVKnSeHd9Oi8PnnPzM5eDrpOV6xHM
9zbOu5s8BcngRvUrafVFK4iXcfOjUoUSxLlTgA0lqvKeFqFC76AZGGKPV4jtbq+PZdE1CIIKUFeg
jDOPyQHZiU3IxhRhw7emsfOqXdms3OKLO/TExGy6lCqp1VGnCJn7msnvnrvy/aWJAvoQQtPQP0Oo
MLtgWSaaihlNGdrJkzXsSaAGhH0rLTBL/g0eChS7AJyAJtBsNTwGPTkwc+EopU9S3UdoIE3LN6SU
BslXttI0H+fPVAOhGMIelGzQXD5fEqszSWFlXhm6g+fHZQwuoS9xf9eM72V7w+2VR9nHL78wh1gZ
6l2QEb3o2axUkqnYgjfnUSuBixKmDFLgK27w2/AyH3QFVZwug+p9wXYDgRA1+ul6NCEOjh9pWn7j
aRRUiymuFNpzducAe7bLbJoHeALmgcYEyNg6iLV8acAo+GI4Kt6mqeeCfQedqHpTfbHTKttaTfvL
HvPuCwin3C+Fg+xnARr828GAom5iN1CdqUpabrrY69/rJG2DArn1/ehE6EZrZenXQhVfuNk3a/SL
l/4L4Dv6ZoGrwz68EHxDnmKMx7rTj8XwFvHvPF6Df17uwXMDs+O/TAwqVAIDdNwj8bZJtAClwE/f
AZMRXGSoT6ODa46LM2nKldN6+nG0CjAStYHSnq1mxcjlVkRC2ZwyrohD0dFJzs8soPKc1tS6KsSq
BASSc8Vr471GVrmyRS6XBMCHKR0C4iMoE81fX7rZMqnBCcKSBtwJRrny/csVOf/+NM6TC1kJt4Xa
G75vQq6I7rxh6/0/0r60OW4c2favdPR3zuVO8MWdiXgka5FKCyUvkv2F4UXmAhLcN/z6d+DpO65C
sYuvfCdmusMjC0kAiUQi8+RJdjV0TWA3RCtMJGRFXPxUxGRljCpulD4lnRO0nesl5YpdXJqEaOCN
LB3OtiWjigu7UhOzZulTTQ5olMZYQIuVsNSaCMm0D7FCUQZfpE9D7+ulT61NfH14AjfT0Swk6z47
TO2MBLOw0dCm2BTVisouqdLR+D87Xx1tdZkChVvaOegp8x9xUXjuGl3fyhrJ9/jkzHbjxpjAnL7Y
1Y+haXx1jSRmTYb0FCJ1heL/HDL62ldRK2Pcmms+5ALWWmwEjhzSHSbia+IbjhZqzuakUmoleXKA
SFW1yp8o4H33Gbvpow+FgcaMwMa7n/vkrbe/K+4bS/dJv6VNu73WYzn9DulsusbQRkyLkieuB72+
JUlgX1+BiFtXBFxctB8RbHSnU1WiYZyrDhSYBCBtezdE75psd/0sjkVIx99phsGhNEnxrkCsFc2q
9mgpcVnEgjE+mYW0YVGCtidKAxGp86oVG4Xtndq3rZWJLJ2f44lI24HbQIuVIsZaRZt23Nfqb2w3
nBL4pri0ztutpqKbbkyN5KlUb+psU7Fdq20uL9TiFI5ESHthZKQb2lyHZiNjznyyRnmzOL4D7xR+
I3FUU1KnVtFo3aV28hTbHpKd7dobdXGjj8aXvt81qr4cEozfuw9x4WXsgYCKOP2djTiSIqkT68HL
0kRWghblWz07UFh8cnVEB+fuSISkS+Pc2U1TONiIV2L5hPhudsvGFSHiwjj1d0+FSI/HkeSMdwyr
NSZsW6O3C0XwklhfenPTO0+2Gubl82/o19G0pFvSQvODBLG75Gmat5GzydZM85p+SVfkYAD1Y09i
fMMnRmjTlVt+ZXyZjE9JmQtYF8YHnrV9y9eYgNaGl55WRpc5TZNhQ7ju1a/21//V4lvS1ajTziCw
tclT192i/9ywFn9aPHyCJA81LwJSLKlTN7bEmY05eUL1qAVulvQh7T1mvPzGLI6kSCqEClhn1BtY
QUp8q9hHbnB5fHF4zw7F0fiSCrWgEyhjRwUbE78Zwqy4mday5ivrJPtZfalHZjtiBqN6SzhKr5GY
f6ui16vngTJetOdGqFa415Iu1R1FVRTahz91JSoo/Ar4km4FyLKgrsAFIdSNBgCw5UTainnoUrNK
eqBe0VfRdb7X6rRiaReWCghiMAZheGSWZFwtmGpViseDAEEbwUwPbvbOGfdFX684COJLpU0/kSNm
euTRaYZCBibQyrnyGdzMvuI+6W4Z2G4KbvbP6F5+eW/ESbgkTrpAdBJPuhtDnGq8FlkYJbu5+ETN
O3Tgvvr5hpKFn/x/iGucNxyM6rrgM43U0LL36HjpsIeuXzkw51ogRCBshpjAQtDJjvFqQLsvLQSD
hBObmy5Z8xBXJMiAKU7yrC1+Skg/ubY/roXlzo88Ko3g9aAYFEB1YKml3e+aVGFoWg+KFXvbU+u5
KuY9APi7a3cdYpD3EmyxgvVROpHoeKZyTjsN2SG2j4pupzTVdy2qN+NsP9Ztv3J2FmdFUGOPfl0C
xiDNilcgrpoB/QrRevzWSiOPMNVT1W+XJ3V+chBMQYIZPJPY/7O3EBAgKDxM4Cs0yXTI6vG5dZoc
ETL+bUTzcPSYe0eS68OckKmLogIQ4uIfkheZJIPbZGOuhmpRJR6nBSqFne9GPe4bg17dYRC1F8fR
IkkYNYzGQjJdC932puOP8JAuL+CSch+NL+cMM2YrwALihCLB67HAQfXjbwiwBfUOCjLO4YaWPVha
ishaSM13afotR+bjsoAlRQN4U8fhBws/uFdOjw8ISGujBXFxmKSp7ZEosXeAANco/THsFZ1eXCwR
fEYvOuRXZRcD6PdKGxRshmm3aM0++9ZaQd2aBOlOQ684PeY1gT6r1bskK99ZWr4WRv2JuDy1/9Ap
10I6H5ToQGRKK2ao6MsN3B9WzM5iz8xwxSTqXV23H5TE8ByNm37ctG8lryt0i07BZV3uo0rz2kzx
7LraXN6/80sWtXoaYEI6ARRclUt19LQf1H5C7Zxl+PVHRQP3eFjz39g5IBDhjYAN/pwlVp1nBx2b
LS3MjKTYo6kryOAr0FlcnsrS7oEtDRhzPDJAAyPBBak7xoPaqlqYgu4pfo87/X8pQLLhpIqGQdTf
gp/gLp0Ov3NWj79fPz1KjWnFKC3kWsgjb0yCtYZqa8sj6V3NB2soVQyvOPuhuinVFd98UZPAaguK
XvAvGTKiuq8mRove1MLK9NGZs3UfXe1Ovz7OAn09kiItUlQXrqozAxa5zkBnnQY/LivRAlgAGBIw
M8OzFNwFZ2k0xcrg1KRqmIKvQXvHbLpLrDDRH/S0vGt451ldFAz5BJ7Nx2GtG/HSHgFxiG7aOpgj
gA88VYGy41WT1ISHhLAgjVmwvzy7c99T9NJG0Zjop60jz3k6fkzLsso1zkM6AQTqgc6k8S2F9h8n
eEDbQVfZjWXMw4rHu6QZMNea8EJRqyBDf1im9S3Ko9RwZG6MriM5v7dapNfKDshEZBP7lSTlkjxk
ikVXIrAwIL12OkswBCdGE7e4VTV7V3Rk37Kb3N5m0cpqLu3WsRxJF+dZLaxyrsW8oldOm31Tzh+v
3zCCFA82C9CsMw+rRodo7mozD6O53FlJdm+paHVrDtN9rltouJ1fH0TDkh0JFGt79BjKEy1LiAqB
rH21htvSroNqfj+gJeLliS2tHVo4WKKfraAuka2RrkT1COx6qAO10Lu+ytcaXixKAFLbFNABYAbF
z49mYvC5QkZxRiArrTwL5B/a9ekxODZo6I3HL/odndEupFWaxmgei/0Hk2FkhGiG6mX06+WFWnCw
joXIt9qcd42TJRBSjtrkwQnfVIUDBIS+Vuq+LAguNUwDClll8vPMniJaiPyu2+1b5XvUHZrx/eW5
LGwJbmbRy1z8F6Txp1tCQZ2bOgo1wsJ8jd23/PogFMErDhygeM2hwkY++KXW8UZRdB5m5X3Tvg71
jiaWX8zPl6exsFJwl3R4oUBX47qTdHeoa62cFYWHaevR7tF+rayryyQxEbAvgkEHhGxwnE4Xqm1i
a0YwiocG8PVpMd53U7SpmzXylaWJAOmOS06QvuFSOBVTaY1JZoK7jiv3Km99h2d+U63kXxc2HZBn
IMeQAwElkvzALifGDfQlhwkrH9T5IX+7fjOAucTjAzqFSnlpqWzFBekvyXDMq2QLhHhYVO4HHqkr
tn5xqX4S9QNWbUHY6VLNo6OQqR+hWoO+m5VhS6vuNU3oSjp8yf0AlRzQ1ODBwlmU4wROQ2hjsxj2
13XRBVtX0Jc6T28AC9nSFqWMXZbsWazd2BUHZU/5rdHRbK/P4neXV3XBURCMdnARUP4nCkRPpzvZ
yQwMUMbDfJi2Y548KFbxsc/sFyNCMwlnfr0sbgG9i9pQ9CvE0wisSURucQ5WCTXKh46H1pjpW1Qg
Z9/7xh32Kdy9IAHx9WZ2AQBDlVz+2vRoLVBGJngQAc7+HRsiesDiyYw+kwhtnc48bkijogMbD2O0
TW3QVhBM+SBYo76TrRzyBcSwIKIHXaUKxkoA9YXOHd1Qs1UkdZtbPNTtsr9PYvpClQl9Rzjtk11u
l+UD6gPtW7UxW79DJVfQK85vPHlx8PGkBm4MZaSyLQO7R+UUvcbDqU02BqnQXnOtc+eCO3YiQrqI
2Zgx1hqgDkBIwLMnsLgoQRNTP4vXEJFLpkY8P1AVi7aAwCmfLmjC3SlCF3keuoYPzqr8elpmMIoB
4v3zYABkLukGHTkiYXyeURg0xChbX/GTxfUnRQZwAOD1o+cEOibJAW83wxt50NM51PIKsLPPaa5u
au1dEcf+FD+DHOPyoVvaF1wzYp3QvxuwvdPV0rmTuCxq5vCgOy9bX4lfrh8f/cBQSyCSfqAUPR2/
r00kGGk3h90+7gI7eQBtappsLwtZ2HJRVY4bRvCtnVGN4BE3OfUwWyFanUfvs+bD7wyPsymuevhh
8hqZcW8rtLNCVnxmaJyGnMBlAQt7ju//JUD8/MgGMKNVmpxBAEzBrtFB7RoNgUve69awmeLaH/Q4
uCxxccVQhQTKEiLydfqpxISScVbT3ELQdpPGu2Llul+4KBGjA++LhnmhjkpasW4cGtai5X2IFrcp
zskTy35jAscSpCWjQzXYrdU6IePfKbJBqeGsbMraHKTbr09jvcUknLCPNpq2UZugXTkbyxIAb3VA
Uw5Mpdiko203IsMqRfVhmLS3CM2W9E6P/Mv7vHC8sRG/RIhPOBKhsFoV1FVYJuBnC0VYQ5N+Zh8u
S1nSpmMp4iuOpFg50XnDMZFU3YPYW1+DWwh1kWwiGGdQ1wMeUvj1pjS+a5cMsNbcCa3ki13ekmlX
pV/MTw2/HgCHdAnSFQhUiHyGHJYFX6NbEAZmUJ5/apU3t7o+KHEyvrTjVd1rNuytE0Zk8Ed10wKt
iXLbal7Byy8v2K95SNuOen89HQbMY9R2g7mPksCk2+ir228ub/yieokyJ8MWfRjlUBIKHZUZAR87
VKyvueK35JGafvY72nUkRLJVddTrzCSRDU4g8pIU+t6J+i+X5yHW41zBfs1Desxls66mxqjYIZ5h
n+qBbmM2zChkWiNcXzoouA3Bf24BGIzK/NODMpVxTrDnqLouvbkO4ii4eh6u2AfRIw8epfxAqbmb
atM8gM7L3VnFTf8dtYmXJSzMAPk2JOJF5g1daiTvRzfboRsN2wp7MMV/S69nFyTwuUGjjP+BRELG
+9u16rJ2sHATVkDeZ7UPUlJjeH/tHFxIwM0HW4I+cvIc7BGOkDllethO/mx47nBzefxzbUL4Gcyr
oDRB2cIZ8ILbVlyCcRVpFFTeAruwKXW6ixP76kMOMbYjqh01eLpyEpSgEKBsNEUP5wkAD2VrO0+F
dtfRna6unMDzY34qSSjFkX1POlulZQNJyvTOrW8LIME1oDXz60EYp3LEwh7JqexMKUowVoSaPfqm
8djXuVd14WSwoGnuuuthOChgQUIebjb4084I9ojbmHFOHT0EGRW0IPGs+H5wNE/nz5cV4vzQnAiS
QyzlXKGdjxAUEX0z9Z8bIO0uSzg3+MDfgCxVEOgA8iOr9JjYDHW3tRVW6IXFTYrmX9n4teroNh3o
V52Pr5flLcwIwCKEbsUrRWA/TndKqeNo6LVpCp3R+Z7bMDVOdjXSTtiYnwSIgIqePYw1ozTbLDen
MLOek62ZrOzJwiFFlb9oDYDQLV7gkq51VVvpSYzhnRfa3zXJPbgufmONjiRIXovl9MVURMYURpR6
ffduXnPuljZBsBfBzuNfsGenm6AmxEkNnc1hls6CJtkbYuN6U4aMzS8RkhNcxMSeUO05hyho9zse
jIgP5uOKk7oQ+EHoAWQYKAqHu3vW/DYuZ0MfemjT0N4Ykc8Mj9U7O97Fio/jaM2b3g7stSTHwuoh
vwaufuDKBE+COFJHxiYemoI2XYdQtz76pO1Rm3z94kECAulIeyPEIx+SyETPuN4oUSwVfyXoFz7V
wUB3l5VsIX4EpiUEb0FVIOKfRD+dRp4bUd4PyNVU1f1szVuKGjCV2aCWuIn7+7i8zYfipiqvdmQh
FfkOhO9FnxA5notAL0kmHUH2FqRqCR++jbW5UZn5Ge1mViJkCwcVy4cMDuhSYK5lkjM9tQpN7UsE
Xd09G95GQaX/8fIiLqnCsQjppGa0QvFOXyPe2ikButTdty1d0YVFEchxIUoByl0E2k63qVYKraZK
ithmNsTeUHYPujquyBDn/dSLxaaAuwHNzxA3htKdykjYaPCpxTSU0d2CsOKxqIlvF8PnvI6CSMsH
L23rFTO6OC8kDxAWQT3M2dGlSoZnPsPuGF3sWYhQfr+8NQu7D2VC4MiAd46nhGTjQKMwpHYVzWGZ
3qs19Sa0UxjS668a0F1gcLi1guhOEjJGE6FtjJBezpUgQ8fMYu2htLBMJxKkrZlbrmSDBgnYEfKp
XyuTFb8u7TzQhIJ7FiEd9CyWFLhC/Y7egHwwBOXLbVmkppeheQ/r5oc60x9IXNse1UwvddcCPUvz
QnkjYqEohRJt6k5Vrp7A65z0rIcLNfroXuujHedlBRCffjY1PCiAzlXBECiHkozIns1+TvpQ6UbP
au9mZTeNnuGuiFm6gwz0poMJhbOBylDpaVaq4EPWFMgxqvGmL7cqqMZVZd90tzbhe61LAsrYLiYc
FZArZceLU4TfhosW63gWUUa+iiuxQfuQpR8UTv28v517INvy68FRwJQcCZLuitnoRMA870NuG5lP
Sy/L67XUyZJGgD8J/4FHeg6dQXoodbIqH9Hs4EWhgLKtnNWlxYLLifZhcHmAopUMaa73oDqhSPHV
Bdl2sKVab98YMQl4vmLaFnxqIM6RBDIFzdhZq6o4Vq2xKNgQju0zj8cNrb7ECpIXUbxNq0+XtXzJ
zOERAgAtXr8CR3B6jkyzsE3WQfv0xNnbU1f6RVZ+ByP2iruwcEUgdfFLjqQBvB20sTezPkx/2HF7
33wzPndjeV9/W3HplrQAgTp0ogCvJpx3yaJ2ZVbkRjV1IR2CzjPrldO6tFyoFwYDDW479CuTcjwj
TYuBtW0f9nMeTii4i+rm2SFr2PmlWQDVATVTYXsQtzndFRtABX0sbJwXmgRvsbZWh75kthHURGsy
KDMSrPKul2kOVvmoD1UWltkPc3iBA6/1dxUKvrLPzlqHqqWjA1VGnhzhTfeslJMoRsPyHHYmQk8N
lnxqqm8FR+J4LVywwEkCLuEjQWJdj1xrF51Xid4KQcWD0WaByaY7zqO9YVcfaqP31Lh7NGm5Bc07
8838exbbATZ5RQcX0uj4DNH9R7CRwoeQLqdWRevxTsXlxPT63uq6+zFlyOKCYtWywSrQBV1RvKgq
vWsH5nqAje5TYry/fLAX1xy2CskQwUklH+xq1Nym7HHg0G7EK/I9Abu981pGJLgs5+dA8j2JdubA
JQC6hXispEuDnVuTEsGCWKMTTDE7lPP0vhoHlFg2o6fOdlBkZpCyF9LFX6e+80qrcBDqYH6jkm/o
3Bro5fTQE6Q0NbqrjPzRKbRNq67RFSwdXeB+UI9gir4GspPasxgp9xQLgua/ZX1HUWZO6PXAMhfs
YsBWI/kEx0GGziCK61oAbc6hqd4zbad9ubzYC3YBYSOkbQAqAw2l7C+WiR73ZqVPYVq2XvVizdeD
jPFghHnDJQqIJujeTg8QHxM9shi+v6SpXyMeBsjk5SksmB7TEDlf92eIRa5gL1QaV2o9TqGSG75D
CoSjn7r5m2G9T9Sv0Xwg9bvLAhfX7EigOChHNiGuSpeSCG/8WrlTWt0jxevvCEBQF4YH+36Wu7GB
PHJidQotc9O4wfQbiotXKFDN8HSBYHKkCdRmY82Taw9h7LjeA9E/JNeTGotHKDQXJFt4V59RNuod
KZ1aHUKjyV4V7m47DmJvF8BIWraJN1hr3VMWjNOxwJ+xhaM9Mc2Uoj+YNoROroLdZjvUqV+l79Tu
+if8iRzJNqGJsdM2OeRQ4t6rM7ltkv594l5Pc32yfj/vg6PpoFOQztjIsUNgO+71B7t5z4ZP0xpN
1JImWxrSE3CWBUJIOpy6DYalvoUHOqQet+6i9v1lRV6wkKihAYu9YP1XiQxmK/mYgfa3n0JzHrxW
B4QF0I92xeFcmgRY4/HoBQc53BvJEbTN+a/jyHjqtfS5vL4TBlq8oiAI4WgdMQkiXb5uUjVqPjZj
2CdwL9tkxZFd+v7j4SUHsyEGCE55O4b1FHDHp2sepvg86To9+XxhP490SU2Bs+MjxidoY9R5Edtp
2m1VoWlicHm3VwS5sivblLaWoRo4NNqgycH+/OTOfm4hArryylwWhNobV/AOn3kijHSWglZFY2iD
xd81Uz+2Z486zyoHs2m/ol5LOowWMXg5gUnLPXs7jaWC/z+dsPv8U0XfEfWuMleMytINdiRCXjhU
LbSTS4Yx5G26A5fa1KHyEITQh7y6s+0UTPCbyzu1ZC2PBUpWrGGm1lIOgfbwpcgPY3pX1p/ytUtg
eeUAuARZEPpMy2AjZXZMYGXVMVRcXMooXzITBd0BupX7f/H84LL5HzHS+UGOO8qBBYbalQFvzZ2r
rEUjF/cHdR6IR6H4HFXipyeoAPB+amIYgLpRxwMdhvre7cbcj/SGHZzJ0RBlU4e9087uPqGztb+8
W0vrCOcfoUmgs885Sq2ZIr4/oaqyjN5p6q0xBcNa4eaaCMkjaEuU+AKgq4Za+WmmcaC571yUSlye
x9JG/UQzAtCIxktyXMqeamYXrY4kgvOpDXp1xZVdyh8A2YtaWrFK59SKJBrnqOI9ireB0LNqr+0+
sv5uzr/NVuaV9heTMM9J18BVQr1k84pcL6iGkbE8x4PXpjn1xJi0sNc+DaTZVNq4rfSDy4Ko0XxB
YXd5FZe2CozAqoPqGfTBkOOUpZHMdq5zNexAmefj9ssfJtscHnmlrHUC08XVeTY3hFhwfQM67cj1
W6C4QVYInc1DMszbtn1M1SekF7YIZftWE3Qa93MYemNsvQbBbEXdOuqtrez5uGFF5JnaV3Ro7dg3
tUe1Er2p62FzeS20pZOJohusB+h7RVrl9GSSyp1ZY6A0ipu7qHP8MtIejd728UwHC+6dme5QWwtP
GJSGXyzzhtZPMBa+OcENMZ6G4QYOUFDlayHyhX6EaDMDym08qICegONw+lmtwyJKclQDIWpgFndu
SrxO3avK+FSUXxWWPdn9prZKr3Dupvo+Lb9y9Aezp8GreIMGT+5t31ee0sQbkj2OffZEWs2P23EF
2ri8vVg+AbtAqaz8om8piwamYXvr7KNLEm/mD2r3zOt6q+ExXRGE7qKNO/0orK3J7grjtmLoBpbg
8c8CXWs2TW77ljOBMjPykBV4srOny/u7oOuixELkAaCDeGefrmPUkHGKCtRaDG07P8+lHt/FzKg3
NpvXEBQLxxjxFZQZCVcY2H1py7J4UKymxZZVSlvd0baYt1M2zLfWPLQ+4VX7ntC+em4UV7m5PMlF
yT85QREsFZ1NTidp6dTSMuR0wpGA+sxWA21+aOcH1sTbEewdvLnWDCMuj2gjwFWoC4DVEot+5A8y
jWZmlRUdOtgf9Pnw4/JszlwLjI4OzULvkYHC0TodfeaKOapUQ/6mtFyf9TTxgAfufYtH6R4EqPFK
hcmZikjy5JtrrJV2dMcuHMGvOeWJjpbuQEAgGriybGdOpxAkMlOIfuFwy06AAIbSbpz6UKsH22/t
mBwAJjE8oqQf9CGZd1jvNVzU4mIKYj6U0CBjdGbr3bwvDNvsQm26a03NU7IDL9HKZQV+dXYxi6kd
iREaeqQR8GC6QZ8gxmBWoJrUS6ZPl7ViYZeQNMTpEmEgKIek461toEWZxpvQ4cnHntf5M6u45htu
pL1elrSwZCgB04FExpMT4XrpHJPCBrYyZZAU2V9AoPWoFO5NNOabIe/XSCwXZmWi0ADoPrhHAL1L
s2Ip15y4tmrU/z2V/VOe36jO+8vTWREhxzVQv4rGXiVEaMptG6PBvPYwrtUXL8rQkSCycXBFvOl0
+wvkU5O0jqqwTZ0RsZligBOT5w9FxJ2VQ7SwOzAJaI6G3CQKmWU90ON6druyapA83nByY/F9O+yn
/OvlRVs4qgAnoFpaQNHhOEs6UEQVAoJ21oTuUFiFV3batO+VWvc0hG4OZZfke7vn6QqQ5DxI//OO
Ehy5yFwjLis5I9Fc9KkRY3L5cIsykSo6VM6jo+G8PqKvZd+90vQxqm8KsnK4Fo4vCqrho2E9ofNy
lIX3+TgretmEdkfpTYZGbz5xyNoT4dy9Bq8GjjDy16LyEV7NqZrUTjFNo83LMO6797mmvwy65g9G
HETgSQe8hgZJXwVabc2+m6grT+RzHdUBDgPJMYJUFp6T0lHTIvBqomlJEcbZEFA1BqeI6l1P/4Tq
5yMp8mkzjaKsY5UXocvUDyPibhEnm8u6KT70xKWWREiHLbFskBOOWhHaxY+5fO6RGQe/DBqf3vfx
5yoJnasRQZJA4eMfGfekMtDVLNeLMDF8V3M8RVvDup7rH1YNxw1qgRJfVbYf3K3qlnSQUP5oDvnK
qVobXPr8rCOM0BmDU/0wa8EQPV/ej3OLdPrx0qEF4/+EVhbYD4Xc1u9ne19ke7PaXxayqL02AlYE
xeJABkoXbGy7Smy1RhFmzm3c3M3JwbZWwAQL6yTiuKj1UAWCmoh5Hm1zy1yG/qdJEaqgovSGbEVt
l4dH/hjQImCLZIR2k5Voe6nQIpy0oNEdjydrYZxzow27ImhC/5IgvuBoAoU+DEAYFkWY6/Z2ymFa
imRfZc5Os6O7eS5W9n1pQgAZI/kFuDkcYsmaJWlvl2iqW4RdSbzRoD7V/Mubfp47hpFE2Fi8S8HF
duYxqlFJRnSkxYxodJjc9DXmxV1k9SDsVg9Kp/idne9Mrb9NNGWj8cmf6vI+tbuVR5RQLsninHyG
tLCGw1q3pGoRcmugfppOj0Cpbtqy2zmgBgTE/y1t+MqVdE4r/XPuKC2FTwHqkjPqArAUE6UditAa
nHBy833SpnfofLBtQDI782KDDi/3UzJ7mlsFRst9OmXIWWePCah01YZuatRHe5c3ZOEUagbKvHF7
ASh/dof0vdvaXFfzUJsbADlCdBYI8mot4blg4CEFPRCJpQkieEmxOqdUxtlxckCg7maClhKPSfac
MNuvGup143NDP16e1qJAvEjAFCXqnmXoBcp9FF4MWYFewY/O0HrJvK2R10uT+8Z0vLZSEUmg1xs0
MPUbCOyaoEI4q85RlJIPWQdzYNT7Pt/MWoy68pXwxOJ2/ZIhlxrEJR4/nY15JQjfkQQS0s8pX+sA
tSBFcEoCaYqaAxGwOTU7BC22dLtwWBizl6l+ocUHqn+4vEELpuZEhHQAU246VBstFvbq/k13d5dH
X5uA+PmR3exwmCK1wQQS/Q5N1fam9UXJ+hVbtnBLnkxBul3KQc80o4aQTnvp1GJnoAvYmMx+vEZK
vCZIOj110zQT7jgWWr2XGEEM2CK9KYw19RW7KtnEk/lIF7KZ2ganDGJs3vuUfnfywqusxIuSLcLt
Gyf/6tSIHTLTJ2O9Y3bu2cWOjZHPy0e3V/wc3q96pxbcs5W7mudBVn7C48YfB8dzXbqf6bgheu1N
IFZmN3qxRRvW91ybt9zdoD+K5+pvICrxGH3J2xkdURhCWkHtaEE8q0GGJmTE+q4OHymLPZo9z+rX
CYGNrtSBoPjgJveqtnb7LugojhoiGyJlDySFpEXpMOlRXrBKYBpsvdy0Vray5ssSBF2oLorz5WBj
ac2ssi1ahbo2+SNBTeIa8HXhJGAOvyRIrmKM+vK5dNIqLLX3Q7RLpxdL2Vw+bGuTkKxF3w2OS5q8
CjXyVdfvGhZcHn9B/U+mIOQfHeaha9RKpRh/VO/zERjdm5lv47X28kK7Je0/kSJttmpb/WTq2ArH
sA8IbHlxtIMv5NnVVlHGjdt/vTyrRXlgYyR496P3upwI1KiaK6qul6gYKPwqRuvCMlTtbTVGga4c
4qsZASxAuHE7oZQIFDpAq50uooWIidmNURlO3DiY7ae8uDplLyQAawCSUPTTBQTxVMKsG3iGxlWF
R/1d5njdGgRuUc2Oxpdm0M1qh6rbEqfRejXzryVdcX4X1UxQZApOGLynJXNu5D2f6kaHAqBjUNk/
p/rHvEayYQ3MvyZHsubuYGYpjbQqjNCpInX6Xd0fIoIWUSuPn0UFs0Gage2GayengZSspSDcsauQ
2h6yPy3fM82rshel9Pla2fCilTmSJR1RrUgNNy6xdtFMthUaf/YDvRlacr2zKsgz/zMl6YwyXhUk
1TElJdqRyvImFnTZXxz9//Vt+j/xWxn++8y3//pv/PlbWc1NGied9Md/fX5jTcr+W/zOf/7O6W/8
6z791pRt+aOT/9bJL2HgvwQHX7ovJ3/YsC7t5qf+rZmf39o+734KwCeKv/n/+8M/3n6O8n6u3v75
57eyZ50YLU5L9udfP7r5/s8/NRUb8l/H4//1w4cvBX5vX7L4j4P4x7v/i0Pz7yH/83tvX9oOQ2jm
P0RTD4RCgf11kCX584/x7d8/Mf4BpCTAIKhuQBRTZDdY2XTJP//U9X/8rBOA0bERpEIg5M8/2rL/
60cC3/8TYgUAJH7vz//5vpMt+rVlf7Ae0ZKUde0//zzVP0XH6x6RzTO0qRonxZg0g3pAJMGn/NZl
ua+vZXz/bnBxwI7vnbktWK2P6mG0S8/u249VGt8Mrr45Wuu/5nL87ad27de3S3ZgcLoZbXFa9eA6
Ceq7vUi9jnfm18iSJSNqlek96AQPdcw3ORBmw9R6Gbp2z9O9bil+Orz93hTEyh2tEChaaz0COeKh
Ifdac+eYa1G0v1t6yZ6Uvc71VDfVQ6+j4axuYlNdvyT8qhzPrwWSPJYUbTKUEd1rD0CXAbPuVF8u
r4eURP41MPT9eEGULI1mtaq0g2byrWnEt7CK3lAo29Ep9xYdHns6edY0+cYU7xW9Dp2m9gk6orlW
dTe51mOsRRs0+gU+t7vPUFOqAztgo4HENK6F34R6/fJ3fn2idI2WlUUGp1TVA9qyvc6RiishCTj9
4ZrFrWatUeL/nXJLzgCKEbUuKrHCGvsMuKs3rcXe/kYzfoIfjlQuZkrT5i1OvKN+nFF4bU/bglx1
c/5nac4iklM5gQoBH130xqYyNg4v/Uz75iSPaqPvo3JzWUscoQ0LWyAnDWK8WRwQ5KoHy3izp/ZQ
56mvtOlmzsfIs6JilyPuapROoJX5bala21jrPxSUbWZU48akRT8BFa/AMWiiaNczOKgOf6ztJGhS
5BuseFvEyiY12X0WjQEhNPaisdlPqgumKeT8KmWrk9zjJlrGx65vDHmQNB+n+aXqu20yWYeoumdz
7Ck69RGRephV9tiD0YSAM7zUc5/208M4UXyJ5RnWbVnq2xxdLbW42zi02cHwBLikb0RtQUvHB6X/
PLhDYDffS11Fcee8MRu003S+TzwLnCjzuYMaAfM54wa6WTdPlxf57/REsoEgpLMSwjP1MLN3dfPZ
zO60ci37I0FafimKEHqkhFmG4vIeUJaDjZLVggPE1+WpV4yOz9tsP803c9duYjNMzcTv9WRbMWtj
zCQY0+RQTdQD/7JHcuU9GIz3pOtvqctuZ9xlgRJn/tyvIYJOg2G/PlOyoqyN675qoM/DAGSr/kqV
BGyHnzXQCZTNK+fEowiGray3sB9LSi3ZVBzLiWtKp/4/zq5rR3Ic2X6RAHnzSpm0leXti9BdXUWJ
chQp//X3ZC92bre2VMLkAj3YGcwwKZIRDEacOOdguPHzyLRIuje2FH6sGmQCPmTMPzTmwLSs68Zu
CmB/8LC3nYORNkGMIm7XUHRGqs80Bx1/UiWE4sALzTpwuyauIQhegKAGgp6zZ/pdClkdHQrPbO8Z
NXHMVxR8CJRqjprUfYt/njn9Rdf7eHuBrrcmGTS8yqLa6MOEDLPrU/W+156q6io2ErT8AcfyUWkS
mspr5AcLDnAOVo8Vt+1bICAPeusQpg5+ukYPoS8NPffgID8cCkXDtlLLT5Lcb0udqEOYCHynFg6K
4gOHlOulr2pv7rh10HM6amago+lUJB6xp+fBSfGPLFwv2hHafyWUY1rNDkuIja6ch6VJzi4Au2JI
jdneeEAMvKUmbjPl/fuTtnCBzaueHpqLYl7quFqSI1KXoWL6qfGrqLdaoa3EBwvOY85hzHvKUq/H
JdMouLGfuv6HoXx8P/uFdZn3O2e86DI54lx4Hqm77bjGnb+0KjN/x3NeMg7+9YMNNxK3LdHkQGqx
c5tka4r77ye/tC4zv2fnIG/SJH6kj6Fxc2L1u81W+DGX1uX8z/9wqZV9rqIj0XdIRFAa28YKvp/y
TPv5Hyc4b/KsvRq1qG5QD1xL0HUrNmXchPaYB6XqEYu5Oyd9FZITXTymbCe1GMg986FH+6DDqZ8q
0IA2Ie0MeZ0eFYOuSyNPWvvULAJLFxGNjaib6o1S9H6dQRta2Lu0BWhkuO2ck47sqSx+SLMMlXHX
WGBx4buUhp4acfps0n+XTvz/b5yHnZ0zFGPsICgSSmTUkfCU7cryfe3V5yUrm49SpClKc55zx8aj
Ua3Vn5bO68w/8ASZVRMC2YdCNgRqKZHaJWFi3w6xS9CutLb7X04fkq5/n6q6mSZFjzO4ymSj6Dth
rhjC17NHB8Tf47ZFih54jgAgS3Uy0ePEnqfxc6QtyQrtIg+KXsq/f8M0IZ2Qsng65PS91Q4x5Dov
2VMUYf8emDPBe73ATQ1yUDTYQ4Lm+3G/9g4gj/p73B7aj44T69PBljyytT4Yy+RaoSs++WsHYXsz
BwEEjJBGiuUomjRousiovJX1WJq38fe8aYaitJp50wGtBFIqxITYndWvQdSXjsrMNlEnpKYYBYJ9
Dzne7GGAKBC6cxjubL3/ddnKzyKCdDSK1hnOvyG2jfnoZJKk4Iv6fvClhZ9Zalrloh1bWGqFagxs
dO2NvzDunH4crEKQ7SgwbvsjZ765Fh4tDTszTd4Ae1p71nTo1W0yhvEUXLQM84a3wRN0ALZ7OjRm
QnrtHijK7wdeOH5zkIqic26154Epve7UWw1vMONf4YX+ey/Y8wJW3o5p3/VYi5LvlC5I/p3a6/+P
e177Py5r0NEzhZ23zsO7Ztpa1oolLu3d3BKLyaMNP8832Th31VoLwtKwMxMEv50UdY1hs/QqNfxu
2ny/c0vjzswuqxEkColxC3o7GG91/3HZuDOLazKexrjL4PmdH0N2lbB/x6H+z745s+tQHUDjlVfw
oe4QmDRI1tjKFhbCmdlcTpMJzP7mdDDte326b9YesAu+cw4bSdJ+LJ0GC8H4rZ01t60skAmjgSrc
3VA6l526eec3bZI4ZRV+JVHR7qHsq2GtG39pXWY3Iu9k3U0AmxymJGzG3TBcdhfOmaWLJIWcembg
QOfbyvLZWtF4ab4z+2sVzsDojnFHPBpav1krEy2NOzNAY9JqxcjgL/piX5pRfNmjAZwTf/uhvik0
4Oa94VD0gVVuR2XlRHydOAFa6+9xQeZXuXWFdZi8H734NNt8M7bSN2IZeOLBpHWUrvXQLyzNXIos
0wRgvMKZ8E5GKql90Mqf3zuRhWtlTtFT1D13Gg6bVHmKd766QVtLya3o+9GXpj0LTrMi9nKVItYb
dNvXctNP3i4beBacMnAE8tLB0ncitJ1tvCaaujThmSlCBb0uwQOH4NRxyaRfp5dO+PyDf9yFoLa0
NQQy8H38xgBRaruC+Fqa8MwWhdGCPifB/pXJIW8TINjYyuleOhkzawQrrjS8s/fwTIHezxhcCqCw
XPOmv7Pl/5sIhEbA3wsC3GdP0Ys6HTT2JsfkJvFyP2mjsSsJ6ARCz3qsgLauM+lTpSSjkxKq3eXa
ZjQjQ+G+NqpbaG6tfOsMqP/PlWfPTDlt0wq8SJiN7Bw/BkLL5C0ZtH3bmMSDZTQs9VvnbujWatUL
+2bN7tiuSvELRT4e4jy5qXl1LVac/sK2WbNLduiElXAoyRwAGWBaRqoYIMo1yNPS4DN7biRKV+35
tDWG5td5FrnqfaroK7swYzH6ZxesmVXnjm0IKfThoEM7WOkG0tY0Ku3WT6q3WKaB4pWE6speH9sD
IPWksFjAjTToTUoa7vxWQqu09FSVSpAzsB2ip7YBuf5FPsea+YbJ1qRd9DDhRK2REtoN49rjb+kw
zJzDMDl1jmAFXmf0tWpXOivud2m7jL9tzJyqWLYZxk21PQh8iQmuBxXQw+/X4zdH7hcmbM08RM3E
WNpnn9bLnKQsj7LRVwfLzzgjjj5tBmZ8euxZ7byQdT9L58HUN+ClIiBlCsr6V96bh86MRv5sAtQM
stXALsA5pdsBmyzfy40dl0+Wcvf9bM9n6KvJzvyNUJn0ZF+MB64CGJjeyp6TQmt8gHTJ97+wtIsz
H4JyT1tLQx0PlXnmVPwcm8t8/JzPP7csnqRqOR5U1PbwMLnwaW3OXMWkVRkdObJ2PeokSsHIaIvL
3jzmzFGkOR+0gWG1x+pgZX7ZreziwhrPNUDAaDIJAY2qQ+PYqCyCsjm/MJE258Kq8wLiFnU1HoBY
nQRpny86FebMtoHjUiRY2cYDumr1GyrCy4admbaCmu+oueZ46MvAOl087MykPZY1XVbHw6F7mNLu
J8/l+/fzXXBFv/Puf8Q/3OK0EQ0KrZ3YMuV1cNMwNvLt94MvnYqZ5bWMp1bSD+NByX3UDMVlQaYx
v6NHhMbQnBkPQ0qQwK0vm+2cN26IG4rtw7DG0bpjw2XeZ97v3KtKyoWJA1EmN+iseMuVcq1I97tt
4AvfaczuZQHE93+sLpaVr3WvHq5mq/HrKo7saadMI6GS3qpMoF3CIlZlkrHxwsT9kHHpo2c1zOJ7
ReFRVR089xYH1x9R4NAfMvEMFgn8y2C4YpDXq0qSTvVuYENYsvdeKDtLG7duvLXau6YHBe+WoyGZ
uQ1BpjHMNU4g3uCPtUFUOywaSaZJJYUqiJdovpI8CvXlogM2J/tqLKcQIBkaD6aD9nU/XuMVmPU7
/RPxzJVpHS9N6xF0dQcKXI3t3NOEoptKjYr+JVZu1fRXnn8oxX3dP1vdG0X4c9n3zLxHMqhNXNZ4
abtKWJZbc1xhFlgwRGPmPrK0B/u7pyDj8KOrtuOFt4kxu7sdb8hobJ2H/bSqfduthEcLIcFcTxc3
njbm512N2bONYC6f7mz7Pe4vK+5DxfXv8MsoJgpMN6ZdxU+GTVJzJRV8vkS/MEd9dm/bJi9tXUwD
StslCEtj/DGIye6s8rUr1oLxha2cCyN4eWMgAkcSUOs2tCPxGuPZwkWgz3xJ7aiyE+Z5L4sNGOkI
Kz3fpGvFpaVZn3/1j2smG922sDPMugKAo9r1fPe9wfymqvhqzc8/+MfA0MYEpqxpEdzFR40at/q4
p70ZxOODmjwmAGNNZh+onRXlFbtJNfBNaCfNU6I0SQiT9dZKxNYyx32JwqVB0aPH20CtnFtNsQJF
wSuFk6r8aPlWpA+qlgSlJv0eBaCJiiDPhpWQXftNP/TVd8ws3+y0DuTTeNUX0g7OfNYtNwOQwvl9
/YvFGoTYM0KpgfJw4SeqGxYgg5oG0J4Puy53idU6uwHRvhSnjveApJWBa7YRuqS3ED1nwg51dQKY
hwKlZgYGoFtcL492eRws04fiPPGyPPS0x8H8ZegMmJsXhyv3ptZFll5cV9lPtXlyWj2UEDNKqIUW
ITsyShGWYFkczXeeHpNEAaLFjprqJkmecxa5Zn2ldVOAblHiWrtShU1Mt12OSTYVqTxGhKUR1300
eBGI4Ueet36nvual7ku1QSlexZtS+MpoksEBXw26/2nxOFk3DnqG4szZWNDRKd04ABHGpD4Cuu4X
1Awz1TrZ7pNrHLPKI+PoBd7ohU6/UWLXTxh4n5h9FqkNha6RqvhE50iYsDejyW6k0fpGLS/zufOG
hMmMaVVb5yqL4aNC1q0xnmpn7/rFUZkzWKGo7OZOj1ib84fKPbq/qqOgxE39dIq4tqXZLq5WzGvB
KZxx6H9aV2rRBIhCvCTjfN+1MQFRpA21gu9t9/ej46sPmZ35TlPaynPxIaqiEVv8cBBmjJ+5ceT5
Q17tvHYXG7cN+DU9513S+4r3+1zeg6yrsHpSJ47f2cK36hp8iVd4NG3dvL5X23abaEg9OInvck5i
907Q6ikRUZ7nvi3tqNA1XweiWvHCgmcbYNCgitC3oV7WAKf1oNbaJ+wpdW5LummcjcLXcIcLPnBO
6gl2/yEeFRUHQs1A3oUq+O3KQi4ciNk1HOciFb2CdSw8H9K0Yk2RbWH3f8Ok//CtU2JraX1OrLjy
yMQe3czKsILVPV+1X2z9vHMO8HBwahS4KrvMBFTwV42GsLLRwHvOog4ee7Trfe+mwfcLtBBQ6LN3
SGxk1djH43DI4htLPojsyrQlabqVj1kYfg5qdrWUT12FOyhOoUetpCEf36SX+nbPVkxlIbKYQ5tl
26lZe45Y1PJggnXSc3ex3OPo2mvNqguHcw5q1qGtgx4XXNB4qhltlK9xkS2NOwsrtDzNjYxj3MyK
hiQq1vr+lsadBRS9obfoNULG0852g+rTNYLKpb08/94fZ77kXGigKRsPSKgGjigBny58ad60yKOt
bObC2f/95vjjJ4TSdqZ7Lrf2NVrU3kzlJECxbqgSdR4KLvgz4HgtsFhaplngX9lZC24+pKiGpvT1
1t0AaHaZ1/l9Pf3xGe1YV6WZSJCRo2c6PbC1auPSWZ8Zq5blxpicq4JpI6+0ftxVFVjWWwj/qfle
Vczge5/w++3zhQuaA1HtKoVorQ7v5hjHUkGfinH0nNoHC+VUNf6YVxvu/QTnkQIsvZtuDXMgqry2
uh7ctRNhIN5sxigWGlGnOuiVdCNSzx/49MDrx9JsNlOKFv/yIyuuFDcjSiqiWvjgRI2+n/9SlneO
ch3soTRcAcsqm5d8lKQeoMnZ4o0Nrqsy+cmKDGGOTioUGWp+y+Pr3L513J+CC7/GVccKoI4nsBxl
9WFCXk3xvKBjUUMz3PK3WvZUjEHhrHnghatkjpsdBsUVXoOCo5kFfRN0G4NdloRVZ8fFTTSmtOdL
ioqf7dBCIKpdsdOvbQcqIH+7grhBX1xSnw+I+15WkO16/X7ntAUIuDXHH0L2ImknDw9cgWKJLipC
xV3WvxXatSiRJxvp25n9OedvtxYRrRU45j7nTxp9M+oRHQnMr5HscCZ1Y+ogih4/+xFnk73kfe2j
awAwtVetr4I8D2W9YbQkpsJI73S+3lhh55jEphoZKBpLhvEjVo65OCQMnf93Gr+yigMvr9TpKrcO
zfjRiC03I015tbN7yKMpUqZR3jxIsKMTVRmvXI3eOcLFSRfac2ZmeN/thf069tc0Y4HlvjXiKOyA
ds9lDvr6OPFC8E6GxfTpNHdmI0iTXE12TxITDxQTiHfLrw0nAFshqBLkVQIpTrAMOOMDWuD1/qHu
76a2DVoKTZb7qTzW8U5VTlm5pcWR19djfc/Mg23sp9QNkokGTnJgNSNef53pFNnjx8w8cOOXNEF+
oO3TER314N5y5a8c8qVg0bp2a/k8oukpsZ+TszqHcoupm+2v73d+6USdXd4fLhMCkH1dqQjU0FjC
mlOqXGQD1hwSCnkir6gGjNvraEa5Wu0P/p25+F8fCY6kvydcoxkkocmAgdU4QlmUKK0XJPEthVh5
Yj3mWmBkL+z5NY6s6ag4r4r1HmcTAQ2e5z7b6Yc1FHdc5LeWsgVRzzZx7jUmIguv04qiwe4yYJQ1
B5fGatODzxoojBjUN5ZzUOmKqZ4zN199/+yFUk+pwRg6Yw4TON/hDJN60w2PxrDv1GCAf7/sWMwu
6bSGupiQDeL3GvVz0NCuZBWWjtvsXeDaZWk6/IwUyNDSH+Rd8P18F/LO1pzcPcvt8j8AG1BsEsHK
0HN+JF2k40oplSxotbuBvhvOez3ueYqqzVm+s9oX5RgJsXXAtlvL1ncMFCe7mGjTTzGekNLI3YE0
tYquJkgSnRR5Mmx0EIWNnhA1zsNU/9Q9ti2LD8Xlu7YsT1zEJNf22aD4MZTfaNqRiT9KcZ3HYdNe
OfTaMk6WFYEC8LKdmoNePVsZtSLGm76u7zLtCOavCweepQ5ZN2iZSXGCNT2039t0JUhYOAFz1Cv4
HgylOOcgVEWQxH6Jkbn6/gwsjTyL60c350qrQIrGeFeodhocsQJ6/TpS+F8qXwjIqb0cgfhwoZGI
l3JiP3Sgkf5+2r/fM19YtHv+nj9ccFImhppYJp6CSk1E4hzMHs1UuaojK9VE1PgA+6Yfl4MEG7hB
iixHuKIWJK3ZqeE6rmYFyl/ph6eol/lud+ZiJkDXCzQ5jIfCbn4Zz4lh/vr+U5d2aOZVaB9n4EXt
JyDXiQNWkrVQbmncmVehrp5yQ2DcFuFsEiQfl013FselCspVLAM+Rrefhbq/EJQMXvW/N7wyCrtW
Kky3sMngRu1q7eM8sS9O0hw126ms5UmLCTcxYBXORDz70S0Mwstj5nSEdp/liIdFE7Ba8c3kFolM
n5noHB3uSvc9YSBw70f0++rXFUMXSv7Cx+6+Rxtlk8cBbpm4QEefthlcjahNtZUAvXUvk346s5XW
mzzfttpm6vBab657+WJQdXfRRsxRu0zPVaPmWDDzzeD7ur/MFc1hunIc2JROWC4lu6bdRpUr9vP1
c9Gai3ElncG0RjNQxzevexBdkaxCfiRhKOuA/r1JLrOmOWaX9sbYohkPbkkvg85pIuk8XLbeMwdQ
yclSuXO2JzD6ygBKrZeNO7N/pYrpBLZGXCnqsX3p1/odltZ7Zv6DYbR0cjqg28WDjd7eskKN9LGl
YSXvL5v4zBMYIKKxVdoiN9gUV61ECvbf6d/8t6oLgbu/fYFVj6AD1jF323ity4noxlG43srVsuAX
54hdwypNV54Hn6ywhbSEujLuwoU4Z/XUuUmbOkUMarFX2/vMUU4RThJetNZzaeI0rqyh13FIoHzM
Yt9cm/TSYpw/5o9r1lERNzsVUA9NZA7bkm8um+755/4YdvDGXLVbTNeJf1DtaK4x7y9Nd2aDkyKE
V+stfB6kP9SwrS+c78wG3WlAJkjN4PS0QAcrcr4CJl2a78wIRweNnYbDkHHexDfd42WLO7O7tLWE
OtkYtDuKcI3wY2GmczxtD1GRKTf/M1Okfb6f6e9o7Yu7dw6mjWWJN4A2DIfe4j7LXCBMCvtnr7V+
Zcp9Xki/jA+NrUUM+okZSGjSAtXPkqKKeMNBhkSkXW0qvDDYrQKwWlle1eVTwV9yk277kgapNQUp
7d8BlgtrkEQ4OagXYig+NKB1zQ39N2+9lT666Q1Dx4nYWd3J0JFCua70btNCIdYRz3kHYnQD6Wn2
CoSIX6qTsctAlk0yG1TAKlpjfPBCEoXyXZwVu66S+yQBu8Qw8ivZnCCXt3ebTRPfDQMSKoeEbmWu
b3TZSqINIGK0LBogcRnwOL2Z+uqQKuFo91sdNwqRY0/MYtp5Vb/zvHJjUm3jom+57L0HL7UtwhMK
hU8jv+yymWOnKjqlTtxXKBVlQVwRbl7m/OboqVrFKR8cvAbS5ij1F9sB36x6GSgB5YK/vYlH25SX
BqyTW79a/X4sHr4/ngsee45KkjxTWZNP6K4Yo87VQrN9EThU3w++YFBzZJIsRD9aOsU1gz5GFqTm
9vtxlyY9c4GiGAXvNKx00m0QiZOiiM5R1PeDzziU/7l55wAkkeaiAYES7plBIZOhBQ00fQ31SSQV
mcrOF+1ApEaDooBejPup2C8cuNdMxhuz626hY70ykaXVmzlO5lKtYRBKOKjui1I9FRfGLHPIUqqm
EIEF2uGg8yfpQq/pst3+H5rJVg4F6+E+jYg+jj+/342FRZjD+SvVU43ES1EUiujVuHJ+zkbzlUue
3fim5F7dQjPm4ExeYCKnPTVAyECRfVrr11yIPK3z5/xx+VtNbNR9jdYMI7ajEjRIqjUEOaL9VD7k
48tlazMzgxSwUnNgWPB8V19dVqOA4MTfM8+02DazMwYURA+PNf7Q+8tmOzvOijxr7CAPf2BmExbG
HUdzxfcjL7iDOVN13fYgLUYH8qEROzCrooQEWD5ba1FYOIFz5DzwffqgtZh3KQHKuVfRhXbRtOfQ
ed2ZxgSkuWg5dd5qZbp185aA9GqNEH1p3uej+ccRLOJa9mWK01FP19Cz4muYnvMD5AvjmcPnlbEa
MiVGLTV2Y58DpYaikJ+hi6aIM19RVegTpKFY6/9eQLdCDO/vz6BtNdmdRFXYSDYT94KmehuQabPU
YdPncmMWHUT47JCLGklZVGXamywOvt+gpRU8//M/VtCwq76XKXxPdoeSzUo8+PvG/mr9ZlYrzpIE
HofzKV16SNqwySrSutZ1iYx6nKdBPQoIdVkhR+w0FlWoqgoy1TtuAnVSlpvRddFz8ooR/L7cZO5T
oV5P1T6j6Ffunpjb7ii6UmIgCGOt+9l3PzJ5n8mtOu3auosGx/WF90tx1qglf2vBffU5M3/BCmMs
DUtMB0NDrmdvAjFe8SKEbitR2/IAFI6Z7cbsGt0LBWT0pHab6nff78+Ck533A7DEQsszw2uzSKDe
kpJ42kn9OfcOvXthXdWcvTNGCH00OAeAhDxNd9ll6aV5T4AQTOa54Q6HPMNeOmG3qvqu439fm+cc
MGz2wNzkVYnoFuK8EH7Tq592f6Tqiyvfe6ALQeZOu+uMQxzO+dElFEX3PTAk4AQVfps5pOu2CT26
fABX2XPvPLv2vtdecGKJWigbV6sCqaCXEXRrnnqjyaNj7Az8J+1NGQNRb/mtITZT1W4UAPwqewt+
160EGVqT7D38ye27wYz33OMHTbw7XkdSnvmg4SXxAK4V86Oy5E53HhThnqoGKErzhBR76FruZlD5
Rk/BAlGlQVeNd9OgBxnfN/FNr5VIPdpBXMaBqsS+ULaxg6cV+LQB9CetUV5VXh3QXoYoOftolQ8E
uyuQmCgm7g9gL+tof5dwNbKUp5J/cEdDQRt/5216z/FzNw/1+L6k+zjXD3GfRoNxM01HAJv9sg5A
10oc5Qqy152p+UlvQHT0c1SOepL6lbY1GY2ECXnJuCdVVYV1/KH2P/rBJVBCJKPGPjmWyO5an7Z9
qKgnr9iqPQtFXW0zjaKhSgyEq+D2HNXdMMnNqILSUPnoi+EGwqpBXX7W6j5r5NZw3/oz8jatkMKN
LNTSmP5c8IPXf6TqTqZPesV8teBINCbBqJwGt9tIZj3J+C4Dhl+I4g5qXckIA/ZQyqZ9BD6EoM/s
wGo/+4oHZcPRs6hvVOvGYy1JjVOdT0SBWyL9GGnUi3KqBpYjfAPeSImF33gN5v2esSuTaxvI+/oc
3Q/awAM3nQLTuUfWDBkjIgd3E4+N36a576FOp+sHAbmOLvuADsDJnECfhW7O3jhNYEB0peUDi0kM
70c+bIA/Dnphb6ZEI05bhLhIgQaRalB7oRky897Sb6T3QIeHjh27/AZKqgP+tjn/f0s500n6dQ1m
yUeenfDXEn/tHrxNG051hMqp8EI/SwKGvHkB9W7H2UhdEB3v7K47dcChJKjf2adCHGr9pRlroGrg
iMtPV3+V2bsh31x308WvY/yqtZ9ntRNH22Sgvkudws9z5SpnIcuv4ukt1rfMAk648Gl3M+TXPD/p
+Q7htK9gQTUvRu8y0JhB3F8VxZVIw16981KV2OhkqZVTDCwFS3iojtfI40RUqbe1SwNZvHSsxP2C
TilEF+KtYLuyFVdxDsXubIhUvYyaGuAKNL0kird1y2FbmNcABPuNcrK6q95u/KYJ+wIt1cUP13oo
xypwZB6Mon0YQF2mIycBlrwrxElho10XFBOWezEpfpE9T9XOaoaoo4e20gOb1iS19qLsiIlDqmQe
GeB1FC0m3rkwW0c6HJGDXj+QukszAyQbS96zjLTSQ2oEABOo9Li6DGp3Y8QZSWFTSd5eeemNZV47
6k3hApcdAJCOmpjWJuBO+OGIW00fjtTU74YcKBTDJEr2xJBXnYB0KlHbxTvdLe+zJt16QglAHxGC
ILVUUB8GCjdv7wr+SwzZDThv9iyvSGywjWHcxW5B8kyQSgFJCAokgzSANO+JXlh4j7aB1z943ki4
NEOnfrVFhs5W4M85DRo6POZIprSVCJh2D15eYpk9Ed5jK4GBgu251Ay8ZPAd95RhBbziRwq1Wlo7
PuPFFjV+XwHTR4tmZsM62kD6V+LR1IDLkynU/HYW+s6dDrpwHECrLBDGk2ffx/pTm4qTDupJin5H
D7AO3eCQSi5DLt9oh7xLKV+EOvzUgOhzPOVqkLgESohrgDvTr+yCxKLdMjX3qdHsBF5MXYYeBJW/
VoDA50NNVIAk2twKuHvmbsoiUz6MZ7GNNo6GsQ3ElAZOaUVs3Mm8OfA8SmjUKEgR25tyuJ86tKWy
sGwPuXzpzeu2frJ1NPDfKuUzUqgK31sIePBvDJAzN5S3MrntcYLq2MPz7UwZWxAGSH1mXGs4MXp7
TyvU5HUa2d0mEaFbXbMeiaonlt6bMJakbFCq38e6d0BxzC89FtjZ21DxPZy1h54zxUiQoVOBv9ZC
rt51mr5huPk649Fw7iYJsGUe5D06z+rnKkavp5fhl3Y9varKKjRrE2m1JHT04SE13kqx1xSkaxMe
FApF8CpQi7gBA63Sv0n+y9J3hkTQx3eVdcvpuzZJWMQRJDpbVm+b/KfW7BmmVNE9wFI7u2sQER46
Sycxe+jHjdK1wRg/AUGkVVrgmTrhPFIdYK/S9wFNdl5/a8mAynuvfhFuVAzXSrdv9XTXNHdI9uAK
zcf+fTI10gkW6oqyySecole7/CHxlko0gSSds+/gYhkHoQLb6Qxd1VclaP5Hp0LwJbYQtSJFFeXj
qWoZqUt4rySQ2o2WVZsSbLC1nKLYYUSjNEytGzQD7nJ6mpDBzuW2Vz5scBgCtKNWsH4NiU/hI02I
l5EFhj6KBr+yHH1eeOTsb6ZK+rFsHlpc8vK2yKKRXptGMGTHBG2WTrpRjQ0uY2DH/CzlJM0DVfuh
qttBP1jm49Rea+aTlt9AhwHlsdtaAYALDcytSaAW1blupKEGBR4MhuuwT54bGohyi1ISSB3u0u4R
8j5EuGBSbzj4jyeB5C1+A60fXkmvKQWWmikH0fyApDEM0yR9J3Z6GwcMwLJKDTsPARnU6qv2yoX6
oGgK33QRF0z1tS7iHAf6lBeoQyBqKbIsAL2wT5sd3PPJ4YcW3qni3E8p9RNPbpTe8nUHiucVaFXL
LtTRGt/ye+jdRVl3xXq58UoFDHkt8dIIfWQ3CZJXiUR6FmXfNPlUxysI+xXVB6giFe0mT/ZNex8X
LbHq12aKQypv0ho+eLji6dOUghIXesiuETZIW5vpqyyemR5lPejm2qhFf42bwYNRXO8tixxwtVS9
Cgf+KdgWjUp+WqY4RE4g8YaZ4AGGZ897yJ3t1Jwgxx3UqbXJ20PlFSeN96eMAqcFYqBBSY81OMUa
4O2VFPeLPTh4GX2gc3kzVPKO17XP4zhI/4+z81iOG4nS9QsNIuDNFqZQnixaiRsERYnw3iSAp5+v
enGjo25TitGqo1tqEExknjzmN2sRJlPzMcztdh4Di186cjo8ydtjKQTKuBeSQ0KBvQFtYxbvalm7
aZr6yyD5fd1vFPUJ9I9bxbm32sfJ+KEquzK6rqt230eqO3GG+iE/DCyBSYWRSqGZTehJh5XcbKr8
Y+V+K8leVnJ6zaYHwSbWyLBbLdmI3PDV5YfEBWeiBjx25yV+r0mmZRQqrGS7sspV23uJsd6NhhxU
un49AE4ybuPeOQ0QnTTjp9X1m9yyg1iCFRZVO5xKXK1zvJZ9kzX1tlDe5qrxzWIgEfCUkzJobmSo
QTekGyU1g6nfdl3rzwVkQumqhbHPx1Nujo+Z+Wnq95H5gKcYCejQ92FXi2DND04MvERpvTrbIhLj
mSO2B+tIfIeNUp4KxfD1DEtyDBX1Ovf7ltywVrdls7j9WoZ1wcXWFmHfQgczFI5G7amE50Fn1UYV
WpUeTsZP4aD1tzB4mKzmVbPO2vzcLN/IGbaTLN4wg+DHa4dYyT14KQQ3AX7rY2lCOTaCjFbsap5n
rJ8UlXR+ZDOSljftdJ+Whderl0r0vm00HIzBk0ioRnMGpC0oCOZQsV6TUtusY3WcKsNdkhl5p/bS
oVaZdMq9bnDliNHt2/ygahW1gBXE2SFt/YhehFM4Xj/ZXlsiEmbqdIRr11nJbjrbw8zXs+Rd25Et
5jygZFG63jfyzYpl+wRGdBnv2qbaNHl/Sq3KK+1kC4zck1C/sHmoBT4jaxCKNleGfPZWa/LjhOC3
xjKv0np0KvBjuvG9IKB2yOsoJEWr+jlA9DMjbLDqcteLnTEXXguDaHbI8BGiUY0i0Mr5IV8Fhlqk
GvWECMvoTmTyc57c28p8WgfENzRD9obqp2nVd2p66Or3XosC01a5vIRvLv3W6kHpJ+e+huNkH5pc
chGhDlDSo7aF51aHSBu70ecUpX40vIyms5XbaoN8+UFz9vwehfKaGEmIXZ4zB5o2BxGyQ5MWLqX9
K5uQynGqILdmP4n95sqYPo5i2NTLZsDUV+PFYfVVAqD6OJ7bxgpM8aCqSzjQA6pl20WJbzOn6qVr
ymM7AIjsgLDaFI6Nr5oJw7HngRIxNl/ipPZawPFkjlkcBXZcB+lqQVcVu8luPy20wV0xENqssT81
zSPqLa6pXsY6/VHqyf1CpIEFWbVhuqYe8IWyRBd5PlbKRHKHHLhC1E77udqVqroZtPrs2AcDnhgC
O64wKzhbNehkexs1D313ErFJdPyWOj8Q5mvcBiHPPE240qiA0gEIP1EcTWBtxIfaps+zdrGntPNG
kWs/77STQGMAA3CfsxU263MFWzLm4jXEIzKKQWMjVR7VT8KYnzCJD8Yi9xj6QGwMeyUsdH7gKrn5
vBwdfKgmYW3wigAo4I0iCtpkdM3sSYkLH3cUb1moJygkRbZ6giM4R1Uwri9WT0pQ6l5pmlsnU7jQ
HSmsAEGWhMp8QHu/m+8djdtVUQa/NaKXtcu90kjOq+74qryT8/zeaT/tVnd1CJy9Nvsr9OQVrPk8
695AsbDY/VlfnlbtDku4wzqogdpwHo2DE11WivIkGcLIoQqOW18ddA+fmbBKLOwnpmNT6586qvSo
9Lf1/aBtrOocK3s0oV1H+a6mL1NymZzEdYYjcQs0e5ee2oy2BtZJVNUm0vqmvDxJSeZFkerldXHP
mIv8oXEZ84bm4ly0LNlGi7Mb8vikl2JjxOrPnAzVnJKjsF6WqWVaRcbglLRgVjfttI1Tpl4FNbbK
CR6mFGpOspeBYvXTQkFOgwHdNsShVVfTUOApY7ehlmDIuzEj6RCZZ41Ko7cYJoun0Vrxp6Hst1Yt
jLXTZELAvWrZ17NbmF2gOjWOx42H/Z6Lu+RdKiUnwchYyL4OFUwi0ymxdzZUX1IxGljMt9n+dIrk
0Pa5q6Q/hip9ZipzR1cE8QZlXyXccMVonW29e+qHKARuR7Vwb9f1XZNcsvnhWph6JclwOmheJk5F
xYDZUk+mWDxbH0jPVuqiQ2x25ybiGljfkUX0rEpz1UrCpvwto6coOEX0jcDjFgkj8ml1CybE1Vtd
QFu/dnKSh6F7z2jXYH1OZlb4bfyJ+wV9rdjrOWs9QvWL9j4DjFSZ+prOR2Qlj/bEDl5CY7SxJKdU
abVjkmt+Y2Joc6XSdEFSGmHpBB1vZonP2jJdqbe2RnOm4+gpfHqkxDGK2yaV5ZrF5DlSujFpvemT
ToHPmcAWYLDhaM/XwLPT4n6LWpExvEZmR5D9XAmcA5TPLIrPpTRtY5LWQqOeUHIQyJmnpsXn3PTY
l3Kv6ZdrW0ThHhP68JipW7s9M3SDBYO0WfUrbd+dPjqk8hAqLfeOsty3SYmd4qe0hkZpbNRoV9ha
OCeOl6xdKLNrM438cza2BtkDtbGirUGyrMQ8Wdu1lk1dW/tZGW/LYrqvnLdKGc813SjD0Fyct4iZ
8nnl1QborT1WDKn1rVz3svU6AdGJpV/1ck9bY7EfDT8PRPqzU+2jQ1cot85L72xycqpK5LC831Tj
vYz2gk57txVDFfb6poeLLOWnnExu6r9l1a6miaGPgSGfonRwB2CxIvlRIaScJabbcJi6VN+s6+dM
wrJSXc6IcWv9MVdE0NIgzhBVMqA70V8Dti3uSiG9dghbjnl1zojTbYF5QlnskhZGi7O6SgYcrblU
0+znqebW1KXr7JdU2mC/j/FkH61E25akcKUZu878Vg7jQY7umjSFiX9Xx7YvtaM/OO96r6OalZ4y
Rhcy7xvLJqs/7QY9v5OMlsz4s7Qnb4imYGrJ/urez6fJn+IUX5+IduVztEZbxw5tZlwmrj6pVRzK
7qWpIs9Zya1q4zDaUGpkOrnDtY40Tm2y7J3egxfgdRbYdLP0pAJoSV96Czh1J9ePzUwQdzrXTPqg
rmdaTQrkB+GVZAVzq9OxA4iK4Uo7sQFbBd4LTGUyp67GZqx6seKrNH12Fy9WIBtEDdPxjTbyy0bw
V0c/yVovUcVR2GyUMj/Gy3lWi4esne+7uYJpTxDLpI2upOFUR/QB4PZXYpsTqjrrzTJztwX/orNd
VJk0REp5GnHDfB3gZSmScml158VA1YXuxDMsXQ+t91O7Os95JXZ6r5wGfTot0Rz2QGllOtuqtCsL
ZPdpQF7/eqZLZONVYM2ZW0zSjutQXbqEGpN0LJ5Ow/JjfrAH7TAMw3dVAEVRqULHSGxiNaKlWxvw
gaXHZKTF1oFHU2iOGIl6L3c22W+3csGjyWBN6VYs3YfsNGGprn4rQ9kr9X2J7fRQG1Ioyrc10g8G
cIPFwLokD9Q0j2FAQf6XY3+pv889oOh2OauR4lfTsUakY/6uWbObR09G/C3unP3Y5Ae07b4nK5Hb
EWG3Lp6RcUDMV3vC7kb5bKfXFn8OPbGCVcJEZ4iCJG+CUhV3fVfMrmUmDxQloAP8qaJQd74lg70X
SfU+C6C7Zn1aWmOn5B2KErKUu5k1MJJiDkUhJAhEeQYOXrC/lkDokme1R0kRR61jjZfHeDna0t2c
8cm2fVImnhw/Z1ZQm6T5zoBNgY1WhVqbvm50mLmsstd2FwMNt1HKYpIow1uj80Obrp+NHjZdg5WK
RPetp85wumEjqPsT51nuHqysvkhtGzi5uq8wdxV5u+mR9Yk10FDzI1bcm7519l2jUpuxw+wJr+a1
cc30TfSPJY2LyFH38mDR2Wxrd+gMcqa19iX9nOW72NYRJ9LZAF29VdWLvp4TsPi2EH6NSUOgFW0B
nPrBiKGxTNW7fWU25uMmcVSGYOPm+u+YxWw0ZlUt/xwYElz//coVjeo1WEkGhWK7DTS1Ia2udQ9q
STy4HBVSxAJNSf2Kx97JyLVo7XEgYejX5GKpoysZCb1U43OOatSFkKLpS9szBzgt5j10Rj9nrJMf
REkTpiOVnrXusa+tcBadK5g6R7O8iUf6T85dnGq+DOhllFtvWMZHrFzeGwf+QVd5Y/kWMXKdP43u
yYo+1pFrUrI2g9GErU47GK2PqflpNU+ttS+diTu3DzqB13i16cc00MY705Y2Fn+9WX9RHQeT0ezH
fgx7R8eZPYJD4bgkAIdhxEfq1HZZGC9v1bJLjEOplm5ZHR3zpZX7oBGKG6+yL9E1yOTAluFqKqqX
mhbU/Peevd/Q4lWYsakOeXhNw3iBS6GA+lKSMJW6b+mkvjTCKDiOIqT19VDae6nZ5lYciGG3GOu7
TNrZzQNCUxAg410ktlHbbkcJYc9K3iQpXapx3ESKsZE5CAuLPSY/57x6T/uSE1b4kim4an/ay+zV
s/2SashMOlb+aGeKp+SA6SXwZ2umnhCE2cS5Qm69n8SBa2PHBg8xpN11CnEgnz5NolTdN9tVeYqx
LjF5/5bVX9KRFmNk+Yutvw/DBFIuvTix6WoTd7RRoaZV00Ba12pbTXbpW7Luz+sFoyDFc2j3zfMS
VFp6RLXlgmfMUfT50TbXbZKqu0iSt3JlU9XpxyStLgpArmHow4iaYCr1TZtPW33CeYSxhVKcYu05
X17r7MPJPjLxHnMFKGib5MdBe68FrfbhLjbOwrxM1GwVWsExnUgaJpJUBPn6kfWvzvKaj58zdKtq
OevTlh4+MEHZ3tBB1RIjMHNoCqfr+LpTYiiY9wwUla7iCfexerHpyjjyThr2s7jk3SluznpxUpJT
qpzk5WNWr3rej2xDf2ryzShJF0RBK0LTKmdeEUFMzsXyLYHY2VvnybgrrjfgU5vkD4tJQdqWQdFO
Hovxs64/OmPTaMAbe27cOZgjJ5hTj0hko+CSPJrkuwZN+CpB4zP2W63xVqApCATuLZ0CDK6stteK
87W8XJz7XLrrRrpH1UmKtIdV644GV1qsMwrcIkvO6C3sDWjDZP/rvSF2UfmJSClwi+MofyhSvNU0
DpQ4ZVnQSy9z+tzNnqrsaRVUqEbl4qpT0x9UI2w0xy/rZU/5X9jX730YLe0sped+uDN0pEuY9jJM
i+leHkS+r0Zb+56tagi76FDUb+rsHLXxQe9ntJgrGTUa532sxzsDp0Hfmd4N+WVIlA2V1iZ2UhwP
sbsacCD9Qcy/rDH26JJ2usrjFOPFTl7LEWD7+CylLyXzouHRbvyssfd6srdJzbe69VMSj8b3KttJ
XR/0ix728lkp76DyM9bw+tCegJvGQRwh2NNrT0upeAXxWEQt+/asFdMlzc9WnwQIpIeFGn03k0tC
RJANBH7IERkYUPjZWIFbYbejnClN3Rvtx1EqdpJG/SPzgxqcmZ5ASgbySFdSemzin2VcfjhtHayT
c5S1+GCq61FtGD33vea1FtheBFgL8nAntQOD8J22G5PhI04oKV2Ax5ySVK+yjRiw0BnsMegScEs4
rqvTM76A6AT3zJwP8vChdmIDbspVaX0UNDKMUvYHRXqcm5/Qr9qeXkbDn1TZ8yjqR3t8VOT/m+v2
/wNC3mqE6Uncd6MAKFj0vlQxv/+D9tgXuJp/VAI+3h/SKsZvVfmfbC5r7j+ea/eb1jk11l+pGBm3
smBymsrYnPPcjEHmuJX/EjB5dZ39Nw6owsJMbWwQYEuHmDSf6A8AsK8Ifv9w7v+1EHHZavNQSlxK
mrnL0rdJmgLFVLhjmciqejjnrRcX6qZ0ftnR/FgkvdvQf42dzo+hvFc/zDz/w7t89U1uUEmw/I0i
u/6OrcFoys//8lPfoIOmXJh2XvNJ5PK8MMpiAP577M9X73uDJrRX05nSsoQxpPhjFqR/Avx8AQ29
ld9Jtc7OIxV+M5dNZZShZp8p292oWP8A/vlCoNq4VeBJ5XiQplQSqJjSrmu9cR3CuCHHZjg+KTsr
k91ZwoNQ03ZUjIfUMAJdfY2WgjT0rnKYrUzEYTojSlSf5W66G8o/MDW+fLUbZm8x5aucxCCOS7re
2MXCVd+iPRA3zTEffzKD3rXjthqeQfvo5qlBQt1ExUJqLWQccreghqASwhXwGJVPqvGX9N1buR8+
R00zwUGmtvTpOeOU+ldbSLlugX+dvtYux76XQboOjGYX9df4d7rshnITL0Td1Va38mA9lAYXD5+/
e98bOKIlckWXHBPJRtWTNcpQ/++ee3P0rU7PW5F2vO6i+jHoQ4M2yN89+ub444inVusIE7EaDnKx
See/i/S3ej4JdgJVPC3LQflYX+ufv39Z7Qs84T/C/v/aEEqqSpaxWIRjHXQWMI/JuKrR0j6Z15TB
dXGXlhopYHRxpOvMGmGQjvmiKI6N/p0RhCQd9Wyfkk00GbZYqr5jErHJccpt15/VhKysmM/X6Xwq
O+GkfJOj96l9cFQ5NKWnJJ4ARO2V1UR+mMNUKg+//7Wuh/c/AJq32kGWmiWKSsf/UIjHBa0S0U14
MfTiu9a072nDr5hE899t0VudnyU3SrNo2UpWdrd2G8t++f3v8EW0v5Xk0Sp9rBQ9JdrHxzq71gq/
f+4X0f5W99DUxwatTdZmkmoCMS6MUkRjycYB/E8Csf9wkf9r/W+iwZTJmtwanIFMTby1ulT1Udaf
6ultKBy6jBED5N2kHfv6aBVvVX/HtV5Xr60kAXTLXbqYtK4Lr24/yunNkR4j6zVVv2Ovbi40bHHU
wAm9v04tJWR2Ylo7dbGp218ac1KcsE214Tp/TvMXI/XBMrs2I5vMCRXEl6w28QbrpI6hJe5l+ojy
jzS7GMqHs36n++xNyZ0y36/m1Yvtvuycs9Qd5uyc1sAO6pYh41tDf8dsu/u40sBFguCJH5AztLsV
j936cdZlvylfpmjfgs929vH4B9b3V5jwW6lHE1LYkI1oEl21OSgGAT4xqkFbc5lp9JuAHx3PiBUc
N2q/oRLWab47cfIHCb2vNuNNvOxnp5YERK/D3J7iaCv+BKX+6rk3wVKtYz2RwA8cxk/7qfnDnf5V
UJNvEqUllWp7aoHrV9Orgb0oUFDaYx6qW3oM87enHTd2mzlWfGUxXVlecZhmIhFbftPvknxHtS+G
0CgWmoYsNlMNy1BPcb1+k9P+ztEr0Abmxa4SH2XBUKG5PKfmLl63Zax5SZkeF/rJuXYs8WZJtT8x
u79aqxtc9qAXolpzhZxgjwKB+DsVGv1WRmvqmWZ3CY9Nz0zj0j8pplyP+v8fAvRbDa2r2UBeluyY
yGAs9xPixNbs/u4u1G/NO9NejF2L9twhXdFgCMrsD4nqVy99kx4pUgnjuuG5SVx6zkSnAzCJ+Dvv
RP1WrUnGrqOUR0TLlQ+mo39Vbei32kq9pFZ9McMVsb5FT+aP398R/73VdOfmuOdm3EsTMJ2rNkmf
+f3fVVy6c3PcTdHXkbiuwPptPf9J6eO/LzTduTnt5Wg7jh6V5HJOG3YOeHQwSJYMTMIe/L9bj5uj
p2cEFFFo86F+G/3q11899FasKEONWU5tNlv3rbUCujh/99ibgqbsUsuRa/JEUIyMuZzvv3/sF6t8
K1WkGnEnCVWlhNPGrQUAuIwbz+q1UCv+JMD71Y+4OX25iramDRIXXXmGEr8m85JhVO/kf1Au+u9U
V7dvkpJRzhJNUgbi5yKOczy5TiEONu3MRb2HzPNXabp+K2CUFbow5xzlXLUEZr51hnjz+w/wxZm8
FSJSW30al16BU/8SP0l/t7Ht2wOp1wxsZUYEhhLtaOrDaf/9234RSe2bQ2lGcdQp12olzbc5ICfy
qzqpgt8//KuluDmOqoOlcAnb8dqtFdNu0f5uNW61iJolM+iMs8R9v1mueHH39+/7xc67lSJCwqBV
0Q9bsIQDFDwgXJ+Dmbu0SxZE+vqHH/LF6bnVBVLN3I6HjB9CW/SK62C+oIP60vq/u2huBYI0A7+Q
uEfTwWz71DV1xa+BG/5+gb74oNbN0YwNW8lHmw9qRKjBofzwh6z5q+de//u/qlsbPfFyWXhn1fDF
h5SFv3/df37n/0hurJv7UR+E4eSOmA8ynLAFTcAMTNocHzPUWaX55xpPIB7hFfVwNZbWl2YZCtfO
BHMpq67JOKuoQXPdmaoNABiaR5uEWaMx9CxDsT7r1XKd9B8SW/UAS17VQbUmeXZKPbAXM6xXurJa
qJiTT8PM05HQiKofV3aElMtAFd5WiizcHI4mgn3zWhx0eQCq+dgD7U5N5ueoyZbWOyP6QKHKimn1
mYxckqIK12LeqUMXDOj72ZUvreaxiJedk/HH4y+DYerwvCrxJoGZNJX3PXr+kf5gqyATShU+6jMC
dqALfvx+mQ3rGi3+a51vwhNUYUUhNxUodw9wbV+i+dkAbyQBoKztx3phfaI3kUmh6mi7xRk2Q97t
l95khrG3hoW5vNiW1qmKUC4Hn6qjXD47jMobd7J/XrsSeb3vLMhEah1eJUhmLciBAcTyHqhgGOsQ
dvjTZb1r85+Z+g71AYbDU8XgsNK3K7PnedzMOjiWNUbe0Bdt6afgvFPxUcP7QsLI0/veLQALW/MM
D2irK9kmZ7qxAkoqGNQbP3GNNsVBG79PhROWtgiNhCYJCO3lR63+yHAqmcUuA5eh3A3FRnLA3TCz
bRWva3az+kmb3hPm+Jz31V0jDYclZ6g0MamEpNxrtdcBKYvAmOQaGrDiZelBSk/3C5D5uGQlsrPF
TA6CGhgpVNBSZPel8aFPWjBg+rZIdG9epId6APP5riiLO1JsNkm9ydf8Zcb/u0hf6nUO6u6gmZta
ZlaPnuOodL7FH4ryZcUKWRjiIsEgb3X+ZzWdQMhKsq8BGB8X1eUYNOYZHSx3brZmM7hdf8FAw6vS
MdD0j6I9GovhZ2blaUJ5rfoWmiKYdN5qSrUfJjLuWE1tUwfVdTGNG3nF2RpOSpn0D3PbXNFfmtE/
LNPg2zApRlXywW2Ec3oPbtoqq6BAoNySFE+k024ChR9bhYet5NpgO5GsOwmClX7GYM8vgKM7Ro5R
hu0pvILBj25BskwxUKzrgDFQ9cjXo26nRP1mEiZKp85egerpRDOcqjJIrGE7Mmsb0iQoACvk3Ry2
5ucwRZs0dbYV2ppqon1UMdBpCFoxA1q7lAMzVf2qeFw67SoR45kS0r5dcS7Un6l1v0BloEnq0Q4B
murgn1d6tjXuhsTwlivvcI0AE30rnOZir2gyMUExXAk+giSdnGw4NQx+2zko9W8L9rtrerSQvxu3
FEL39Mvu7FUcFedBSX7NMWxNBUhCA7LdqL1Zf5KF2Dt5SEeJuWgUGuAt+NHuHG+Y0lmO6Tlg0IEF
OT0WDiehyMDFKkCYbSCK9Wm0IQS1wEZl3a34Ynr12s2vMjsRaNTMkCCaIq+MaqBSpdvHktctaJBg
+7I6lquJV3SP+zTx8hmKSQkydS03QtvLwBzMIQHOxtSyAe1bQAJ4r3MNWuGuzTQ3sTR8EpH5K2E2
dsd0mTeoQCE9GGT5Y17aAAd+TZrt4lCj9HupgpxOn2ie+OCT6WnoBWnygwHrGuIO8uEq8lm98dbX
5SZhmmFnT+Xy0MsAzGPH42OAsTqoMIadCry9wz6mGTnkr1LZoUykwcVQt4WwL7HhPE7WAfhWCey5
SfcCRfNm3pideRoJ0Fb/TSrgBOZwRdPelxvEmjNSKxS3GJuAni2SPCiGb7PB+RyB6eA4Mmm/UGz0
VBkC1qL7jfHegm4d5pdhrkI5tZi9XnIb2Ux7CzhIGXJvTPCOvJIfp3xfr3cKV5iSvvYjqPjs3TH1
bdOYwA27rWPJdOcmt4bKWRiTK8kcOgg/d2Z5qXO28Wy4Nrh+2dkuzimysGvrLRSja28anm0F9CYY
e7/Ok19yVuzj5LFkvs5Zul6IwgAAZb3qoiJEVsE6xK8R064BWHDplCczfrNjoPBsuAH8nMAfxl0A
DTUcUdl+yUB6VFjo1Pl6b7bycwkmfimhF88VcTlz3kqJiJjMeRcWs+mbw+x1Br1no6u/d5O5m+Qj
oNQEtRg0HqAOo0BqVhstPQzTD6U7pcVJlb/bYt5kNbfyzFCyv0rmioOqc+3/XIZ21zdamGcPYA2D
JapOVACeznfDDabLH40GTWZogIMDvnZgeBSVW8VyTp16mrofLRP5WHgD4vXmgI5h3ASLvTO62W2t
58F+o7fkZ+nkt+aLUX5q5uOUfcc3zNehksQkHWP1w4LHsOK8o/bWpcvumx67lPgx617KdMOJCkXE
04wiPcX5ci/wBEulfS4ssHREYDC4aKt6TFwg4oFqyrMeTrC97yvZEyXggbLPgjF7iOrhMFXwNMDi
mMC8W7CbJpkJxZTpON+j5UHOK3C4AFji5CleH3kNXwZ0JNvTD22Kjp18kfRnkYYDPWGoVHMqdoW0
tyJ6ws4pZ4TUAGK/yqWUi/Ux1tw4068abl66FJtynI+DBdXN4fy23yJH2c0JU9YeZKfEZi1kGb5M
5BoM6a6WtlI6kwoLErUHY/yTgt4Xmhb6rRFzgnliBCFGHJzlPPSKnxKb+w5mePupiyysSK0GgC5p
V2ECBZ0d/gDuv0FsSp5I4L6ln6taPuQRl1v02JWlXxoxeZ7q1xzPrKbvaO+GcQJ0BeE9Hbwukbbd
WIMKd+BqPjoFyNCq3pgDoCqAwb9PufR/1Hr+K+W6KdzqIRnzJpno9E7gFQtY74jXtJdEHbe91Pop
wRim8VZoYdusR1v53tk/wcC6amH6Vj25yQr3EiJWA8pjzgwY2Xc4jLgrtAixQiCVglYfD8AK0/mS
NUXQIDlv5vdjBWk1Uw/9FUvYkKAy6ht0WPFW4xXVU65cBoQP1kH4dq0FcrT41Ko/S0ioTr5u0hhV
KoYGywXD9E0NkTPdCXhi6XBvgGLSFjyI5OcJaUYLMkkWnYrkAyit0Ux7YT5k3FOZqIKYWtIerVOW
g0ijmx+RWUFgY85Q59gkCqjT/R6lIMUt2xRK+aaDci+YTneAgggHa/e2tgc0f8iEoCtb9assIX1N
K/EqQztKR6ONHwYC1wITYO43TntyjHPX+UN6Uet1K2e7he/ew+aKYlDFUr3V1NgDnEZesI+aMCp2
qug900z8lXBmWOA5IVvYOuBspQl0+64iKMvt6KpDTRQH8gmRSHvXxwdRPiTwz+jC1tdWdXppAMqh
mOF0zibNSUDtUDLhqWnyMS3Oq/TGlQEiU/gamVMzPSwZc9J4I0enlcuzax/t1fZjNZRmVzxY/amd
Vze6zlrkQ7xe1OrJUu6NvAswO3Z1huTpeBqtbz28zGI3E9ZM0mVwAu4/uHj0BHK++5q+2YhN5ND+
+8dIvMjyJYl/TN0hzV4juNUpe6Fk/2nGuYl/OB1cKh6cPdVdenW8Jtcg4NpQ9xlp4a8QxfZ9Agtn
tsAtY4QWjBARu1J+motLzVzdwnkAoG1gl+rOUZWNbUYPmHIHuXPACMPOu03TAL9X1eNQJ7uK6icC
Il4XJsgpPo+zMC5oX+r+rYwe+/RZKZ09JCEEAbWnaB6/SXJzKDjStfWxmvNlwvsT5wVs3vwK47Oe
/tNYP+kDEUKGyJDU+wj0p5ayALClUyl+BODl9dBEJ5lLYLnUZYRV2exO0XnBvbMB6da+R8rDpNZu
BxHDsdAv0J8NBGrLFLasnB/15nkqwnH+luWLX497BVYNRqGkraCwdAKjop0qjqLWXHAddjlkcODh
MWPdwGF/V7KHkfRC5us7z/C78B0ZxHsXHTSmwuo97RLS/UAFSDysJ0M/ptMc2rbjowAyyIeF+6PU
3zKYDrPzotu/FCz9zLQO4ql+sPT4uYKsnSIzggbK/1J3Zs1xI+nV/isTcw8ZiUwgEw6PL2rnKkoU
JVE3CJGisO87fv33gC27JbrVcjtiIr6J6IvuJlmoKiC39z3nOR0Y+F0fII2PWIFSzp8hbO8j/1Nk
QB3m6JiLx6Cb92ZiG4AqfNuok4qO81jjZL8QNDEzj7Nv+yFNSgzRKbq5HlM7GIahvTNWe2GXhMbU
UceZ2QtOC9vrsm8/RgCyPb/HgxUdlQ/IgC6Rhwdx6NB55t0+xHXQqvqd1/tnMPWvR1z9ekbVmu1y
D3yawHgn/O1IxE6yHsVHtkK4/3vvxsX8HwXXq4sGeEpgDt3k05tjGg9xKwMWyJfogKGp5gwwrps5
YvV8azpEyH2LcNoZTBO6PY/tS6d8P1FAk9mMUWTZpgE7crwcwjNvq4WckPV++vOxGE7tcLYuQk5W
f41VdkoCucVyvjUNhgh1O1NCyKk2WViylizcYfgAWXEW98igvdM0nbeJea1VjrE2vpISSG6GqLDu
9lF4TICumDZ/Gwh17HDChE1/HSh5DjftOEdIp0bC3prptChzpnv7os14HpmRDCDm0b23sP0EBRNU
+zZE4N80n4YmOOgcffM7MnuqObicC32bpeNJGJSHgHB+sZz9pH7wolCIc4kvA8/0xYyxEF901Dz9
+Qs/K5f+YJl8iSoexeCNyqmnC9N3d0xm1wGYnsljHyoBQ5ARNbP/NzmiT/MEroE9iLfFXHaxWOJ1
Opkzu13eR+Zr4ofXfvD1z9/UT2quLwnHzeLX6Oc9sGGZ2qRsglaJ8liVv6iOPmt5/ugzr+XN76pp
KjXDUGe09Cpb7rrFvhvD88Ihqmj8Glu3YS9ozJ+JEaVxdz6yJvZzcp3p6/qX8bvPeWp/9A5edAgA
lJcezyCfkDrKgsPemXP8IPUeJdl5MPq4LkiZLF9P5CjEOJ1b1qrcYZUpLrvqAqnrBFXBOPb/rdbv
vShbRhjB4pTG+EVkHcV4t8S/qC+yuv7xg+u9KFxqr8C/wXp1gfl+U5OxSzUOX+IJacQth2fMIcUF
GyCiPLJtQde/iB/rDFC92NlLe1uyoiyR2tWY1FgL9gqr9IRvISs4/r4ZqnsZqoPr9Qe1qPOoGvaR
da9QiJfSvPbLj2M1bOcw3uf5+3rR2zHFDVedte1lML8vunoH3cjHESu6102SbHOgIg2F5jq4kebc
MJsyp20r7xLnX11/SO2e8hpsG8KEJgxlzO5tiSEoXba6ugcVkgW42c67ASK3vUMF0ueazSM2eav7
EDFRTjiOpjJfKwnbwGo3K2Wg7it2FZ/TiM1iilAXgEbW4QyNzFXnTWeWQtG/kjr2Jrv07T0mVrVg
V6yvo/KsnYOtS4nQoQ4xyfyUAOJKORaUHWZ6caaqdAPQDY9qOd8lXblr+uhM+wbS1r2WbNvjs7Q+
ryixEbUUh5+X6WtRhhcVRp86Qj+NixFCiyOP7njpg6suyTWgRXa5LPF1E8esxuzbWVVHkTBW8l04
4QAfsTOGx+AQugLalOZWY32d7hPlXBXlV1nWp8zMu6xf3f3nVfQubpb7dGTz4+Eb9MSeI+e2illx
sOm1xbshvXLSK4SiwJ2C5ODPDzIX+9lO3uruyY8elRPtqhF4XK4pfCSctdJN49jbqThZ1dtOV7tF
Vl/Htjh11sKZ7V6rC4Tk2F27y1zKPTwTDvJqC1VpM3j5zYKZfMRv1AzTYSwDCkjZJYa354TxMMru
DcKCKCvJzP2YUiDuV3slIEW9JJSR9EUurqPlqmP32MzhnWt9mJPmwi+edISr1s13k6z3M76CfvSv
VSTPu1A+xJIKBMIN336yBon3mFit1gVbWxG0/iHBtwVdrK8OPnyNIlc3ibZ/0Qf5STPHe7Gm1Gky
8MgEI7uOgarh7RRGO8sgIYlwxy2/Ujj8ZC5/yeWG1lo4QITGiy69y4kZdttLH1vrny8UP2mLvMRz
+0vBIYWd1EVpn5KQwLxp/tX58Y/nLffFEqFDESsqu+PF1F71wy0rwC9e+CfdrZdMXM+X5VhoKuU9
eIghWCCDAZEj7Liwf7W8/aTZ4L6YzV1dZG26uNxYnBxV2pEh6FEuO09AlsTJXWQf58Iwz8RbX5lf
NOt/dptfzPPFImw9rx+riT5Lve4M8fSBAPjz+/yzL+1Fm8qkUZQvPfc5dG2SyC8mp8OACoRu/PLn
F3i2GfzBguw6P24JkqBDSetKVkBvXmfqs7iJr9NKPYiQIj3RvDEzayce9TBxvM2u8+CjaTiSrEl4
GO6gLO36CnBYOJ/SihOtXT74Xn7W4bekeXdoBrFPkuyiYDf9i3f8k7vsvfhObG8O7aCaaDXiMPQi
2gpeeTlmt2l0P1Yfw6mDshbeLyC5FNAPP4Xpoy2QZt3GGlF1VVg7W8xIprRpKX0urMcECPyfv7f1
pv/Bl+m9+DLbIBHQ5Qy1RHSHLCIz9cE/f2V3/XR/8NLui6pOzTlY9IonoSuSm9ydj3Ue7v1uPHO8
+VhiS7NEtWnLbAe4HsoPNI6ifO9jEBIUtcPiZJJxm3ifRIKSspTndJs2QYQmNdmW+iFMmLnT23oF
lVDWFIJtBpmgNg7hERZU2ILTskG6BempNd1eRvdp8Dl1qz3+uFM1p+/LeTqlyI2z+EbSzC+IWe39
T0Ggtq1/LGLQD8v0oCb1ltRoqgTyF9/Kz4bHi5l8Tv0orEHyX4ispAiSbSeAwYS90cn9pl//t8fp
38On8ua3r7j9z//gvx/Lam7iMOpe/Od/XsWPTdmWX7v/WP/sv3/txz/6z+vPA8b38uXv/PAnvPK3
K+8+d59/+A98ZXE3v+mfmvktfvSse3553uP6m//bH/7t6flV3s3V0z/+/lj2Rbe+GhDN4u/ffnT2
5R9/dyQP7r99//rffnj9Oefv3vVF3Maf/8dfPH1uOyxP4hWJnb70pfKkkGqVK4xP60/0K9cRPjsq
2xhby7W3XpRNF/3j75IfKeEIW2jlera7BpW3Zf/8I/uVg+zDpU7jS8+WTET/9cZ+uDm/36y/FX1+
U8ZFh//qR8yzdoSUBp6ObWvbcbT/Mj8vmdQy2TP4R1fY+acsGaPzRcUr95I1bbSylQS5TDe6sHl2
cOn9Yvz/uBisl/dAvLvaOMJzXfvl8tx7FQ2NCDKNKiP7Bq5t/xC3eKH8Rla/mAb/x6WUIo7S066t
WELlS6VsbgVqakeC3WWRZLAtE48CF6XXWtCN/u7uf/uS//RLVR7tSVcKYWxp7JfLq2yKqWkm4D62
i36kE1YMdscfQEdGi1seFi75zsOsKzg6R/5TS8ic/IUM5MXJlW+WT2nzzAmlDQ/ey2mwjftwtJs0
3yzBkJSn0R8jSF9FRoarWWKMArK37NtWz9m9Cz3TpoeWVu/9vufQMxZsZkJZ9O8BdtPz9ca6dfbg
mP6iv2t9l3p9kqVGIqo9/dK9EBPehyWCcwioHPhLVjKcW3n9S8fT/7z32uVCwla24/nuy8es7hMi
AQSJJildzgCo6jS7GKhX0KDLaeBeT2H8Ou8t1J/wlceFXk3gPjVD530dKbxHb2rKZjcxjCga4fVQ
Em8SLD2i9EX4t2Gqs3EbBsbiqFB10TH1s4JymEZQ24RSD8fOH9z5MEcSQUCdYPH/88ftx0ldO47t
Gem6nnDRfijlvFjnjaPymZGW47VNoVSmuFJqxtxmxPe+b7tovPnz6z1bp35fWp8v6LtSk7bJBaVj
v7hgCB54NOVCy5SdonLp1jrS2w0B1cUg/WSC5rY07jGpwVyW6p6+5bltgl3B7qHwiqsQrkyN6PYX
Tzwz4nfr/bc35QlPOYJp07xUnmnXsl1rZW1HjRvfVkxngJHmp6VNzcWkOMRmdfvXMma4pqc9jKgM
D4Y5Q/7FXmMZomIKlY9aIjXlWeTY6YGd9fCXnAi/XUXbhguh7nWUfHGVPnZNmzggiuusWrUhcJYC
5F6/+P5+3Ir9dhWWAmhZWhrpuy+3CJPygqFYrzJk4ZlwO29X+jr7S+XJ56uw0BkWN+M7ikXvx100
BTIMsU3JSIRmlCs5fgJl9MucyWfP7g9PqLY9LoOb1mbCt59x9t/V7ybhtaUY3MfG75nx7Wh005MX
L3715InMZZja4Yc2hBh8CpWynF2WLtrdhwKFy64eq2y87oG5OdduHKsEUEaqy2uZk7l0aomlQgAH
k7YG79OFhJVN8Be3ztTGtN1bnblv8mGqM9IjgTFdhk7I36q+nqvzKHAr1p+Z3GUw5UFCn1EmBSb+
JuoAyUQFaOY6hE24wCfPd0EfJacwbXz/CE6BfujADYGglRNgvGvCZHroXCATu6YbYXQveZOEDKxq
DF9X5DufJtDi2QfLlbPedqW22ssswpH/tpc1Bc2gjOhpDX3TLfvRF82jP1lgRcGELwZnqJfkJx3T
zgSN1ESADmZ7xMKunbwmo8GprF0ztHN+qCvXhMdZLc0Hu7KGfNfbQdgdcnhtdOialIZOA7fhPFiq
AUZJ4UKw7bI2mEGGtzV0Lmcq550bK90iKBLRO9gU6znKjXxxsGbfMxuKoMG4rROALUen6wsNSqVR
/YZsSExRpWhdsR9FBsC1HYQ82aJFEB+iO5RnRii+n7RFxGJSDdbDbkP7U0nuQrqvYtUDm0xdqz5w
GImoT1XrN+hmOXzN2XPDN9204r5jFu7r2YkRE2CfnOCdVR0xX0M5o21dkmW4JyYrfWpGObR7HSap
v0eeJO4w4vEQZEq9RYktKJpNVYOIJxBevm/SIZ+OTjVV8z5Og+VD6sSzfTWVSdTtBfARn1LWVBxm
lRfBmdMyCZ87ZqYxaxqZZjdYFurmIFInpbeYRGnNLqO3PorGL+e9VdU5dJSsye+NHPKHII4G6MRK
xzGMnyksN+RUIj1h5nZosukG1h+7wOLJqkRS77spzi5iCDhkIcWGZmhr5/WXQdY9Ul5EbadYpAj6
wtrDqzu2WXtWLlHB8Ui4CCp4uGaBVNISEfBBTYWTQnoGNUbmTcdm0qV5VMSTfHDLEiw9eB0fR3Ru
RVB09CSyi0qkw7jRRA2dj1afPtQzy9i2XIhL2lSe4jg26RoFT1ha5SoHbVm041KHn2dd+6D260wB
ZJgt58FMKaDwln4Y/ch8gsET2nl3nddToc8qGQIdSYJ6Hm7czAdvVdsjnSkndQD/hXVjJo51GbBF
PdBvPAxz5MX7sKicceu6qVNs6AZadPOkUdORU/uib/qhde49NJfVDZikMLgTXevG5zU0yfPFrgd3
01cDcq+8HYpo26Z08KndR2gWw9aiBjq2FnA/Iobp6E5aUCf22+LT7MfjGxllEbnxTqA5ViKydjta
HgHNTdV2Hv67oQIjw7E0XY5Qn3CFxOnSZUcnSiHvxqFATNjYg5Yg4HGkb9icRrdWTa9oq3WhYC67
K3rVYyqll2MieGZlH0rwYEjQUCciKb2oq3ZwED/kgFwptRTXWZvREGvYuqNqGWm43TimNzCXEPB/
sRMZiKOa5jhCqeiEHyZTD2LLzrL+EsvVmAjIptzLymZ57ic/2YvCb9GUJKa68ETtveMtBVdB8hy+
XBYOALE0a8FAZyB6CPEaGM1JU2SAewvvFme/OrNM40MvtTN1lVa6GIEt63zceEWVEqSXJQMV3hir
okOFtgE0xp4UtJxs5BnKseBWwVT0NkMuwy8EsolrSy26PstNOY9bBczZ3jnK75djCjyu2km3Guub
IegW78z1iMbcFu6IEtDz5ixAlNzWnxvXzKARBPhH6LlabIchyt6LKffLfcUkdlxifK+bjCTo+hD7
Brujm+REBBArtenYXL5ephh0c2W57coZYrnbhA5l4qhX4twAIZKXnm9ZF0U9OgtfBNLHLK+d9FAV
DYGoIWDkbLtoB0yvA0gXRZVJOnRtk2N9ZUS0H2clvM9lVUIkGJdaAlLNIxocA8UZeGcR3OmNNgFK
i3EK53QbpRZHxcoL6b3aPgZ7lKza/eQjFHHgcg4QP0o9dMnGbaMOxnqYWzcz5tt0a4+WZW8XrvkI
mq8NDrUqMeBZSwSZtY1zemhjUmG27KQMPyasWcW5Cp1IbNGGAK1oSs96HQY5kQx5P5e3AVJREN4i
jnhwsj5+l3aTufOnKvia934CZ7dmz37JSYsoDgmbH8V3VIVfW5CQ6sxNZf5+ZmNH+yJsXboJ2MpQ
6sWBRCtohQibg6Bprvo+aC8thjbwhlRXN17lwdrJgsG5ywLwaVsmFHO/dHX1xrWy4q5MW0JCUicC
aezYTlVv3bKwh50bePO8V7aS5g2qtWw6iX5SKU39ubEgxYzkPxa6HM8j4GXDLjJNnzLL1COuYFVw
JzwbUUgeWFXOPah7dJOJuxAKTtZC4HVescmHHKiwY/tMJo7obQuieQr/Z9Pz+NKKsnTabztnHVZ+
vN7VoahzojcEqk/PT6fC2ZAfgAopa2ZLHKbK1uENvTPI/ZZQSUZGhac7fV7y/3qCDkQ4m01S6JlR
hh4qnKmn6ak3Z3VbulQNSkcGzLVkg37tI2Stu6kOTZHv2zT2vPy3o/0/oeT0unoqbrvm6am7+lz9
KxSeNJXRnxee0PR9jtdG/m9VrOdS1foXvxWeLM+8IkXYaM0mmH+Rgh/9Vnlaf8SpxXeFUdLxhF67
/d9qT8J5xW8KbdvwHw3nG/bo32pP/Mh2KGBRVvA1xSwsX3+h9vQcxfn7Lp0Tqyel568HAclR0rzU
FWJqSOyZMgg+8g5ctJehtUYJR4Rq0lBvRTwA6M9d4Jhl9Xvf0fZto1RA1o1nLlwfa4Oyl4/BiCi7
qVPmEbZ+wWPZIoyG07aMxFRlaKhGF0B7O1gjWG7Q5ksBdkk5qXfX9+FKaaZSc59mhbkKc+U9gaBP
EKXVpj6bJicpwWYb72qcPcS1BkXO3OfRgS+G1NOxHIN7iMjL7Xf38A/KRz+iHH77WgyR0NoXxsNW
x635XnzQZOEi3MARu3aog32sZbnLiqHau60E7h4WNHaXgD2OBcDm+cr/jIE0PDVd3zz9jXHU/g21
7ZfPHUXTf4EhJdYz58+H1HUcPjXfD6jn3/9WyXVf+ZQQuTOe7xgt1nLVb+PJfoUIyed8boyhOiv1
Wgr4Np4c+cplgGlaZb6QJGIxCv9rPIlX1CIpgVIBo/plsI7/hfGknwuLvw8ozag0ns2QpabKOZ56
6o9PTtzUcxzCLQvASg0XebKwQyZJmXr/WDfuF0caVAxtH9ia7jek6m3Z1p19LvMygEotJOfSKB3m
9Caw/CFD8yRd9SUyc1zfjEZa1/hKl/QYJFWxdtbq4ENWGTNuJm8qHl3OUA/tlBhk4AWMy97NYCay
DZLnvd2U4cPoIF67hEe2nGOjIjTM9gLIZgFmgNku4McEAtYujai80YsLMzRN/DP0f1VzNXecNk9u
3HZ3DTubgVUqaKh3JUUNVLONEP+4IUqGr/NSzfrSG7A0OmmaVHRzPL2S0X2gjxPJHeOyS/D60ODU
BqlW7bqD/VTUmQ+8vvezATRM0ZeGdusyFhwnkCd05GEkwRR8Mp2DPCVzZymvvbKXAt9Gn9DGzL0I
ztwyNFJutOUGX3qgeR/qlOUdRUtQcGY38CT7AYkeQluDylCHI5uielYwC/sxukn71i121GSry7JU
cbN2p2A8Vz3K611n22TYBCXS6yapnLdVw8m7C0MFHBwDFRDP7CMnTPYupeUn191sGRslsJc/loNK
EdlPRXTro5zY5FPKcWtsnGGXKzf5xF4XEf2Y+UhiRBnD57QroluC2qrzbeo70YSCw2Z/AV9TXacg
ykDrUhMUxEL092JECsEpjwRKJxr3KV28Y8zKf2gix3sbV6piovXR9DYQiJCeiOLj3AnSMBhfiHwm
vbxfstz9UrgpXvYiGj3o/Ma2Mlw1IQnaIkFCY0Tk3OayJypiY5UlnOTRCfmuvDHoIEtLNyzfZUNH
vwCRsO4/cXQjKSYPy9FcEnluJpIhXG+WAdhDr5Wfx6TIfbHhoNMu19USpTOIPrJeOOyyXF1bDvrt
dVyk5cFuVfluIYbtQtUNKuXUuxxKAhT87mtfUsnx8Z9s5gA9b5TFZ+GQzdvCWqWdMVtKuwZ8O5n+
MmtHG7VnVjwkQFXnpiGtKCRJra9srBdENj5SWK93En4lhHJWHDEM7ikdF3No3OkYOmjEoygb0C8Q
DVVF1vsus9+nKpDHUnXtYRlXOteMWQk59OVEcAXCtPTQ8ZlPc0aqXqvfBzbBMkVMU5IOr+PAOkjJ
psPM0ky0Nu0vJBh8XGbvofY4+hOstExeeCBs0DwRmf4FrjQKgeDGmhfntmhsjfyTDKO4TBn7Qb4P
KsfZydlPtnMSrbFJ+gtyMQwSM25ECNHhzpvsHW3Q+mh6DjU1QqAIgRPqUqKaULrHDwP3+wLK5tHL
w0u/XWn0o+uQqBN+6MhF8v3wk6r17ZgQbDXG2SefDN5drXIyH6z+utJJeF/BoHQcc7YkqGQSkTQ4
0ZrzRWfVtkOzFEYBOtHsQxRiMs3DpdgJ3x63rWMHd6nIvbdtVd1xpru38u71CEk5baFaJWEGO72/
grqb3zGr17hOu/KrlwjrUI7E8jixy2TB3hfNaoXAflx6jFBDiZZ04qQV1iPktJ5SSqYIMuAAlGwA
/1I+sukCVx5H0mCiON1UGXJ9b221O311SrLuk4yb4ZC43heTNCncazu7LvyVxjOMOzFIa0OWr3/Z
NgPfCEc84NKtubYLSO1V775tWvEhG23MO6Rp+JFK35DWd0oSdBES8UJr+/tkCu4jTz0Ufo1nJyF9
LlPTh24KOuYJVKvQd0Gyyja6KmJK9ilEaXqVlCSHgTgEV+4gkzTnbtUqvgV5JWO/uQhrJznvNZUx
HTlo39MBeXl7S+fkhu4OU0gVRztCDB6pm7zNhVufe0PWHEc9fsyyML9tSomDcJzq3WhneDA6xzmJ
oDs5Ypiu0VPIXajXLjkCungFJE9q35H0w7nCSu5jrBqNCh9ywp7eDYSMZXm7Kzs8NRRO8n1SC/+U
R7HZIY6uTu7Y3OGj+ZKDvk7T+KJYVd713L+HX3nfGstQdArIUexmWikxYXGdxfE6XoX4znTX2RP5
ehzD7XG5KteJfsyOuqd2JNp5u6QeJjBG1CbTwTHGjpD2ojwBYj905TBslSyPpevvshnKXldbN0M/
fCnt/HwO62spcFbB4D4bCvWG+S2/1gufuTMdjPvYwW3pVl/mAoOwXXx12vncU9F+rsmem8rycohn
/9gIzENLYb3JbMrJGhAwZm3o6LVCz9d2D9EwUoHIJxSkIxEjjptgrs40NYb6sQTqn2em3IZV96hD
Ne8McOALojJgVo0rNLslFMoO3+LyozpGPEo+kDk7La+7LlNvAG6Rt6GvFmES7NeGJL3ixNJOwZ8A
rozprrDdrv5qd3b6rit5GDd1mJVYI5PB5g74o1QA7xd24aW2rfJxojqrWFK0bLd+1C3iPfozIl1C
3VEShH7GM3Voy66eHrVsFjquWedADd4vIsfpJUMt+2rnLyZe17ERhZ5+Zzgcj5ddvmad+YKd9Lbo
ejf23jgmJ0wUYDcrTvmVk7QmaKdmynCI6cn8COl90CYUsuIoRJqe8GZbdk5OOzoXsRjD5ZOy627S
+4AmsBHEmtINdI6yIMorOQb0FLA8tV03WUf4qwWZhLSm7rh5TjmQGWVhx54j/2aiTvumbWP7obYZ
R7uKtQKnMwtDNN02ZCiW7klbkecQRjjIQ93US+h+SMciw7gZphMnoELxDL3JHMahtS8tOWKNV0kZ
Uglk5XWtvbckeVLtLFtVYf4xmJHs4jgq72yRj5n1OrabuBVnFPTs+6nIRswxUULJY2Hhc+H+oRed
e6Xq6TJJRpNvZRDXkXpLo5+srtjNcd+nVlgnxypLXVQmkoBWzOvJkkJq8KnZ7LJANvNVTpRA7cAf
ylx6C1leacPXK5cC104QEdZKtp/E8kx2poTcbDLNvIAcJ8quI2o0LeFddsMk27C7fjPDQNBb2db5
ceo4yAFTNW18X4jmU8dCEN8h1ir17SSSLjyjcVqVDzGtKjyXc3bTWH3CerJQZG3I4unCq6i1OHzl
fkNYDsvOMkb4J8nhjAqyVYeuRjrrZOj80Ue5Qf80jPYc34ypmbqPXZlP+Vkw2FOA/4Bt2Xaa+NKV
igEGWmU2Le9M6CrvMLTWCE7P4How+7gheu7QjSTnFvEQ0Esec7RFiR6SCe+v074N8M7haG89Ak+8
usrADQ5+ra6jYYoIPMvmmOQnGls4VTA9t0CoLe8U+Bl+yyiwE5vhDc8iYstMmCouU7Ojh01Rbwj8
FLceO5odIx2PXiV9C7Gs5Tl+2OKUabsaMyv9m2h+jXgVAHJgg40+E1XhqPfR2NFNQSIAk7rKlxZc
to5K+gPxQEUYOv96XI6Jv5uXDmcINomPwkBgdqYIQbBJs/O8c9pD787dsZmq5YMTyOq+z5KevZos
s8aP91PrOscxJSqRehaiu2oiiFNG8Nsp+LlbTgfW5eRr6BMe4Rfp0I+nRYEUINGlfluSurd1Z6t3
N2077rrVZOIti75cJuOc6NoRyWOYtviU1t6PWrPTjUc2Uxm0tA7rgHVsCdMLUtzzrQ6yFqOsV75r
M6ujw0BYjikrdWUNVfa5S3R/nkRW8j6ZtE35MGy+FnPNLhHZbvGUBbb3tUHmRVSIdqwH0/f4qykZ
VteTh8kYvITLbivtd/BqanEQJdTnkXmf/gj0r5qCz6OJSXjeeFNAMypo3niU2jeUOh5YVh4qijob
5FLBlsKpuamFlz5wZIWRjcwc+2qa4IApwR20LJVnTWxPBzciuq5E6odeZD65jZ/gKbAWvGU9kME4
ZF60whQvnVH2Ya4pNPZO8ZFVJ9uqeao+qnlAYpdSYcmrIHpP7xJXDxmgft92O5nZhB2kFacT3Xvi
4PdMN5jU5PCBNJtm18yx3lF0TrcQP9Rpqrun1tThoXWj8s1IiZ0iZ34Zxjz1yyj1NjUs5elCdozI
NeHq9COcnTPW6m6K+zuqQdEZzmgLr5t3UKEu+BoHbx9WtjgXIUFKCbr2x7xZz7E6L6/yQpAi0Ava
hOR239Zhw9FxpBA6qqH6wCdhhzr7/XAs82HmIJl4ZzoQy/WYt9VZHzSaDz5MR7maJ/kk3bcU8X9G
SeZfrLYpFOWJnxdiLuOnx6h7Yl55in8Q4z3/3W8FGf+VJx2UBPT4PS2k8RCF/FaQ8V9RpjTCRw6D
tsh2JHKHb/UYpV85msKFreger7XP3+sx/Ai1liH2XVB9eJbd/YV6zMtyjE0/ho4ZBTyKQuRSPUtU
v1Mh9Db9ILupyS5yctS/xOoRZ6ZeMwTTHafXHhNEJq8jt+k3HQvpXk6L3slixt5v9947nUoy1ICj
XiFUYge5DITGhA+Wij+aPGy2dILWJDb3te+l4y7F95V0hAgS4mDFafMh9XAJNZlxzmiGVfAaqhm/
VpOw85NosjZ1HKDQCfPyK3DwaqdKwA/Tmp8T0/G4s/JVK5s6dEpXtgO6OlY5SvgHYzL1eq5bICsD
2+sEYZRl4YY2xC5xxB8HUswS3O5FER18UUTHoE70W1X36v9Q9X9X5vzzsur4g+b0f6dFPT6Vq5az
fflS6zj9b/3q/x9iVEnV8efDZvu5+PzlBynq+vvfGgKuw4BZpUrUISkVypX5/60hINTvFUsjXwmF
JpWyvK/4t1We/a1iqahYUvmXNsX79QfuXylYPhf4f69XokxUQmqBZsuVPgNRcp3vK9056uKqUCb8
ILyw4Gmtlnbw7L3taENkJviUMITuRTxh/UBuJgkbbLudrJgOaUVl7P0QeyMZcKMbG1BjXS6CAgFK
5wRENIf1RLr62UDELGjARi4MFkAdEBSbdQmRoXMCdcMW+6g8p9awRIjXI8YjRK5D4lcW9nUd7pNo
zHhfoY04yyaXdXQi/9iGCUp6ajV54Azn+RRUaYn/07H1GznmoWGNmsWgv7AXEuWdEsH67grLXl/Q
a0qbS0/woFn1Z/J7+HXXzcPOOSE/DPStJVPdtli2g84WFwsb4V4f08AqlXtgwnOr/AoVQkJquS1F
D1+pG8tJ7xLULFpjTTMDr1/XsTUMl2YiOWI+SzuSxwbo1WXC1WqXKPAYpgESOajzdT0poCpTLCwc
wb29vv+472M+dpSQ9/Pw3dP4B82NtXnx4y3XwqNPbpQSrpLr5Pv9LW/SzmWXMzbvSUGZQg2ySAXL
eG4n4+C5oIhLkDZ7J1wonp6VfblUyy3b0LFLTiIPXC89/fnb+bHXooxwiJelauGR7KSU/ZI1nNaI
J726rsB2jLJ+cFwQsWD8eu3U/4+yM2tuG0mC8C9CBI5uHK8kReq0TcnWHC8IyzMDoHE17uPX79cE
J2IsR9ixL6u1rSFxdHdVZWVmqWMf27NlukhuxOPzvFZO6QGmkHmD/9dlQIijQwfDzyP4+JKO2PdP
JZNp70bzHH8Bl/FZobOykzlF+TwtXIAGX+eNjZQfzFy03ALc6JFsp2JG4c+v4+K2/93rkZwOPuRh
uOq8pPdDQdZwyhS6o+BLUFNjlh/GtqtGdWIuYeaLM/TgDGpCMrAtwATdfG1qPNQhdrDCIfOKibp8
HcyPcVqgHNOs1xI/r0CNi2d9LOdiDN9qrx+SHLJT7OVPjMxy/PPP7+J7QizHCh0V+pecKjZnVRC+
ozLSCxUNE6uWL4DoKpU7UDaPxygYoYJ8PKU89Mb7CIuL+pf6I+dCfv3uCdJLDT2qIg43eKHvp36U
rSNoPnrJF7/0hyX+PIxlHjTHvvMxEwQBKMyXB3iDsc9E3ZYKu3+ro4Z7qlbZVd4H7a6E4V1KJ4cD
YxwdWpk7hISOWReJlUKjwiguUNHHemDqrDz5Q2VOtWlMaVzs/bbBdAMSwBp4lC8jM2z+iMtczfpZ
VzB3g5PA046COpKDJaKjV7C9cGnQKvab4+LW0pwfXVdwmcu8gB3tI08PHH/LyBCj5KbsQnM4WFlm
jsbYmn1evg0zmd9EFpnTEsiCMG3RtjaDOWI8N1j4t3D7lBGMmY+2e0U9vZshdHFJM+AtfxlWVWJu
j34F/6ayiONnBovny0XtOCL9FmeFcQZnbmw86R02OXbzxlle8YSrbiVg3Kx2ZxCTuCD1Ozg6s9OF
8X1RqTzmUsMb1tndkkywGfBkyXJeSaWDZIzPOh8q3/pab+d0EaCXiT9TjRSz/mN0+oKP9paK5/2b
nYe9ch4L5ZqzQjHAAgrobrXYDZzzK7gAA8Z0Ya46FLHmviLFtPgXMUIXDWB/Xa6zsbLJeqlAT/mv
ahkkzJx1F7c1qgCAWwbtZoNfgNRXdjx09s12QPmqt3hN149KjELG/yi3gx3Eo56fMV7uzDzMvBuT
k8yKuXc/D3VjXm4Gh1wVv/XjFFKU5wHC3Pg+TyuzzqjfI394cG1889JzFUNbbY4/35YXJef3WwOv
zEgQCYn4bA5DQf5PPpz6MV4Aa9i/MmMrA2GPV3T8OH9sZ55F44ZH5jOmhEUzVcrhRw21iau7/oqX
ZV1Dq0SVvXWmRWtyBiC1lrfYT0E7vWC2YJOUDkXLEX6KUtfsMt2SpzMgVRnsa845xsWLcmZJYcv8
4k7X8qVnvF+/Ptuz6pLnCTOf2X9sgtUwdQG7NCOfHhDCmjjuep3Mn2roMXzB9gfHs836rrfVjhWs
0zofYFqZM1uK0VqmncyA6cb7FqeQzvqknRqAhny6GzEh+u0adJ0ZiX+xs+jIDcx8t+hONHvatMxg
PBOlFffagn3H/T4RyPGZj6vSwQ0eE+zlum+Q3yc2rtNL18QqZx3g6FpF33T+vcxFwgCzsnTWaj6V
0mFq2DF3YrOppbZW7P5+/qa/5+KbqAp9wUZ4ArkjoAR696JnCXNTu4374iwt4Okeu5Q1ySgPyAKJ
q7DMZQPpzpr6SZ/aBc6J+/nnV/BjXGepoSni2YOiEN6/X2qYgTgSRtv0ktRVHsjfJuB6NBgWYC9v
JQ882tzMImzBsvewOQoMcgJGsi/zzc+v4zJV5D9rPrT9iCzHJhLAdSEmvXsUGo47p7PMXwJ/FbUN
iYv+OnTxim3q7pUMzGKJhSjBXDBOMRcSoj105AP6wIn4tNaNnYn/M86HNpk9FQCCLxKgHzPvNdOu
zJas/SJ7Jp/aN+tYmx9F18Rd9NTrUepnwlBYE7l6u5unb1ERBXo5zW44pda3BfhelU+RMw+ef3Kn
emwwsowZs4rsYq56hY9bGysRPFlAJuIOunrdZQ8/f7jv4jxVjO0JUFo4SlKijHj3bFU+9G1Kg4pl
1lm1GdbsRJaHLSM6Pzf8x+9V2eV4es1BkPxCk/HD+uKLSTECYbPAyR3fJWzrUrc5xnv6JcXuRFef
2KWwktHARBY/rrseBVW71HdeOo7La8wYyaL+Rd5I6sxC/u/6cmTkSF5i4LLpWKnvnsFEowbvk0i/
1Okws5S87X2mqmJT3DItj3P0xJCulrd7zR7KEtbe+JjWsaIzDSd/9RRc8tSclbllk5RlA821t7SX
5iQWGoo897R9MEP3oAffTQUmmhh2pbPE9jJtoELPnzOAgEF97GH+1daNHeTQaO5CQfPRf3BB8TgB
p1j4zZvEcpfw0gYLzFPsRkWStc9A9WZvarsd1HJPhVSMdEitmGzvqFLb5VKyrRzro7Y0GYg/TSZE
bOeuGsnZ37p2NdlFF02N6h5HOXtZfMod25zWjpsZSjNyTF9GR3fs1vpLNa8th7tTraJ5u4ae2m4X
nCEw1ct7/i2vipKLFbWk1HpYV1MmHm0ntmIHdQXqpw8VJoHO/BQXCLRaDCQT7vEovZ6a5hHN3Ipp
V7/EsW3ckeJ4xBdT5HpsDiKsZgVyUgAN9ftV+ZbGKqqpCXFrZl72kXoy5xJWKVMuod6ShakFIkZv
vvZYz9JKrDL+bYVSw9ObamECBWILm0vJhlVwYQVKeMpAP6SJNjCIeEn5FXcrVS12F795/Q/og5u0
pSLYUUySLJkHHHtLwkeTdmckZ2XqkMvgidF6xcFWo5jLWyKsSb3gsZpvbfUc8cPdVlRX+SbD6QG3
CWSFJrTaN/DbCAw3RGITJB2kJ3ydmFO3bY9rxrNKj15ZLYlEGVhiKTn+PgduviQPMGuyfsD4SQV4
4SCKIRGwe0iCzP0dq376B8r3JW1Gc8EzsnA0UIgmVA4DYk/rvKeKsRhokz/5XqaYSgyEbLbG2vsr
4bNfc09DfY5T6LTWI2bHsELoX3RLA403s1SY/lOSiLvjzo18L+rOoujXObhHpGMSJlXBGWeaelgV
NTp6hthxdrxa8BTH5t7COlsB1Fe2Irtt586z8aHv4CI8+HWSZxrPgAWb0xd2zFqvDTbQIo7Sk40P
m8kbXdGs2cGKqSHLO2fbTzZTmrl8JhSgCjqo0au5T/IjSJ/A0V7OFwUJXHCc7bay4vq+HT81eUm1
5TFCBuZTrkHAGmB/jY9RsFg8ki13/fnB/cPpifGQazuwPomMYI3vDq2mYKKJqOr0eUtqQQzIqTzu
aD7LCQNad4+JpSkBhIWxAxNug5G9/fNr+CF4hIEJGyiz4eX5XvguQ2iyoFZja41n2x2K+ZzatZ8/
LRVZ/Cu+qRQZxypKCxL8n3+tMMXndwc23yZC27ajMECK+v7eQ01nvw6m5CXwIgwGGZ2aVhgYjdTZ
Tf+lDOXAsPkA9CrHUaseaK99UqiEeYOFSnhexxEIm5Kmd0cFz71cy24SdyKxksA+sYo99ZWKzpwF
azb1uv4YjaLlPXq2hvJ0N0FOInB7SZwzBj1cA6twz8w3DbMXe3HMTpW5tYC6xNUgOtqgg2uy2Yma
F779lq4kYzqTw1wvq1s6aEtHoRxzIhSWFbXtS4gAx8VeoBkarBacqoPpi3dfBD+e7h2pNNPB1Rqu
yB+srLLb+Bfx+aLw++9jdhHPg8nZDv8D4vl+0mM02+WAQUt6nuNwILfCIUSaq2z9LvyTo0zha+gq
xL1fFB1YG5OOZJkZbYzCg5B9zRNjPSH12KdZXyjYeZ62munQ6sDsp58vi8tr/+/1OqxBx0VTC+jK
/39/vcovJ5lFffucZnGEpA6PxQxRjAv9a7aYuD6j335ymrRDeuE4aRPA8gyCfJEPUY4GZf0SpVY7
JLeTXjkEbkrcy0J9dJKJQuK2c6XHJaercnhvBLu4V3sLw8HxOVlky4JrwPHVdHKRDuXOMUkDPVCO
Uno7xSkjomnvwDgyL7V/UROans9328FlI/jgNTggANWI9/mL4zfTlPjF8BxVKz3trzgStGSbWdsN
HANe7fClOyeckF7jj7EgeNurWqy4qUA3YnxzjwCXvwNVM8iBY+Nr86qpgfmFWs9ToA42DD30Yqi3
DQiktg8WVqpUe98Pziymm8hq2Rw7pNMcuw/wsv0yQ5oGVyC/8+NoYeGUKO542H1lmSTF8aw8E383
geXP8sFZM66EOZozg7tR3ms53c96WvLixmaMPZxSB4ZWE0Pecx0jKWxiG8bleabHLvUtiEs0MjSd
pMyhLdNFg4PDqyQNGXDVnZfFvGXdx+vl3vvMYZJ7C7pU/Z9VGwU5DTFBYmuHrvwBjVfdnEXxMkRn
T2RQvGDW63w+rynGxkyNJZUlqKdqNNtoxgycq/n5Hnh/IgOQ2ywBsAFTM/5QNdYIChEZleGZw6FY
X+UWAhavCFgCaLZGvpEyglDxf38vLhpOFCFsEHCn3+XycP78bMIf7kzbmO9FmGrg/cmtzTbvZhg+
R/gBDn/38+91IJ5/v/ZN9yMydxyZpsz7IrWAVjW307qeRzqJLfcI+cDD5X+rYohbqVvf12UQBBgO
gI5o+akpqBxhmKp0KeFPNkIFDLZO54aJBW5Hevw7kE84TcMv6th3sD2kdopoaXtcbYg1+ft6p2ts
Fc5VKXH7XGY2JtQI81Zm4S38SV/iczY1kTpId3DL5QR7KCGA5+iAgIF//uB+WCiu64chPHyzSuzg
fQ/BZGN9TUvjXPlDxtq0B6w/2r0nu4Dv6kJYlueugq/z+vPvfWeBSamJ+EVQdAbGTsL7oZiPkjkB
WRDs3KCx+ruqHQ28XFVzE+M+30sDj651PYyhSfHTOsds9pLaJp1nDuAexgNZFyaqpn6RDop0cKMN
cSx14yPEDZ3ZAL3uuCRD9sFJMJleDwEztcnPRD3lMvvn5zf1zv6am0LuT+Dh3TomLXu//COx4Eoy
qvF8RZwjXUf+x8FpljBFfYI9h74dAWthzFa53+TJbVa5Xc90YBvafI8t/NRwN33rOmTcI+UhHkOi
BY57XrUIYmsP6ux7Fqryjr7KzhNzhESxgRPMPC0EhzIf7oJe+DlD03uLGuPL6Dk29tlbTuZOTJeg
lhGp6Yy0gFaXH3Rquj/SFTUE2GvQQY6+CRZbFx7jVjMhF2xYfXtk6kWeumF0PzRjb72sNRTF/u36
OtYFvwjMmIfFvLiuq2qPKlE4dcLNJYVTtLCzLrg7CGLJar5i5cWcElIOA724OqRExWNreSy82lxf
E/lymU6U02GJ0Fbnoaisu6S0de1QbMwUHftgRLfY/uI0eY+5ubRjcf8AuJYuVL33gdSXabKKIO/P
Y+WZHWo4A81bkcaRSdx0Zp5h4BRxj34ql788zH78erMpoExLg0gAiXDW/QfbJXfJFG0Mfb5CtcKt
bM7rfAh9vj+7dBIFukuuokgUL/0Xt38ZK//fBMqVnKK+j5eQIED/cP9pL5Ry1mb8lPiJKV5VQT4E
Buwlg0JXO8XrHB24nJUSuAHZ4QW6q2CN3FhRU1O7XUtgy50MLgrv0ZTcsbZMm6Laeh7XqmmpI9ZS
3MnWDnYYOKMCgQ99+dbryioxAmdltcnQl/IWR8eqZAib3SMXOfTOElh6BxTAqWGcwKq0/NWQsx+O
ax+Ez/PApUyb3nnfWJ8Z9eLCZx8+XY8oqj7BK78m7h6oQPOWLylnmO9XHqtlwR9uPk9l+8s6632C
J3zjwxHSEgvcUEDA/35hxM6MNfhSzJ9xT7USFMZzyXdM+VBwVEch6/Hn59kPiCvEH+4mgDtJFzAC
//3+CydL+kkdD8nnVMQZbgNYhFAX75wFkJAUDG+G8eskArQufdfHDb1+zjpmYuc2UBBSC01D6leb
84eqj6Ykj8DkV/Q+fgxZ3Vz0S12XTIiIEnOSLF7ukUfl9AhJJ7eEZ6IJNp+1NfBMyhl2EeDvJc4Q
1kT+BEtvMpEXKIjH6K8SEKPLLPP2toOSkazl+hqozlX6tAa8i+dmiuny77uiNO3kLaFryEXZhZ2/
kN1d+3aZ15ll7pclS6JwIiojRnqNyJ2i0qcRudOBHQeP2Lf0DDxIrEDLQyc9s7WbAKsp97YaspJi
ecSagA/XbWTyQ0eUDpcXDvhVuHiuXjDSn7/u97kAm56mObwHh4wA15p3y2voHcZt0wd5uRbwiMcw
2K0zm1FDIACLgrOq2d6/KthoJnyXvUkPYrhPxorZECcPfJh3J5491QWrfXSPmJWsVohlRVIJmlpR
5DT0mXpKiQZEOotQZKxTBFnzBlJOWn90t0aP71G7uLdZ0DrWGwzEagTATkLAtWvf6tqSRXKkYVWV
QV+26YHuJtsWsf2KhQEO68x+2JdBmgomuMCo58iqpgIBBiT4SDI6acJUjh4iRQjWSNc2UpF4pnUr
Rj1yEEVp3mJnMZhG7tsVP6xxGmqY3lFFqzOeNNAbzlcpLFv9VCM0y8uTFbmd+xUGQFHXN4ssveA1
X2NJMA6ENXT5TTyuIA8PjRuvuEStA7XFh8mmxZUc1iLVKG+RfWW1OhVLVMVPjokQpNsysqYWMtuo
GTaytB1dY9KmbGX9gBpDwb1dRhgJC7bi7JH54E1xZuU3ed0bUE12XTjjqrsAM9b7zmuhTjAsqqit
z2KyGcsCCzlq0Ubk4GRucMpCiZv+zbSE/UpCtkIDT24yBgVbL+HUc06VajAhK7atKPgGLJeqU1LE
E+NW0rxiEx/app+wGFi3Tnnmg9jyJXK2zDwiDGwQqoxMBGqSfe8taVIx56lNlXdXAm8O7ecEmEsx
y6mJKCLPa61U1oCqonzAmkwOOv86pPNkv0WNhbRp0K3jJAij42JI99oNTaC7ttf7yyGRhSlyF/xl
4mGBCxhqA7Nu6PaVc4D1vqlrLF4pJ0/fxCD9OKGZRAiWrgEMx4FA1ZHXTHJAZMl+Hv/aOp2Jqlie
KS6uBFF/oTvSHiavHmniqRDC88+3tpHIfr/HiOQQOYy9FrgIHM/3wYOtXfm+o+XdWKeZh+5TR0mt
PjtBHNC4Lis0XQE4mmRuVFFXRdRq6mX4+7dTAVfhgHQkyx/qnlPwoIFRHycQMSDzwUk+o8oCPotE
mUxPblB23T7FAotpeBAB2MykG0l+HzZzXRjL7ajH/mNo+TcGNLi5VX9UOfDbvaVBx08DAEl2wAl0
/ApdfFFHT2bIzwtkKM+US/icNKDKxb5dQxJTXfvudOdre2aWuxczVaUxYpZ9hm4kEQenR7/xEEWV
/mDhmMuUE5mw3tCdTwx0S+S6q9JQQ+GXNVPX5diFYG9V8EhxUUU3EzBEyM3mDBmoBudpQGCCY83q
uX86jJC7L2bZ+VALAvWhLXEwx7vKeZ1LbI3yvv3qp2nzaiGp+VAIa3bQ5okMt2sXI9lypC2Qwhx4
bAhXTK+apViZ6Ki8tuxsRqf51l8RvlMnurvlYYnT9UZrFmuALO2We3XAQihadzVtl88+YMauixiP
MwzR+tivsUD8iOH+F8xb1mPfCAYSjk7RfcQvBzcdDxFwkifrEY2pfO5DyzvFjP69qZU2fVwpqweS
KWZ9iZSBkivDdoB0GG+TpMmthnHw2dZS/rG4Yfol7vr2vFht/JjQprgruhaVw9B0DNLKagcgbFpv
/FkJQt+q5jvb64eHWmXzx9rtnJt1atVNroQxChp1shOBs/ylwyl/geA6MUDP7u+p+NIPU4A6Yme1
GCoVsM0f7KWIXkDnC1josfwUuitTZxR0i12eFOGDPSjxpZBD+yWi/XWCl2LtR9nGt5CDNdGk8ss9
M7stsYPCyECQ0a9eNL5f9R54nz4RLitfEzerH6NaZ3vozf2Lk/vuYdLM0puC2n1yPbzNpnVc/87b
uH5LfDR9dFqsQz3m7Q5HAecNt6ziNsBE6NbL5PJxda2eIWSdPjl0MO/SSaEdjBnJiZAmZKBJW4tP
UIlChiIOZcW3OPGNBT7woLWAZx+GbXAMizz+J8zn1wjFNFbJ4XgqF4X8lIJw1/WS8zDL7c+CA/jG
wmrhI+qW4NZbM5TrXscNJBCcP4fUnaTY+L/jmx9iijGUSmY7Mqj6kaWZ7cdIT+wTt8KekebFzg5z
5zEB2Pk6Z8K6b1zjqE/9eCc5Ts51jRaNmFm9gu2su3od1de0yjNk8m41f2rkVO1jjaYiKmkZ7aZp
9Po9oqjqjQOVmSkuP1BNxzxBGDqut1tcq/l9sYLhKFet7nKMnjkz0MqfaWX254lgs1thOp2w12TA
wexVL/6UNS629LWT53srG9MBlc2s5/GIDLL7wwkYTJrShr2xpnLE8mwMzOycfGKIz1q+Toq+4TzU
v6X0/e5gvn4bO+/VR+MCOS+fj9YQ5Ps1cpsjQkRt3Tl9k0eY9DOCjRtjjCpdMf2BjCKNjgW1EXPW
GpeQjGqlZ2xErDleKwG31nWU/bW1rHk/RRIqsdDWHxZk1XSn20xUO66q+MtHrHWL4kU8MLC1+TMq
awatqX5kc4n5KcHl737IOqV3lY95ERVw88dE7HhwFul/oZ3VnMu4sZlml+b90V8m/9V1OhjzcWy1
DDeVAaxeksC/rbRMF5BI3YMDuDQcblIMVp+a2UMH5MVo07Fzw+8vCqI4DX8X5YQlTtcuNBF5wvcw
8RjNVk/9Xbr63XNNs+dmcFWaHUesLp+THOrMrgrLmBuqOUugkDyTtltnh17R37W3cPxEmfcIywEb
aB68fY9IO7sJvaH8DHDO8IZ5Db8i8ku+5IkNub6GW7zueAr6xYmUPCoMztCMxfiCJ3WY/SnI/tHx
Lemb6LzuTsR9AHLC6NXBX1H0znHF1K+umMojjcDmPnOzCnVVCVwv8pjxeDr7K9Rps8fkKDy3Th3R
RhLJbRGuiGjRed6AeyYP5TrqhyZbPnDh3xRzgr81+P6AcNBNZFwkZ3fj9TcttrD8VxJ/rFz00Ycs
QFu7ZLI9es2EYkdOmT4oaUlmLaFsDjRGen0sHjBZC/ZB4fUnbARj+Evs3UOGnvn3Vbgp5DxZMz0v
76NbLcb2s08vhQ4GgtsPVmK5e4Jw/Vy183iLk9V6Z3OanaZliW8F360wXxPWcxoifIQKFuEMMKsc
L6c8CVP1N6OvwGubLvYB9tcspKLMEX2CLTD6yQBtfs4Msye9kqihaIICSBaJnC1Lho9NmkNkuVag
uhkpiK/wxLUW6qaq197zEHamZ5JzoNA220q0sM9Tap20dCBS3PR0CYtoPxfJtGavQcFa7g8Krji/
IjcsmeTKlErBBdfGX6BlaLWthzJfdk5Pq/d1zvqk+S2WUTmPu60pyuiCMcSxIQgRqUaVrMQ39qbB
G2erhzKw70rYL2gwx3F9gsSctLdtbFkaVDjRC9443uRXH1Q59DilJZHsGWdI0y+9sbrWaxmKWplO
Z1wt4d821Iz4Hk6pUz64IifFsyAgT8cmELo6C4w+1O89PguYVOJEVmfPNP1jx9lrnReu/QBAO0v/
BCaVNIy8gHoC1WuC4bowyjK2QqAx3BTwl6JLnR5jfL7wMaRIl8yO7Wbg/GIrdhW+uYjDHTKdA2w8
/jm6dCCaFVcPPOK7rGSmhwtc2O/61O7kX/82f1wd5k+TlDq5x62CLYaBBzPk8tgrkW2LfPW/kpAF
zEVT02CdmsZhZuOVNluumFTXvI6kWl+3CjnSTIKkBkl5jEE6Ot0/1/6nvUymXJhlaUA1dMc1vdEt
Nc5sy+C2V0pZmU8i5iA1p8D52rq5sqOiWBQ49sUewa/9QC7FEp4otKjpHQYls0K9AZ8AtV9DCxPB
E51KzXdm+DPPZ2uldXeH3xlJe54AMp03bKAqPMO2Xhr4G+rIOjfVPB0b8ICyGQr+AOvZ/B2NbUN5
u7Kz6wlzBvc2tSfTZbMLQsd5qyM0hmhsKkOnYaDbhig2WQUicEcVpP3gzt5g2SAtzZqkg+vyFLer
yb2Ql1dt0H9HSceHb+V5PzrmY9ukjCtMwvjF2blLg1GO1l0hRi8DJQt4NLjDRHAH3Y/xWLf4zEd+
0KoH6uJmBGKe6FQwITGBI48kyib4lzcDRFH26UYqr+BSdjB4UhykeHZhHWg2I6ChudQY8I83hTeF
BUsNKkftOhDxcgduOKYo5vEgnGS1nZp0Soa7JIPC8zp0wjS+fLSe8znfGvI4D6TAKolLdYArY0br
9G8YljhT7oI4rHAXDFJfra9Qa4FVmijp0/COYh1Kwo7Rl12HCmJiLkZ5cup2WGDCbs+qEe7MHPU2
sEaXdhRou9F+X3jgo+sy7uhvLPVSgcbbIyeyMTboF15MNCWX5VO1Bjqqau1f3ogwnXu5vaZrTy0R
UwjBgZHDK6KLMY3MC41JWAr5qHKhCxwgMjrr9S7wSh6B8huDH1FZmB6cP6fM0DuVE2Qvcp84bxna
xlhnw6MRrix4xk6FmJMeGkOMqS5JTFl6zQI68bZsnUM89fqg3tus2gSn20mj36QFZ/q1Pc0cO91n
isrhaU4kHio0TFNzT8PSm9t2lDBtH78ZR2qUWUQpcueC/sv8OtM/6N5qhm/Sl62jjOO/8EsjLenc
IMi4iok+breP5WpwqgizhIUgMCzzn4pjwf5sw/RB4Q6mpMrjgI5n/JOqLftaGTYSkyHayMmf7RQf
9dwMkWUfdm2jEECvyM0fMx9q67GlHvPP21nS+0hN6eldIkyPIWL21ZLjyl2MvQ3kao02MMO26ZoR
dwfushGmtzbi4cSLL8fMPFG36Dkors3QvIdnT9Z7Kd5RcrEkKz0Ypgw8JBA4HA9L34zSyqSbP7Xs
WvnnFNBY+lbjVMTRIXtT6LcurHP00BfkYGP+bSgQknpDEsFLNTUYgRZu/1wudVx+1S6tDBxOlmFm
6OgiIF5l+KyY8+gKWarLH6A6mcspLFD101KGERPqMRrFZmfDf5kmS3die0StMSpsdjIOl5i1QPk4
/x5kFR/pdHXCkxJQtjnd1kt7dsMot4idowzlSVWzMNEeyy4T5z0AFf5yim3TgJwq7BDO2xl9DfNL
oIBZo3zx/ma8t5jKvY0aYT5j1GBCfbXh1KNIeKzuEhieawEjwp0PmOIW8vN2lEFgUuyJKwpahDbt
xm4DUEwb1cJEZmnNQVP2nfnFoZkAbGNUNc3b4GqzkcC9zCU682J2qh7pQg0fY8QVXH5b0uyod5jD
mO0L8GNYw9syATYzv1HjvcyPjbIEEdeEn3WiXOf8qrBVru/U6JYzkoTtIPZtC1fjw4pNPr/pQAYy
6OMYZ1xcFC3mdW3rpRdIY7KTyqaJI9FDpLe+YqkF5/VuXiqUQPsEvyZRks8jZfUD5mKXWF0dsfVB
53Q3+oU5CYAGTc6TFDZn36Ijm7upiD51Q5yrM0760vfNAt/6tf/yGzDW5+rGCAolkzvD7KJ/umye
ILXNor++bB+6zPpaGyY6Q5nbxBw3WEKZ8JyVneGOBXVgMjxDPJ3PCD8ulC6agdj0UwbHEcnvwLH/
1F5inFhzzLBv46zqvOEmRdRRFPfAn2HTnpwOVVz1qYr8eaaz7Zcs/hMof25DHg9Ac8b7vGSQsHwY
aenDchwEdNgo3OVekfnqFjKXIaesPohyTf+zNbscbaNZrb5de6kZ/FvgttIVTg2U7bWiFBg72+MS
TEfHWUyrwKaFzJPxSuiUb/UYGfo4EhTT8aab4/HDL0gfz/4l5FhFd4nfF5A/oQDl4sqAdOSt2+hL
1wYEXUvzAOemMhmA9jPCVZyPktd57apvwYu/9z2GNoPgkt1em3tjvVaMqbFo1tb6FpCfptN9DaOG
S1uLmPcjenu1sJUty0IUh9GipDyg6Uck9QFFAKXpIcHAIcgPV/40LTtDNzPUOctlJl24FtFx3Hby
dRlvG7pKx96Ln5IM3xkG8tHlrps/O2eempsatca4HBoUSdzFNdNhCop5/1lpBV7/BhH/srwuDZck
wfGmvmNAhyQ18YMu41nZojWnbgr/mMRs9sXIVtA+ONA527Jwu4nNoXR9gHmrDOdVToWJTPXQmh2q
4hTW2S6baaLLg97YAh1zY3mEraXgG9Kx7hS+y3mbslzSC7llYDxrHJzbpDKHA+RAE6haQimfWBaU
qrADKmE+Ixv9mQ++NoasDn5CerhyIqj1zSbQNqoV8EgmPLEu87xpOu8Dnj/gHOhHLPOZDiGY/y6p
y5WhrbnC4QInIbjLfPSImzt06h4jHR5R5S9Ji3yjJzuiqzO7EL6xOip8C8S5wnATHdgljb426SvM
5dfwbrS8DHv3fztfqNV4E86m/2pIWriw+pIGbxFxjEYTvDGY6riCHjcYFqjsStNdXxDraCj9i8jd
9mueS0PWu6a7gDAtL5DeVjrc1e3SsZCua6bVrmn0TnDD+cueufC8zTBipvmCORM0uqd09CrSMbIy
s21mpi2sryHT1bnP63OFcmd2SoQsgwvBJMvsXnviOJG7qAv8wT7MLXzpcr/FNqB0Q0zDkbCYbgLP
XitGAfqegj9xXTPXygNS8KUA6egW312P/Wxrm8uN/gr/HEOim2uZtEBHxAmwKrKW/sdWkSY1dDki
NfbxPLMtyF/3NILN7d6pibEP2RpzixMgvtmNyNPGnBneGY/semBbxWS4wNx8Bn39Ku8rtUpZB4MC
Y1hOwcalDBfPnLrXlp9YUJvQVtxC29ZirvrahJzrka22s32w04G/VCMma+QOStX8aes/Z2ks9GmY
Vm9y7vQl+w6VWPkSS3tImx7SzOHkuxka6DTquD3obclFZIY8o+2v3DE3+U3AIyAA2KWJnf++TaxL
eFJJ25mXb4sZvGkHY59Yv3aWOU0xTjZZUVsRqhdQvMHyd8sahZjd2V6KmfguobMFjA/kxPiu61rf
3oPXh+al27IjyrdhYi49uDRVryn3NZBHUFr4KoyXTSy+/gn4wLyiK+WAgtAEaAcflBBqdigSCVVh
2xRNp839/0vNS3sT+/N5NMu1mmeTxaROa44PJkuYDMoBa+H7EMWhiD1eL7nXMxBAW2H8QNGZtilz
emNocoZJRZOPFOqSAsGGNkt9iwP+BmiAUV5Ed+uKzuLYeY159vYy541hKwsjwaC0M4vW3kpSw3jl
eSdubSqxq8p0dAKDo0TLpDly1xZdODQM4A2oRuMwm5fBKGcjG6lBsPmiKwmwDAPDcLkWvassTGV2
5bgOgzb7c0CQwGeacs1cyyWHuWaLYzTBLDwY8g/eY308QWDaXfcW9RfZOMITc/j3l4xtA20SD7t1
tZeggwH0bMIN74Zi9IINbSu5tFi2FEmX/v2Ed/BlBRqywzV0o+EnyxTtfKmGUtRzpGEbs3VjHjag
GiwY/wKNuBcqK20Ck+RtWVQnJo6lcsv0E6ENs05tJ0WuhlGDjZLexNa9s6nL3LKj/hkSJInm8N64
cp68oGXbWr8+Oyv1Zr54g1uuO27LNZlja3YSs4sue2IT5npmnkUJ6m/SpzhG9/pW5Q0lf8BBZl7v
BnfhtX+BybYYeuXf2jofKxK8vLNWhjOwvfIPwVDYKyM+7DlyyHpMOVOr1rActlSbnkLH4pHbk/PW
UC9H+Mm4ymLPNJhIGEyTSWMdtzCN4is+Jz112RexYzjBl4slkC+G/5Wg3Xr9H2fntWM3kqXrVxnU
PfuQQT+Ynovt0huZSlXphpBUanrv+fTnC0aop5QCpDkH3UAhlbkNyTAr/vUbO8zk4q0pEGgB5fqu
jgKBWuX1rYZutUMYoFg8dd/rJZeGvIRELA8BcKLnHD0lMbcEtbx7ArNb2OMcdRLfhFkzFvUCBMVY
1iUK/1IHIGOBOECsfGW5YMSjPdeB3kTKXqRtTm9rP/5+R3IWablPOpPekEnBOshb1Nu545N9nOJV
t1Zn6IbyOKARTX2k5ywma339k8wd4k+05DpXmmamKadENRw0hIneeu26F+i50GHLDj35Gw25NHE2
+AJK8GJeEo8QGZeAWEVV2QeyIp2hLxy4eZVaq8ArqWKpE12IfbbR91fqWNgtwdw/lCzf9RuO7eX6
VLQwQIODs2Ah9hnypZSiQUv3mRR6d1S6EU1M7tG4shikRM+k1hm/xa2bbq2mpFa5QHnuJpQzeIcx
SPW658+13A+WoJS7XuuYsuzpvEZWODhWUqPFzFfWP42n1BzqeHxTN8mpqo9KtjfLsqFWghG9WPlV
JN0juqiQh9NKVW61i49yeU5K8J76RkCJ5Cf0e7ZMlJlRDzZUmbvbQy5a6TNhuUEy4FzmRfiRnvW3
7dEGcMD0FkPKaeksywuKvXUxuys0CoG1nsDoJP+usHybeQkzjh+kTbG8fUwSOUh3cBxsjEdtb4bF
VTGJJdd93oFDBQtoUi2xNcwYPwP651DaOrLM6DBw5mFLHYacgmVFe+c0zEbDf9qWpYyNup9lkYy4
SfKAwEs3Ltfd8Nbj6KkKE0Ij5CK6qUpKE62pHPf3NKEOgUKqsqYqfbmmGkj7fTpimDJb2BzTtQFI
2DxQpuvZHXxKR32WtGkL81VUfWDtR/xxxF4tPiet5Qz5O9BlWZjDzZJDICA9jouzVhojgKGo/IMI
lgdyMugAO2ktwUuv5Q+HndPoQDPlutWZuXacHSHLUatKG75YLu6aaaUnhR+XNBlCMF1mn4PzCDcG
jqqs/Xrcn7gHXZWsPjMzt3vwcg1AqA1A66FC7MjGcxmQGtvTd9pLUQ05mwo89uBo8ggTdXODxa9o
YiAskIeBChtRzqFLXUpMYR7JciBaeq76dXoxEkBeTpRBZVnLLQb0KN8Ipi2LcXtoUJEs7uMQxmGP
UTPRE1FTJF+XzqSGuvh5JbK3Qw67xrtKhDe5Aco1Kx6RI/lQr6jdu20cCVUd1vYrepZ6Wk4G2tL8
kaO2VZy8Bg+Q8UOPIsEJTugSkww0aNtsH49SwKGrbfIb7yTRKOuhz/yqvZtaSFHJVVhwEn9ek2m0
b6q1qouXimH0L9egrftSeGM4Xbys3+hrZiVerEEMdeq2ntvxD7Npu/rRt0ipuIomvh8sKrtfs/oq
F4Gxuud+Ew6xPnEyPi8dY+tSimg1r5oav9c7gcfwKa8zATOoFj51QczyC93EIX/pMLih9H+eF/hf
uOfOt507eTVIDec7677aqmo+NZC7vMtAW28kVGmb67sgLTaCq5w+HAYwwACdZHpxitlAs5XWxvhA
hMeCw3RQiDViiNECXIyDW0VzbqOHNCsM9oRl1MS3jFs3r7CQgqyfEC9CLHOWY52isMF8GP0ZBoEJ
64N3MpkG9qnF1s+9j6jwBYU2BvB+eGsR4I6vpT1Z5rLhiWkV81NRe2X3qXZx03wbTomMj7b8sSak
ahUVilXS1NIsI6Ek8rrpqcHrosE6Fc7CQ1j0tXHn1tPYfAlYlJsvjel5GRin4Qzrx3KD75SfETBP
zoR3IRpMkGEz8D97BS4fBkTFDwlPIo6+4dikN9EkYojI1obLxp1gbWZ4WCrPo2/XH11yZRji3bhQ
h2uxigIOfRLdjXuYMcJ7hiTDnTl0TrjWGAv3OeUMlGDODCkha851TOulWg/laIKi1mpZNiCxMFUb
tVHoQlmV+GJfitIaC6YPAUg7hwNVItVxJJG0bNdWCyVpUvzNUIRgwIsNIf6BTiAllHqTTPUvWf1k
ba7exbJ2Rxe0TLQjdC8DoeccMMOYB9F6Wnb1ot5wFOSpWqSRLdp9bbZhmx2hUMuJP9ZA2ekRU0kD
wZvYNvf3aGo7M3hanK0ygnM+WJSbaerLI9JmwfT72qPOqitaarIQ/feZTRZHi9WyuhHWVNfvhyaI
qs/pkHvRXzNOUuPNYk5m+WYoBqf+l2pvqqtdNe7US/Ol2SB26SZd5xSE2S3MQdAM6osX1EL5eq5B
F8fggiw3XmxsPyO5Ueeq75XuVUnMRQo4HJjHpNW9S+hncLUuA9TMyCQqwHlqrTEu1isMeQZUfaPL
caLHP8SacYnuxyp/8uwq2v4YKTzQLnoQKadjnuN73Z3tIcd47JMoyFEyruq+SON6euv3vL3fXkP1
scLpLgG98iaDgKA1qUPTxgeXIAbn2DZThdN7aRIEPXZt1x4gTQnj2HLirB+bJWwhP61znFECuEF+
SSmLLu4wJ8VVOKzQkyB5++EFKxvxLjeN1nzsaRSeUGIttIyK4s98SN2XIWjy65oIri9sPkNz8jdz
PUehG+HBuSZ8aOEnwx0gIszYbmrmr1MKBnfNua5+m4BiPpbQpG+DbJrO4xwyEQfwZeevBnuR6tQj
YO+uyJFbvnQOlLJDsIk5Jf5tbD63cSO6e4JRqpMPmPKuc4PubjYz5x7Bik0y4Yxa6YJbYfvouUv2
eUXg/sTqVvCU8XMHlCvt3xPsSa/9iHXedep1uhaFNXfoFmzb/CjDaJJj0dTDB8qQ+Lbn4RfdISKD
wT/FcD1vBOj3X2DQy60dxwmsjy40qwMtCG5e3vTiMy2I3H0QHPPIr/LnzDomNLQJRetSEHLLm7yr
2KfSO6S0tQj0crc0R3YcxBlkMNF/3iq8ognf8mzz4NC/g0dRJPORWECHGAqzfYBiTbe48guRnzIO
SPTt2vrGL4l+zyx7vs+i2PojMGv/4zhb6Zc0ycdbmI/207xYjLKQLIywESb8pcK5FTOppcQ12dFy
wJ++u7UsUf/J3sbOMJFo+qdhOdUliZl3HPV+Hwmg+CPiPIRdzJw9kx5IPIQYwisil5eLbS/mR1GK
5CVKXe/ohnl6mY0teptkcHf8Wci4plEsR6Py2sfKsVlSU4PMRxh2ZXtll37611Ib1rs+6BPiAiaz
+wL3Fc85mI0AgE6C7e2BiDVWlqixlmPbzdEBjdZKp9rIm8dgWLr+bI4CV+EprGyIpmY6XfmeP3/K
Qs5ipyruzaNwogliyOLcZZFrPLjs8XdbPMIbTFb3nUVIx2XMIpydyiW8casSQ9hxmOfoBu7mGJ9Z
l+p3wbjG9zVmxcG5oYJ7M8fp/JdoBvynkymgI29nTd+duBD7nS3dEZ7NBfkSneiMyIwmXqIHPrY4
9HG0XVAMlV8Kw17d91kwYcnDKy6B7A/8K2XP/ISlXxVdm8bkjb+HK2Qm9yGYF99Pzhy/t9B7TzQm
6DY5H/xJGl8VTgKhF0MNGqhGjbluIkZQjDqy7PO2AgUj3B/K5WnL43x4EDM0/BvoOY11A46WW5/X
dQhJTgjCOXBf4glGx3jwLWYba4sAMqayw9WlfDJNUeZs/ExIcylP+Wp4IWFhfGjZZ08EA+YwiYgs
ragHb6Ers7+T+jWfiJoc/YcFk2g60TXKu/t5jWntVhMOO1diTbfneuhm/2Dmbv+cZqFTYwBsYYnY
QVCEknbICIhB7oJWrT42Bb2iE5qIYb1i3W3NG4ZBYT9nY+Fuv5QRf88TxkzKsV0beIGcHfQcr0X1
rdeuFjmY6bVtoXT+rA+IAzvcr2wDXjGSpX2V48IzRNUCoQVqy/fqEtGsKazrenleDZO4ua+08Pq2
eMH0qcyx5fy3ceez0i79PUYcO5vvL0vAeBZMAxv9DL7p1GXff5izbCKokdI9Y6WNS+Uhx1iGBShx
m4Y1meD0aamvSzEIhHe5a0INiePGylza2zgauzwDUgark24p2ma3IC7YvchISl3l3+0/uBFeme6R
xiDafdQdjud99MRo828Z6iJOYLi9yP7QODgw6+4cRPKQ1oeZlUWcRloj/CWSuI2vEYCjGO8sJpBE
t7JxnF5Y77JtOU8Z3Eh4lIbT2dEhVV+U3E95Yf4i5Iuj2CRxmDCViKFfzp3L2zcbMRRcHgeYhaTQ
xe7xe9aGZhU2RQRVuF0chsXvlboRM/XCsn5glQh8kimsYTTtJxzpCEa4LaG/eeOFeeQ67Z239Jix
vYlxk+ECKofmiHP2ujzhnqU9GaIc1MnAAU+x2gl23PVKqiWXNeEr4JXX7tI3JC+4tIWwwnHoghUp
jDtgWHFKRERe6n3czi0PbMNwIDVvEuR/W/RcOF5qZZd6copoO9LjkghnUsx4rryJqIS8j1ERyK+S
2iSFhA85LhToOvQzYPr28i0bh9rprQavCEvy8Jyp8rlPmjPo+Gbbj9D4g2Y5hpx4MX6wc2ujCDW6
WH6/DRMUbE6tEHJhdCOP2zxyY5GXjCvKzAGsN/GQsU9Jn0soOEB3yJXXbo1pnRpCBgpJHoyorHA0
ztHAMaA81VhddXiN107LTXSspmeE4kZul8Z1HtE+qk7aVZPTo2VGt6lp2v5yjUEhNmCneDT8Pn4w
J4ET4KEjxwrLd9Ibp9F/bMx2WZL3tGZLOjXCy10+vcEFh7vR+CMtyxvc0RiZN2lD8w9FQMDpRgbb
r6FzHNJmsO57ZTWHkyFSyYdlyFr32sjCJT7Hwum99CmDF8h3JHO74aW/mM+79Ox/NIouAnekSsxq
20HV4OF+9P185tOx31yK+nlCAeh09OKFbZASj6d/W+GxX5MrfbAHD1D9qNwPQS0kWhwoX9Y1GS2X
SN2yFtLIUXgNyoAXAzvIIP5jjhg64Be2Z5CCqg1pclpF3lUL+7yMjnBXqr4+oWw2Kv/AdkQJdrM0
vcndnXBJpTeGN6b8PO17Cw8HAGxxI+BJGfsExLIpp16Xt+DvEtQHnkMSTUr9f04cmMLloRET1oPx
bORYvwH+UtpC9W5sRDtBtMoTW2lM0i2nGHppG6Qd89qsKnC3O8CpCxnLGZ30yD/jhTY3w11hWXYZ
fnvhKoqWfJZoYMSWlEyTv7YnJDwO/6FmHYKS84o/Vx90LyW2m6lsLovtEs19ICRrd65U0s5EoCuA
hLE7QGmnS4Q10s0SoCrqnrYmx6QWUnTe4AhZZWEL2ArDZvfLqvskrcs7KmI89Y+rt0rRqNaO9lsc
GelwNEoiABB/OxCj4yfPQ8fF6GzCacCbSetGtQtj5vbO1j7T83Kt9hqJjjSnEu0qUU/EzXYXndwJ
ZwjYGXgF8XJtJhmJXbTaVlCSrEdt3KX1Y6JBJkljjoa139DniTDlpQJrvezP3pIn3LMgILugQ5Aj
XITLG+9+QSFDjuTQBmQwGm9/PhO+FwvjtWDaeE/zOZjj+ZawpbTub2LhTipC8zjcHgl+kQ2DZvcP
UPxD3X7QfhOa9PHzj/9eHcvHC6AkhivwTuiCFb6ahhP95bp0guVR99E14UqLZFWXP05LiQaiP5KT
SkOP/xtTASE/7e+LAhMSr0LXsh0b+b39WsGIpYkvG44Zj80ZV7hGA4OUmjRlNTCN41j2Np7tU1PX
zJVwlqq0JKWpjAGaYkvo0YrDVuRnzwnlROkdEl7HdA3pzjDvFPSAWlCq00ZaROknUu7icnqb55Xc
0rSzWsoGTDx5zMJN9f7zu46RyKsrZTPCW4T1HLc6bF9eK3MdmtMIbYf4qYprLOPOlCNBVV8oRRj2
5x7rCeYFYIfcaeCdesgX1RIe1klTBjCA2cHKG4LgczeD2jCO4/3AWaG6RJ6b8Vqmy4KtkD0l1UE1
NHU/QHV/xgLGhHvSvCzFbfUdbFZxHQ1L+amaNWFFmUSaOXDSZDn2BpLh9Qx4Je9UMHbyTbyRAHk4
wH1i0cgQA5hM6ZS57CGweQDtVqpJmWFygIUT1s0WcxgakuyltnMmm5vGbEp+iKZ2Qg4Cf8pMlvgn
lkdBSFiFKcJ6LyDDgGoHhtGxgRdTsRsJL7G9QgLnyJKOB3q/6Kkvmlem2s/mnODs8MaGAJW/Q0EK
DUtpfpeS3gI9EmkDKod2bnfbZYSTW5fnUJlF5cNOMFxHo58pungMzZ0SKWvgC4GjbD0EJSEp9e00
s98RBT6VoFm1kQfJvBzMDfOK8S7eSkng6LNQMlcUI98xm52vRToVV6StmTS3sWvp/uTXvVXEkFI1
83RYhGwmq4Z+VjtFeF2F9KrX20z1ufUX9ltL0l2GLpBerf1KNkMHuy+XvbFC9JHvkJlcFJ1sRNVr
5BxdzuGGONQZuMH4RKAWxuxXAeBFIS6CPCP6dnPuyJYNeoiY77WqmzdWwCj+mzzNl3g8wv5YU+Mi
iN+hkVDVvqTjDrCpmYFZDJoSv0mnuYm7GxJlveQmwYaewq4BFucDNI3HNJyMV7Pjt9SDa0iv4fPU
MJc5TKVmbNB9030pXcUENiHO+d3qRxVfzKrZVMW1vpnCwNGGoEH8w7bhwpIesMB3myFLQP1yYY49
HVSbXzrpES1CXD9FfoePY6iIkGSWylaObo0NizToIaAX1tbbNS0X8GNFetCNLjZJhpj+QfeY8DaQ
T31wFohTmgCvXahyy4Aef22JYBsWmL1WgzgAsmNgvmtwTsmpoV1BTg5R30LaVdbE2VT2nRuTKQFN
STGw9WQ008qf/EPTxpbRnDT7N1YPjJavHGSqgxM2mGrR+xsL0Ij10KuxNsLHvZnXrC8D9A+ylbSC
CMR7NaIriEL1+BVqORUmC9IF17HUbY89ct7oHbJLazZvW1HRaTjTA5tncA0UNwwdd+6aakCvteAx
/VjXlWxRovzPB7Bdbxyrz8W+jMxMS9YD9v5mQYaWbj6dcdjO8RYFiO6oWpYrP4nxVjukZpnkt40w
nLY5kZ4WT+HjwCGUMTmADLAMZYHXwqyaFXffILaHb4KGSwoNdH9agcMmkWo5+Jo2upomcydVKas3
zT9g45L9OIsFBY+uKmzlSr3Oo+wjaoZd3o2S02rkmNvRieca+RL67m2D0XPJcdOa483W9MEztptu
jAxB6R4Un3ve68wyauQroeKMFgUm3R5hnmurgKqEC3o0wUIsjS6t0I86glCTd2hmN16QU2fQ8s5J
dSZ/CcqApIhIKxi+d0RLhxmZR50kmmhnJ91Ut6vCksRAbwk/OSjh8wfCoaGfHgZvbePpkPU9auM3
1pJM3kTokJpmszFHktiYzt2Gfu6wZF1qFc/AXwn+A/Bt9rk8kTkHe5igTDmCba+X/NhUiRIwKTex
Fu8ERzfzm8G1v2GYKHLQ70RyaJsplCSsOjPZiS5+irdBHB4UXat1R9icSCslgyhH+cFSEHO1LCGq
09GlCCPyO486HFZOFMJ59d+0VgO/Glp9KH+ny3FHkXoMcPapPNaTyIrgZSVfB6WcIm/o76OJN4qa
skSG09hv9fMaFVvdQsfKuRgYwJALdoKdm8zIyAgFGC509jABedB5CvRIW7lMqpCFqUnkAJ0rmor2
2zpEx+nSxsci/GssSaefo1Q6f8HTg8697D4lieKYwyeVa0yv+J4sz/tNZumnoR1kwPTzfVnSEsuu
m4VzrnmefA+9xtHt4RvNV55SRjSKex9LD8TPBXgAUoVwqwOpaNtlZvoCNR/RVqQyegKysa5oQ3qJ
UdQuTS7R22WkSHWuCB3uvl6xy3GWVBxz959ETCQLkFZJLGBWmpJl4GHjXT1Pimo+qb4trTl5YClU
60MLdUa1QWpSAxJrWb9oSlTaofHHpwkfBqaERgzavJHAjltNkp0Qu8PO6PHgrTHNYeBzVVr6RidL
No9ztQJuu1FMt/OKNStoc5BPM+p8f8UHvx1pMgUXYQSSI+AqvZGu5jMRS0EBGC9EZTHvTp+l4qtp
DUuBNQTbvu8Vkk6t5TiK650uUR+RXMqqaS63AktXTEr1detBpG/GN7oMbGP5cBThWbfC9eXrRTgk
HbGxDwOFmJed4hnTJsoYC2t4sjAFrsE3YoJnGV1mVfxVo7uxca+uyMr6bhkawy/u3Q65F21ct43m
r1jvsFiSbQjzxuFk1freR4d/pJZVGFo7Rbbdn/OOvpJ/qAZSvI1DTOXPq0C1JZQWBJbELxgXAS+L
RvloRBwADPV2QCvvsJUdrIfDFPgzH8Ko7gArnDqqhvABXXEm8StYe7xjR8IU/wmdFMdiDG+caPlk
T7QbPs64o3NhmqYHisxXxJaMrzvYIwdsGMpUmuLgZSJvfkfiIXE6uwskTteTD8x3UrARBUTPDxoo
ihUM2HSNnJRjSi/LgCYTSS3Az88Tr08T8EowXsFciEMTp7n9tPG3Q2RSdB1Sjdp+nFO2GYLgCn/J
6HXtXVhHjbtezFsNuSSbMju7U+Pu59/ih7Mkdokh7nge+BdP5bULjG8mhucYvXgIdqWUnjp5wmiA
oLqfa7NlkhWIpiuWSo2RqMro51/mlSWNsDDnw2MIZo1F6gnuM9+fq7OIFNTejaaHxF2kMGyZqLJY
YXY6qtaGwD7AXeDq5x/8w7Nw6ddbNlU+sLgFxvX9B4shIBMmdMYHV224PvJsrNe1ddvotPis6lpg
SkfiiL/Gqm7/+dd4ff0AC3J19y1uAgfp1y6FdNamPkao/0Dch0ItE8nzB8KWLDqO/VIQos/yP/9k
i7Ss707xgAqYVtKGwMIUlOT12RbpVoyXd2TcJ0p9Qu4v555zkLVNh1x1V2ppGtSidEFj0Mr1WLNx
HHil0XurgUDxK/Op10NUWD73wgWoCC3Mkl7DHR5UFqzbIvNen7A1b27YVYlqiCpRxTeeoNLluEpv
84v79BrtEFjEhQ6ZAxYmbSHf6fuR0nkI+V2HfjEdKmfDk1tRw2DOTebbNR5aZ0QCPPjmpyL3JBxt
2V1lfWpHchziY9iStwAMHfshuhp3KuCs/MLp8lUEkgsmBd1CEB7kwXWmR/DqG5qRSdHebs79XAbB
lnyw3W5o8hv8RRxcgVjPWdB83JbLPwR3CExmmbKQImeIFxgMj4uP78B8rgBX/PGb49JcIPvCwVm6
hH2kVkPsr9VAtLYiY7j8/C6/no74ezgumYMCHxaCDl+bCbNqToQNhP7DtyQdNdkaXE9YhpXYIti1
gQRswee0ttLlVv/8S7jf25tyI4XNww58liPcUX+wN2VnmyQivT5kyObYaqa2r4PuIZzCInqJl8XA
tWcwCBBN3mys7zzXXAWzpcpFKce9zHkcfHdt8isk2SbckWiI80+JYRGBYh+83pqwiQxGKs70yllp
YHNUiKWF1myJGIQMeJZuFJRYuRnpYrQtQdcI8zF9aZKtEd86XibYauzHMOs/h54bgoR2IEPydQpt
Y0jUvOU4E+8ECzFAJEVmaYC7UA2FqhXQAXJTGj4wpoOAokoveB5iSeNdHIRuimeTPfnddAYnt/ug
guqXJUDDU75Czb8yp9ZoYq4gGcfyKlfSrDjoJQeoEEmSmGefYOW8OZnoAIbhtmsTnGvPHOoT8+Xn
T8/6YQwR3sK6Ybqw1VDzvd5L/IBVGl5++qCR7kZdPpUM57tbYEKURYRHzUVIJ1Ixs11lI68hxVYZ
zsNMl7CZSe4zd2+jHcxPipykL7uktUbs9ILL0AxxNPCiXzVSX/dRPZqoWMTJvosMfHs9H2zi8gCx
ze6es03jVl/Q3iV2dVEsZB3cpL3RYD4h9ocrI7VyatlOJtgx5q9mx6v9wseh0iMV1As9ywcAfuUe
N0ET73xabff+ZtBUB9uMSjs+Gcuu9/z/qg58E4aza9NN9mU+2m5o97eCiZ4JBKjMLe91Q1EXc60q
1cgPTKkbaaVj7fYL6Pc13s8SgMg/DGi+A73/UKrlUysNG+fmPk0yn4Wm5Bzmffz2+YWP4fKzH/ay
8xZZ+N39Kiblh8+3gZHg4kmQ3YEp8GpJr4o1GdbASu50JMLMgiCPV9+ltZSWK3USrRJF/3w2/fAF
eMyQgj08din/WZ6/3/U8kESPKMP+FgfdffVw9vOW3vxi2LByXXY5xKdXLtxe/8PPP19e4N97DAFM
TOoS6QfKEfOHDSFfZofsp3i9IwA+2d4HwYhrWNJ7Eed9vnRn9BdPkM71i0EuXldFVIKsoyEOpFSG
jLlX15279mRvZd3dkSiStOOj7zT1+hKWXbbd6GZ6lVu1/WGwOtnVplsjTz6av5FGIpNQaJuNnGF6
H4Pe7UhEBujPpROlXJt1t57+hlzh6U2WjCEUSFJsNNlsLXDIIAPXv9NVlYyIn9/W15UVhtAMbIfN
gJO73Ou+f6wRfKcF94jsbggnrEYOkLrT3D+Qw9flLZYU+eSi51KZL2SP0ykYg6SfsHaAIjd6v3jI
7uuHzL3mMRM2LFjufjiKzAUEbZhn2Z2io6a7qE1VdgoR+vnF//hxrFw0ciDf+Sbb86tnm6X4rYTT
5t7G0tfz8zctcjFRwA6K0P6LD/yhNGPT5XDDIkZWpknu86uP7PtokS4a7a0WMymvgSVGnopBxyzb
LjK4birukhVKpAWj3sN86VGMED6LC1lckdnd4aiRg6pp4EoHqbixKeU0Sj267OJlJT7C9gDyLlGN
JLo8u9s4FOh1eVd6Gq50tCARJ1plN6NREl12eZ8hrF0nkggYn/CVneCqpGRaauaOk1QM+GkpG+lD
EnfAJcGoCL/VLMGgDKdgULo6wtfrTapqOIRW+AX1UynjW8oJwdOLb6WyrPtWrXRTuplwUFu6PUfi
U2AFpaoHM1WGVPdtfiUPRyRESK1ORyYOH6IPBXVcuSBUUzPKS2L+8MnqPvSZJ6Fj2JkSVNH+GXCd
peBKU47ViaKQR8DPK8Zt/SXoDCceDnNndKt31ZckW4Q3WbuRa6bO6aY54+aCMHZG9HlxYzLtntXN
0ocVvRxnSrmoMRSNG9cYqW0vuocMxLXL/ffjv4IJwVkkZLh7T5uVa67ZVUQq0GodlVWuPgkGIpQ3
028nKbjRbTF8IWSoZrrjjeoOqBfpktqpnNR5U6AKnfA5AexyqGpAtJp/UV0G2QHXj2z5pIjS9PiL
dDgQ0eIS0FHiApoBk6X7cK0sKb8ylCoVfkBXXRqmVejdlqKZwzucGvvxfUYoIxFAQM3uFp5UWRJK
6+bqgjNjX9IaI4UutvEncRwwI/wTy08Qn1L/OIC9e+15Mhup+tJmNspHBVWZEWOij0ZxOngWdqP2
uS5yoi0O/BNg1pBnpnullegVkEIINdIi8uKPTQHcSL8H+ynOvblYTxqP1Q18JNQSg9SIZDRiR/wZ
FwBE9geSLnLnsTNx7EG7v4359ruSHNktMqSvJaI+8imTbEvcFyXFps06jl8AMyznhf7oND6RR1s2
4oLhlbG++M6GavQJcyMpT3YRXtMQy91567ExzjarL069aglqsJgQO6mXxhVXyvW1zYQPdMlg5azs
WZzcmqwG2PdpQW0X3RdmNZRE/q3E03d64wf5YNCGUGCrFkV2ahXQBVy4ek76AXa6lb1Rw3r0FqZs
vk/cCQ+rFjvcKRB9fUb9Loeh6ltHBtD3dWMITBWOk2L2qKN6ThgUA1MpBzMhMtfEg5kgye3UYEkA
XKy9mLQ5lpdhGtid0eG6I2hegZACnmkXTY/ky8czRC/t41wtCZutvlI1xILVQ/WllUVKgqcNpNRU
z4MwMD7gUznZ51AtXboNpLVXauIMu8GMuePc+jZ9UyJnmOmiS1aSYQWgg/pJtyQleVS+KlpI5eAa
ztpDfmxsviwD1QXCR/iGTCBUHe3wrikF7NvadqcSNFfh3apZ4QWLHI1IyxFGXmmjnW0hX4FGNXcm
jE+qoaLFmo4CvbV5VgiWzXIoaYJkRCsdhha6dfCcWOAxnUURoVxrzMSSeHtrJW7y4Ka1t6G5Uwtl
WkUBi2i51C7jLq8TM4dfGxokPB5Cw0GB3Srbh1m9325y0tnrGvxONjhP9xChoke2TFSaBd9bHzHV
o/k2tvdVr+cusMhr5Z9aKcVOjrWCTtKR2GTlLqA95VQn95vucdfKavVqjAPu9jKNnvxrvUvotqvy
ItHLgwIZtUOAlrdpgWIHo4VxWeHUVxQxtnFpur2ErYFjNqQ3DsDjsTI66ftiKeG+EsFgjOdQpZNw
KI9fiToHf8sw2sUy/x5saBWT07xCjceCHOE+f2+rQ7/u0FQA8Xx/paPWD8hU0lmBHfWWvs1Qf0Eb
0duc4w/UNHOwye6Ixk3yeveY7pU906rER6j06AU82JQZ9C20fnZQ60qDagr4cZTNSOMMJ9E1axre
g2x7UafT2/mjUfplFI2rLBPUT5ay91jUp6vaDWqJPDhoWlJOICTjKGdBlZvxWDH4yHaS3BJfpXJw
4iyth8wIVvO+RXJF16VBl/OxI1Ul+RDTZ8TyG4jB+Fpk6MFUwlqhRKq6P9VAQ2ND1JC2MgNQbjpV
hlspgeRiYsTaKnYlpFljEP9CoA1AXRSHVW5fDA8OYI1EYNcD985uLOQ0s2xggRk7RXAkgiOKq5MH
ADj259E0Sb89D8qwXg3b0N7zB3UloLd7EopZAW7SVowwAcmH36rwGLeIAJIj0mjb2C4FkgAGgtJR
6gVZF456oCvFkZWvkg+jW3UYHKFt1idE7WykSRWhQZghHmfKkU3XuKMqqjTdR5C2woPE1UQKiGul
WFX+WG4lXAqtSllpQPUfGTBb7yXLu4FW5IBrpgrr6BRJNRKc5upDZmFJRyzmrnjTNATt4e3od6Q+
ZOXGGU1io6VSWGuakLK8QjMopV4mWwHfqqddyVxQ+5FSoBm7C1miVidVPHWqPETILlcL3QSMVctV
uTOqJqAenkpaqiwTPFWQKpCnV5UtvGOPuPopQYAL2xJyCneSRR7M6CbD1oaJnhqBDJ9Vo1m7FmRq
zmWS4CwtwiYbbmfXQyPyb4KhausUWVTkOZ9L9bDr3cFoyEhDJMEwgW72xvZM2fW1pzjup/dRPFVu
TRaBDPorAl8ygzgCyN6zIncY2a5VdlV3EoSmLOCU4bAhcHpzqKaPuh279i5GsJc0IvcFzaXyB6S/
LYvqTPGnLMoLRnrb41BRP5tzapN3p4X3nnLxUjdJzzFo81s3noIg3QrvRoMVRjwPuXWMUb4l3qHN
ph1sZpfMEeJNLEbIkEx6ejRsFb/NLlxJK+NzMG84+Gtc4Oenv/Q3nf9iyLFosSUzcvRN1tFD7NB1
6xwl8yhZHnvFJsG1HtufM4eQpW5ODgLnPvvz58e71xhFGAifRAa6Vm5Aju1rkG5zvaVO46q4LYsG
crY2aNWuNKvqZGmvmf+nD7ahIiLpoHNG54Hm1WsorsjtoQ3qLbnNiqQNPq+cFHxI/g3JqyRQtsZS
VucKlwWW+Z9/8A77/A2WAR7nQBs49M3oehAi8SqqxDACu+Pdk+tqXpvAuQGUHLz4NiRbFgo33e7R
D64QIncWlIptTPqiOjrpapNi67GnduI+3932BrMMkC9iWjDOzfPPv+RrfiqkVBypLI4PeJ+YP0Yd
rxAffL+Z7CvNG1PMtEXns3eZhEvNYGkK44Kgqkn8DNe6wA/eLcPUNM1VXSzw2g4CywPjXVenRh0f
4U/BNT6UDAO7PDvTgFj42CZlUSCPSgujgqXqdtgaHxIqVTs5lxhWA9qr2eLuiPp+mf/ny/Kf8dda
q236//4vfv5SN/i9xMnw6sf/vvpaP34qv/b/JV/177/6/jX//b4u+f9P/+Qh/dLVPbakr//qu/fl
0/W3O30aPn33w7ka0mF9M37t1rdfUUcM+3fgOuRf/m9/+R9f93d5vzZf//nbFyKvB/lucVpXv+lf
3fz1z99sgOd/i5Lk2+vfyRvxz9+gCQ+ffvj7r5/64Z+/heIftJk8hi1NX7BVGU2NAzi/CYJ/IHSA
EibRP1qxPtBRVXdD8s/fRPAPmxkO58A0QeTBZX/7j74mg4Rfef/wyIvnfx5qEgft02/fLvu7x/c/
j/Pv4ilQ7e/gMINmuCQM2+ErsDfGNNtZBldcu54x39au7ZxSO8yxQTHa8jrBpvUWaw3/L9wWmuDI
ksBZk/XBWw+pXVrD7+Tn5S/giR8Sx6VATcNmoB8wLH1+8fsE43tSUJM3A4lOBdoaf5qLg2dYb4I8
EKQyUH39uVhN8nEWnfc2MEKQ74PjAB4eLdwOUmgaTfBum3uXCsgy/PgeMNS97aclfhs3vtVgw7sO
Fo7lo4cZGxIeBPx4lJ1ckiNv3UnEL22AFcE12iBvPIwellmnTLTdxXKa9a3XuWv6bIgqBVSwW1Sy
5CCEzdnY1gxVHznT7mnELgRkg/Tp93nJwZSdYHsmjne+tRHqX0d2QbvGaYuDvXnVA16vxcfJi9db
F93XvZhFeu0t44wedzaOCa5p9dFKvfpzNPbVZaXgQAC6zYRuJ/VDD350F5dFch4scdWEjvMm9jkV
tX5pd3hfC7zMESuNV0iZse+YsY+uaG+FhvvSOTKWNFiiY97M/5e981iSG0uz9KvMAwzSoMUWgDtc
u4cWG1iQQUKLC3Ehnr4/z8zpqVp0Wdeux2yWzGSQwXDg3l+c8x13h7uS8AiSkO2PkiNkVySJeZoR
BB8rUfUPbAmfhJjaXRyjxzVHdY08e4Gb5wJYSEzrjI5//hlL3QQUuywXs+jlwYHuTj6cYj63rlNf
V0tM630YIKO7hyasXCneoJVbB1HmXQEob3D2S6Mknd+2Tr2vCnPmqJDa1a0T/YUdvLN11tHxgSCt
DyveA5zbRdlvTMXKZvwbef/Yrq3uS03mBVWB1/QsfNI1Ik2UYZtSmjw/qjiKfNhVSpIEimjVfZu7
9I9sy48pM8o3hy1DKE31TUlUeVy0wjxPlUzeYjnWoboOXotUSxhB1wqSmobWoebq0h1JZ1hASaUL
0sp+y5uMIPQpNaEZjaSXmY2HNFrMjgTnKElJCSxIieRXWBN6y1i48RRSTGNeHdfG/B7SWge1gPV6
jzguAxPvapHXmfkKQtJczjSpyhGOmnkP1xu73i8WQkLCTKDk24FVnfFmQya/oX+LH7PVqtstoteY
7zcuNTNYU2FcQfIytkhSLIz7gSvI9S00/lmIr3Q6EpmmnbEz0HJbiuNempIOczcmiXYqcQ0+Z6SR
rFEGaXBjD5TrvsU+TnvsUOUQqLKwIxy2isg1zDm91BW+UiQHuyjI+gYf3xwmBLjbOnEhIVKyKQ8M
lbsQFRA7WrZLvHaTUM+LYg1viZe350zvXSyKSzOKwNImN8LvN0RGDNmE+JGi3miTmZ+VEbK/o071
Ea2D6YWNUq2mb/IR+S7mw3RL3DjBkTXLqk0/pMoLa5X6TFuEgGQa1EfTanQOJTEmUCEROPlG7ZEj
gyFob2C8/u0sXvyQaDHJCUs76M8DO2IAuOWga2GqLa6zwSvB5BUdWncVONXgU8BpAaSckvAUEV8x
/8R/VxIUv/LJ9YNS3tJ8WA5jma8IYbM70WJGDjv6umE15INoygO+VGeLF0wgWk2TPlKnsdm3pNNa
PrD1uxssLx3Vd718njiHE+1zcKk3A8CP9WFZpvWgGm6HJTybeVPzySVTpNYxPQhHIFhDn5CHhQ32
CcR47oWC26UmM0+mu15m6dFoDP1GOjPPnC2AP5RkOGp+PEr9RMmoatgri3xTt647RV5fQblGuGv6
/VSUFyvWnBM7dyxkJVqdPa2AGVbkFWy8GTqAr4uxepBJPxDkrg6EaCiy8/y8drOja2X9qXKV7k0M
M7BRuCUS6la8PDa9/uJkTvaEo2T+aBFh/3DllABNshR9J3Ha/vr3C5f/Rk3yX9U2/wNLkrvU4F+U
JL/q7J8qkvtv/6siMf6gPIWx4+Ez4l79s5L/qyJR/3BYsgOgZBfpWRT6Hl/0d0mi6X9QJNDnOmwF
WZHf65i/SxL7Dx5kTGLuXVSnMfh1/72S5L4P/L/1PrF69yUsskVy3lTVNf6Mu/rHDfyCZtVVCEdo
EegxP7E60kF9poVavV0X3d72XKyCAxvx/P2+Yde3Yfjb/ILXUGo+3fv8k7HOROTR1C9OSCxSQ7bl
DBvM711s00Gp4KIMp1rQkopV6Ba5HkRX4PIhiRYWsquRmG3Zl9TolHTDZHgtcYmjXjl2c4ceZxrJ
nD6TXsDJxF/M7aFO/JG7NY2XJgBvCwXDsUp4RViBs9k38Q2R3tpnenrLxX1z0A55UQUUDIUaOApJ
VUGPSPJNT5MCuxJxgu6hn6bZ81uSuFmdDBgBwHvKLVVTV8JQ4pungTCX40y/Tl6UzgQbJ3mW/SZq
MH9kNonBgj/C7IOR6Y8VJNDo060wTPEMQo/7T5hd/BIz82r9zoIpyKrLMjtf77v+ifV4qwQIzQAk
mS2JkPd4wOkLYFxH9nZMhv1mVtUaN+4KLTbMzF77DZeqGzfSHRMjtNa8FBEoBbPZzPADoZOP4+xe
K0LpzEADYt6CHrfycYvuGCVRoTuzXxe9vvgdyWAliI6xfR2EUTXRPGoq6GdTJiZQNNkA39CJhyWs
I7VCxZQKUqLJrXXiVZZ42ehd3+uR7sIf2hoKFuOtN8cO3PpxOhOwOv6Saq2XR4vMqeGaiYZ4s1nv
SApxFDqmvYdNdtiNkkSQLYyPLsOewrTNpzNddD8fU4forBGVcVS7Y/ybaKhZj2Z+ou8MtwcLB1Na
fTYWOTDC9yTHoI8j25lfJipjbovcMQDQ6mTFB2vmDMW2yPo4v+Pruf8HU1Y3a8aptIGMk3/wsPfS
dwpSFQkMkROWlH4wPpuldb5Y12lWNK+GuCHnkSqx2GRe+rnnMkqJxzYhP90tmiqsME6dkGG1Zaj2
ks0N7JU7FsZluOR7wBodrHu4eAi9cIz4SubEIgPD2cIuoapGzuz+VGPwKVY+jU+jNBpvu7hF4vhN
VRB8R5nifueyN9/yqZnWQO+cOEPURVqPqo3KBXNIrAbemMyFb0gJPM2TWv0uV914LzDysAPGpKye
iQc2dsRUxr+npASeIMvkGzip/jgg4fsapBEXXPp1/GOAtPo7K9vuQx+lOPRZZ77EcNw+VEK2xc7I
ZaLx1qTJskUqouebDnjUQbV7ZUkABMLX8U08u244SKfkueR9nALSKLIP9EsL9rR41gCHdXrahliv
KuiZUo4z/obKY06k5nYbxD1DEN8laXHxE1uMEFm0DLCooMyJnKSkvmGv4BAEhNsFvZAhw8kwYHG1
mp3+aEjqeYeUOrxMHC1P6ehlVSjSDuU4cP/xl/3nRz1oor8g09VvfLp0+r027Cv4Pz9ohIYq1GFM
/VBywT+qy/JJ49EwpOd3k6J4gds71i98yUPNurHhBU/BJ1FfyozCwmiG44DkvgjTwoQok7pJ7PAN
oxbdFhrY/GByxvE5UwfM8LbSG/GJAPbUxQe2Sg/bQ05UJ0fWzA9PGYbl6g4zkapbwm66cjNqxIfg
WeqdLLvVlmlESt4U1161MWA68NbFdkr77odqoimlcm57M4T4WnTbNUmqM/sx0z7h12RTb7adGRDP
o+WPmfAabWsRNNFGQOKUcW+wHsfp3rRgYfJFMJpmsNcU84YAMSnCwTLdbYdHh4jNRLNfKq1tPL6t
XLPFi7uKSg1hl6R7JcvS+Sx66aUReW0uuYXx0mlv7BS15efCNO7DEJhtNnrJ6bajNWtuhMfVnV+4
Ve8EzaBApyhIurhiyYCISMd0jy2eFDrlWtGF4VtY2L+SRNXrDb0TpKd4Qn7hc3+jVEwmbAMZA4LP
JM7jV7204xuPOi9LrGvV78lZ0gtXLqFr6ywd7aSn0rr8+6XRfzmL+acRz7X9VT8N3a9fw/mr/X9g
akMJ8a9qpDfGMP/L/6qLf5z0/Pk1fxdK1h9IAZm22mhoVIohhkB/FUqG+YdLbcLJ49Kumqi1/7NO
MvQ/LLzzDD91mzGpYfG//q6TDO0Pg9/LXuLvMkn7d+ok2/1n5TDWZvRElocy0kRaZBruXXr0D3WS
XUijTTOXw8crDjI2XwfDHm9tNpvhCGhqZwuuAjk5mm+xnDwSd3bT2fZs4S45AYZP8ptdmYw+YqIT
sk8zUvGa+l5hQDCyzXlHCrvgHQcMGFkmGbKDuhyxPap3G+BA4BqdRz/M2d2+Q3AoMFq0XDHTHluB
tWcaRxJkWaDqorG2BgLjy7Q6r8rouRtFYgMepJ3/plzSrvqg1W8FgpMbqDK6yNXubuOUqQfHnqqT
JUH5+U29SIOro0vfiC7rP8lESOVlWTd5F/XueI7nZuPYwyH35C9BrgsjO+cxURUlzLT122D95d9J
ub4xMR8xu089e9dH2o/UOaVWt9fLKrIWsuXSffEVazoOjflmEaFIv/RJ2/YDF82h0cdN6XjHKW5P
jTNvM6bITmLftKS+VbUy+Jax7ghRfZ4XJKo2J1W8mZxb7eZPadc+1U5HTmztXAiH2SQZ9daibcDZ
H4tyvk3ue55RqlKcduTeubN3svv5xCSfMnVsGZYon2Kgp+51CIF98uTBGabGzD+HWTxyIbzRjp7g
sB4XGX8Uzfo29eU+1oZoafoXBmKbZHS2BkFl0GW2jh2nQZ1wiTvNR4+fcKYdtJT4KiVkzupee6sf
RgmY59e8rGEj8hOCqke9yRFwVcnRoQiYK+BYbqIfqUP4TjKXGVj1WzB38cucWZ93abtuJ3r3eh+7
OW4Trs6S7xI3369IDC1ZhEN+9TKm4tp1TKyN6OKvqqi/a2cFfPqg6Pk1T4vNsh4LJOSJtrP021gz
C+KqWD9kvXfT+TXVVhDkJLXJRXmqVP2rbfRdYVxNbcHQZHYRyKOoB0HmK87wrjB979h59knzYsXP
jRGhA3rs8HzhOo5IOYwgtQHIumVKslc8M+qoH7xJvxBDhnHYBYXhbkXzuvZvcT3uza77XJ04bEmv
N9sCSbp9XuR6cCrzM+uSWxoX0ayWVzSNOsMj/iZhd6EY+oBo6b1SfPZSO5AtsGO2yMhjCeaFp5MS
Ac9aJHT97JlucnFn7VAxKrX0L54gAPA4EaT6UegfufuopXxOYlfHsUDnNv3OlPJBLaanWhrhxG2W
FIwEZgPD+Xut4FMD9Xs0XdwA7XAyJu+QO1w/I7lPQxvMzrk38NUV47bTHr1Rvmk5SYvT2TXOo3XE
EkLR7iyRt8ynMS2Onf1Km3ZQk3JrFMzvFpDvtRHpGYOZPvn0SiLmIK8+LOX05NxfvtT1njW5E+Oj
KX5VjBEMKPsVIQ3oP1mDBBaowcnd253Yump/MhqSxFoPpqg3+9jRQWpOZJE1GAQEs7GucdiAMzw0
qquldO+lA1RNj1/Q7W36tj0pEEADTfEeZEtOhs2MQvBj0CPqgD2BbptpjdDBbpZa7nqr31jp52Ja
t37oCeHoywiO1mss5MXw1Degxz81XLKwmafNWsMDkMNmFmdQ6Bn/5iQaepJVnXZnJoe02NKTvPYD
NbvOPZ/k7Gc603uhrb7dNf6lgl1d6bOawo3UYFsjrhFsnbtEs72S/+Fs1y4SPL6QozdOIV9xWFLk
dfHvlFLDU9c4AHR3xKG/Bz6Gnz+Jj21df7cQizjQ4wr4hrXDhHXoVsi+6fRkl+4Ulq4mN6oGxKBo
S+/NrVv8x2r7CaqsO5kp87luoHClDT1idbgiDThRXJJ/Tmd7XBTpXkfSgHwHgUhkZvl3OsprrJUn
22O07/Zjfoyr9MGyM4JdNI2Hw9lVfCmjTgdnl6Z/FPX6NFjl19hIyJzU+JS8ymYYanVHrJw8Da1u
BfZiVhc4CPmjVfX6bVoM7aKrYBs3FrKYEFhOOOVqkGQvKdm8KEYTRGuD0CI3c7asxScv+4JcQXQu
cXQHXZsg+zKsd5aHoSKiN1+aF+aJm6Jso7KohmMdweGwrnldAN4r6NqTJAOQEluhHk9Hr1S9nQex
3WsE6dRJ9saZXwbV8qTH4TraWQTj4Eg3+i5S+dKYscImznnpcGSH070udIolHMV4qupbVpGrrmfQ
NBimyIBc9oPUm+9Jyp/raDynnTzWbO/QhBQ7t1av2CXhVmrqe2u38VfbOWOQKhkTQN6O+VDLkNcc
AmNaB02JmwZoYhKWdJz+UPOCTGP31o2GCNSqm/0Jjx1N7Jtqz8NeMfJkzxb7nK9fjp6+Twu/S/fn
jrA68DFuVawhoTffaqFvKlqKjBmxR24g+jNj2S7DmvjYpi41EeFAtBPEclZAuua7Ohq/lUV0QKXo
NZhvZFyIwIjtuWMUPJsneEeYKrDvrfFnMcUPXpteZO29T+b0NXn6DZHDFizVdzpjL3hMmkkNU085
DVxKz5Mw6yhXVQVFliRRNoVXq98JT1Nj17Q3dnVSckXz82Js2BZMBsd3+WSUycyVL1BUlP2lk6uI
TMSEW9joa1AiyQ90XFbbptTGM6mDvNPL8FoL8746KOMTmY2Gj2Q/wZEB2svm/pZu0r5bcckFbwr5
iwaI9Oaap2EeOzssW4s4Ky8byONNv2uStiin1pPtWHRSd1ZqrlVyX8dWccJWUFyIn1OJ1tEGJMBj
4as9HfeSE50ydjs2waAcIAwFrkO1RJiKjzwvMD2zj2iKohImWqCO7+38ITLzlFgMbCqP7sEhqg3p
3+EOe+Sccp+Vwbv2ZbefOUYMddp1Pfiweeh88o4uSfHDazzbR4AybnRrubiTeBJ0+Mh1QXyqhfJQ
QG/cGG31rBYMo7U8dNOYzb+Q6bYlo1nM6Wllz83BNrCYzrv2YFuje6yHvAPcpxhA6dx+Pg/uXN6g
5HJ6isJGhDt45rYhHPahylZ+asahVa0Hl9Z8P6Xt+0BGwtbIdr2aK48rY8IXeEnL6htem6vcadMY
JmYSb+aST3wSQxWJquwjliJvKO2djeyV3/+7ajyDgbQxk5/gPCmSjDWV9GcXK4kv6CKFYv8pq0TD
vZz1Tv+R9bTWUv8eKTSJDkEkVUf/v90alvuS/N4F/YuJdDP001eNKe2vjfv/+Yq/ei3d+8NwDCQU
Hr2ux56JZuevXkvz/mBUjTEFMgKbdGzs/9lrKZrDxNrVcWqyCL/3Y2yx/262FBblnorD2OOLHAvR
ivfvdFsaFqh/GktbvKQMxrH4IfTVEHncJQH/2G5N7pCoaDRb3+roxcPO6PriByB4FoAmGGY1AEOV
9CH6U8O9KotK2QLtgObkNrXMZUNL0OKEjUYCJnluVANnctZ4671kSrB9IoOxSLzQy/GUjEQHHlT0
bhzH4B+GF2f2bHVvrF3ylo3IXHb2ugzxGQFd+QVqX1TgZ1PtT/Kf+8Wkqcr91BtvKEzMLwfm16aI
++KdgG5ra0/Ul4Jo5g8TjReuxLj6QRwm1fKcuaHrlDmR0172HjPPAZw7qCEeWeNNqa3yM0Nas2G1
Vt66kvrF0bRhY0LP5SewsJ0yOnwJLg0IgV58pJm/2NTTfGoF+3oHHs/IdOdZn1tx7SqFFMtSNMnD
OCfusfIyK1rtdb44dcPtSMgaR8nYgzZEaHdhqdzLgLwY+1sV/YenJxoFM7SgeOq0W59MDlEzU9xs
G6DsmyXOm4aJs5ijleZRBui0tYNqjTBnWrtxr7Bqsh9arbIDc8pn1ODpvk7n5NmDT0RtJtxkZ9iT
u1lY2b5kUuXr2MxSg7jx785tP0h2KYJlpL3mox0PiP0ZVC2EUhsQDfYKJV1EinPxgkN3y+o3TPFJ
wFBfE23b0IOE5GNZW/T74ji0WRXxgSnhavT9S0EpcyVe6g7DeckMVuM48jqPaV+WvK5LFx+rZDAh
cWFJ++7IUaQbKtedZlRAuRVg22dANjObRxu9wd1I46d8b0R3anZ77ZFPHHqHTwtxPZuLpvXS/Rh3
iu+ZuvLk2TINvF4zQ0Z4xaat7Sby0hTCc8rCFvKGdeDeHHwozwsFv74hAMrj7+svdjKv/mikGavz
HEI4LObeYPHiSuNcg9MK7cJbTp6wL9YdTqUCJvfzckEX0Xd6xNo6OYNmbKFGOtUFOkP+vQIrGnB7
jtW+HFAazMaSbWIzFa92XaqPay1adqNu+rPvKxH2q5FHdd2Qq1Kr+UWgrAwWhWUNP7ZbZrj9vkfy
Tvm04om67wW6qjqtRdXu6kRjHOySkuQnrJt8KB5JIAq95UOoHOHjHu99Vinjxu4W6gwv7Z/Zm2mP
DI31KM8TQbuzvOiZl6COuQvO8iZdqLXrw1hZ2nFVmCLXuvY5GWa+H/CuPsa5x2YKUa8VkD1chFPZ
zkgj5nRjpEYeQsG2gtJTI4C+1XVQrBpHeG6cyWHmFid9+0Ifl9BAWv1xzVQmjm3lmd8kwBoIHPtp
34s5I8c+dbaa079rnYZVWhTUFc5Sn3MtGQK0Ea+J7tpoThIPpfnkESG5ZUCsHZiYGBlbASQLS2I+
1zEJQb5HTbuNmeC/k8Ie+2u2bKpF8JGnWVx+EnBYQkjmywbudp6deQgaUqeJHNaKMFatK3165WcY
m8O60++iZ8DjCG66fB/D0AyJxynfJns0DmLSTPAjCousvjDIyIw3aAy/yan7kWmtcxPLyPofmQi0
moV9GE7H/nUGm7REncfh6BGzWO0UzHxJ7Q+FMo0/SM1J5f0Fs1AO0zE2CCQYvJphn1jazmOy/lXQ
uAZkLoAuz037DC+nVMO8JMWOf6DQHhG/OpDb+al1BVx3hrCrlXDeoLIzez8B5pc+EDhDl6f9uUaZ
NJBmkp64Gc/zfQPfqO1O79p9WRZXZaX5i3ngdjoQpUirjLDIltc2kQehQeLi7zipmdx4sfPDNNvD
nfzfOuY2H0hRFeayU8v0kuhM5mVTPg0GULiZRqMpRaiiReL/Rr2mbqsp5tfNrrQpdpzlp5k9qXdG
k2t9iFVj3aFutU5GGL3Prt6RcbmSmFJtjCoD8uce27xHdVgeSbw/MlmLGlybMV0pkpM99WmU9vXF
ZRPodHnQSm+D52tLJsR1MZZNPY2Bd5f6LhJxFQoJbeiZGs0taSV9f1Asi2hbo838AlWLkc8cB0xs
uHoYHp4gQFBYL7dBAZY+qOYzRxqbSUWTsc+9ZSJ90OlunLqYrcAZ7eXBqCbjvu8yNsSMPwhWRKwg
6ytw51OT5E9FVWy7sosIEmXywoBoZ6mleSlLK/1WoNith6yYtAcNnfU+VYoeIGVsvwg96TxYacWL
4zjpruwmjj2IoaQ0oA2jmcDs1E1ZtbW8khaWPOOgQ7G1sQbvt16LKpIVSra1JsfGTH6SIUObz3LM
l8jQkPKv496bpx8xIJ5zDG4qoHkw9gXE3CvqXtzljtEFtdEcZtergzkd7pW5bW293DxwEKZE+DLK
ydp+CtWuDbUm3SWtd22cbgnGYcQppDBuE0bSbprYEZvJvb+7g/yO1+asZfMeT9ZIWIPBG+FdK2PV
d7g3u21iNk/w0Z+gXPQB5crXkKMuqzqJpry0Cya7RsCpuU1Llji5ctFmdT2XjrMEeTk9SG5Cz6oN
VOMcH+WcvBGSQUaqdA7j0h+SuH9QE+MkJp1jUZY7dwRw7nZq9TZVTRZSN0y7QbBXF/XifE2mZx1K
T9RRPMQ9m0pvZp8rSMOYhlH7SM37ZIFjuzcyGhen8ih+ZOv+7rVWP6G2B9olsuI9HVXlY3LWM3dH
iW7OrT0SMTzzV8a3ZNeqvh/EWG849aagttD6OLb5iQDO3SQgRjfWpJb4oQiLi6BefWhzYgWKEz9N
pccyOOe8I+rCLPxFSoiKXZ/4k9lUN7DwZOSxQc4NriLChN5ir5oCryuvxYr6C3vf58AQcbKNzuez
Z8675oey7/ZyUj60LGP+Jej33X6bzqIM8t54sNZKJ3zEOFUjNqgKVRGbtZWTgignpk/mGbfI46oW
j6N1n9O1Gs9vexxKe6vQIM2pV/zO2SIEykrPE5PUgktmjXLpoRKU0kH7RLIKBFfijDqknAM07Jee
/biPNk8G7aLclZjGh8uQ14pzfSuqHL1h2x5tp/WCqRJv5P4iM5ANeoIc/diIxIr5XYEaDSGe4N/E
FPzcxnN5AFurkbwyPes6RZNdmV8xAwnSmvp1X0jyWh0pAkVqjynj4zy3jEDEQltOXer0t95xum0x
pNqGGrgMBd7hqGDV/Z3ohGMGGkEYL5o6eBO29zj5snqWdZKAyxWaftUbbOWWUzPPw0Nz99d42HDV
QGHYx+LXY80/EUWy6hjvFcmvEZqsyk4rgFL7SmIWu7i3lHAYG6fdZHymKutruaiH0kZHKCpcqwRY
ibshBYnVAykY5aepJPyF+upeY9acZzaTaC+mOb4k9rzehrZcjV1Vs6tBYoKStMdm80l7y2acKndf
OOrIbTTLPVlxPGh6bPnUAu5JURxsyfrKs+0ohRFVbsvY1C6cw+zk73k1SNTk2qpFvTS1Yw8L5p3l
KyVOWdp+NjAFmYkA37hMu9eUjbc1zz9oqrUdxp65viXDoLaEJ3SufNVm5rwReXEOh7ZiT4e16/oZ
EEveXLplXI6jpimW7RPRrsqEVIza6aN8blbte4YEt1O8+5JVG8iLCKvGfYzNrJp2HhzYKjTHuXsh
u5UXxhpAGElPpK+lEa8yUMrZOrVOqkxog+UwRRXTue4bGaht+1PBtCFcyNUoN/UC5+agjlVmn0lW
qusjZ3WnMEIn+TpUoGAOfpc1dBSLaw6sUjGRDiweFrIgos42c3WrO71gcJnZwnurZ+H2j7Al+UjS
Gfzy49wz1dghT0YQS4iHno287DZ+YcQ3inNYx6zV34u51cxda7uZEnRW7CAhRvf7Oc9MP3xgA1kX
FjJP0j0+3FW/SXMdOFzXpa9H2ic6MsQ0dj5uVltzW17YJFWDGHz/DxPz8rPQlU7u0V9L+SRkFesX
WkuuaQcN1HSql/GejuQsBcJite/kVw0KSkm5Gc3sIa28qj0YqWI1+7VDSLgjulXzyXbN5gOEqXZk
p0WBbXREE3R3983agV/y8fkmYVcrtC5IYX8xKU/2xqAVP8q09sJ01eUDVCZr7y61fUsrsmGacc22
fD5sUZwe9LzEHOMrjeeF7qyktxlO4HOWuCCe0oDHcu9ayhoSWmH7udKrYeEoL3WpXI1KEvGF2DA2
emcnChZjeY+UUiFCB9Y4Cd9p9w5+s93YoyDLvOLpKbwR5bkmHqHpDZjpGu+C67x6bxr3K+57d2fa
8hXyuwjQ7HbhaDbajfiJ9ClW7aey4vvs2uoF+0izqbAvFbE4eFXiBfk43YbMDKe21bZGqRy1oov5
do3nXiflz2zZ2PTl62S37XbJ5gLOkNCwbpgPxKV9dJV3oC+IyaPRVQRcTaQXw6+hsTcziI9p8i4Q
dd/icTERFo8zGkorf+Wj/hhESp6JRYOniC+yEBpsfFY9/ARyumNseFqBUe1k3n/YOR/A7AUV1mYz
RcdsIwZJWgFAoOUYSpVXvVYfRU/sKBrs0es0f6jqA9aZX6rX2qwPvOaiK/2TWa5oRtXqlpjTY7GK
syaIO0LOAAuhlWe4ksfYQUY6Kyhi1eG3pzMKEcWhiOflZICzhIlK+d7Mm0zRKYyFfFib8h0NxSf9
+LQzinhvC2MJHJueiNfQVtvofgnW2a4Sv/O48m3UD1C0z4lhbMph3HL4ymBS7c9yWI/pWM4obEhc
Wntzq8R5BJE3TEr3x7Dw87CWvasbH4uX+rWcso8l7Wf839l+WeOP0s1/mk2tHzW1/mTisV86cRdX
g6VYknWjN9UrFGqSOE0ZjarzpcRpGSqrigrFzqatVCfTX4xm13ELtslwcVpTzoHUV9gFPI5ZnfN9
Q4lhV2vuoW3yLqt2MNqrQWYa37LOn6T39QcjcJTFtKq+65bfHWvwhjRjnxklaVwQUuZSPTHuDSEx
5b6ytnf4lSYTXzUeJyd/qQvroc9lJCyrQ2mm0+O7/JRde+942R6i5s5dx2Dlvxet6UTuUD61Sr8b
sp7+pY6SXH9SKd3VObnkxfw6gw6DWUlwTRaHjr6y6ypeDFWG7eAeUqnum1aJsrXbOau96zoB7bIf
/dkpka30daTq01EO8a6Ll4M7DnTzxUtJOJftlhvNTPa1Vz/pLmumeCoP8FhDTZrZCQzOYWi1CDP3
3uiVF/LJ6qAds1+zCaWzEKsRqeZwiKEUJ7r3aCxxv0sXXvA7I8R3UnMjtAI1NjOJculu7qq4V2mL
K5MTcuH7d1xU3zGFIWmJCLiGIr5khjme1ElqPrf4R5cuxpEQsZoVmRMSCiIec1lrIelrU5h3ineb
JtLLke4lSPd6FicsfKGvGoGJwhGU8VyERjxUDzACdAYE7THruH5Zni1+wbK3rNQnuxcwDRU/t/uz
m8XPVmFt18nzHsckZVKhFKjrWzWYNcFkw4sqpA0Oc50DmLmD5iBTk8XGBJuwY6Sj+ux3NrppPQ0r
z61JOAWMk1Ao4riSr7Ul96WKGHQ8xMb4H+yd15LbyJrnX2VfAB0AEglzSxJk+ZJKpZa5QUhqCR5I
ePP084Ok3SmieMhRX83FRpw40dGKVjKR7jN/c0M5i7ybmuTVTK8I7WE/TmgvF3lxgMyzN4d8QYvL
r7MVfWw078ZJlU+FiYMSO8YWruSDSCBF6B6WlFxXKZ2C0HaggMy+i7FIUqjrxPX80M2uLIzL77X6
oS6ru3wA2D5M5HRtSiHEcHep52EVFPxTAIPUlbsRanSJJtpdArzw7zqEvVKFH6Dfs2ObQ8OTjS3w
1pHWG+7rTVHVu0EmO6cljs8dod2bMn0KAm+fFbY/tU9wH6/ryn2vm4vtZv4EBMVHGu+6M8nWCmJ0
g5DUTPc2SDYk9nWqg6XwNn0gLXLzeUBuiB01pNUXN5r9cAqf64FUPIblvTdCDcs9LNkWM5CrvjS/
F9jy4Oz4w8XsNUNbgR6HnXGmg2WAstsAbn+Onf4+NPjpTUUEndlPEfS6jZu4flNIqoB6W21ip/qn
r4obYH+fkbS7z4Zgj7vJzs7mD7XKPoHjWczhCFaUTSmmKLedNrzBHs0vZHs7FdX9QMzhgLrEOejv
ccZgJTXiD0mePvZGDZ+nuaV59RAnmnMv4TrCBKaIUad0yBxaOPYkP0219ZjK+qGYTHyNgGJz42ft
tm6NawKJv1Xp7vWSULwrP1FBux5tjF+7GM2mIBTXQTDc6R6QQaTHCS6hrZO5mu/DoNy1OYBTl78G
Ls/SWYTf4xbxO1fPP7kpLI6YJmoDGntjoMm+xSrmpsUhdW+YoTgkVf4lM+A4yb6hUdh17rURJRRT
DeuTNRJQVljr7jOLonYRkwpOvapvFDJFfgFffUtB72vHEuxib3BojTVXxIOfcE6HSxbVvg1OaUdI
qsAkem/zBAcs9AOGjx5pFKFsbCFg3e7nDI2+ir8VY1Ibyz4HkXz3CmaLlunvcghameFrrhqnTtui
MC7EtsM+I93PLgI0O1OlmEMMeMA8NZE7iX3slnF5C9MnjQ5ZkFjv5xzcPethS8e3Btt4zlUWAQCv
oioihSvVp5pYPdsDA+4AarIz/imdYOj3GGvKH3HROk/l3A9Ple6miL5AbeecEz05INoVd0SYWR01
TYVdvG+HtfoEI8lIt6qeFg89KiK8dPmQPszJoD1Vg6SJOUs40XVWVtXWnKLpoxc0PXl2E03xHrMf
XAySiHtiocDF780xAGvfBI1QwG3QP96GYzEHV2lVsYzemBTsCGXJujpgLOo014lX2saGZRej36VN
Rwm/cLXDOJX5ZzOx2reDW8+PxohFwbYwiHl/iY795oIeUR3/Hwd1zVQ9i1c8Qjb+R/zj/0LiB82n
c322+7Iuv30rj9psy3/xq8+mGX/p+qIzSEkfYcWFW/p/G21LN21RiV641iAYfxFDfrM/hPzLM7Cq
odGGmKdYqKpN+YuPupBGaL3pAHaBQxqm/JM2G8TY4y4b7A/wjDohsTQc2nY6v/xll82dvVDDUPpL
3VnafJtPqZk/KCuZ0m1eEOtfh8RaVrwJ29xSO4DHAK0pLtpegz/J7CYyA5MRmwhQbJEpKrrpzUCn
WwV3KYKDlbfVa9EtAPC8/pEDbUu56SCwtc/JIDQiR1UKUBzXUHZHRXImCqezNjYcxOpDaKZlBks2
MCRJ4Q4NO/buNik1vDHx44Zc2LnP5Pql1S99Ar0tgG+NZtvD95ZZ966OEvpmU9h18iO4Tt50hXBH
+cZ24iXydU3d+xKTqCU3loRkAEerG20fehQA/dQJU+6GPNT1m9Bc6BjosOqkn5NV/wgirakPnWX2
9Tspak8B3Rr09hFMRPZJq0oNofgBVseVnvc6pWnXDr8k+UD8FAwm7a7cpu8C8MUdURacsRLn39fm
zmq1qtlRPaGqoGUTkE6KZ/2+gLdcPqKkpGO02CsAYp41pdpVW+cie4tDTIH5T191NsjzVqpDLDGP
ayzUw/A3qVqg6GFn99xwqRZhmiLTj42bTvciMHQ6EW09/lB20HTfrBCKzQPVIt24NeImfNYaVHLR
vhXBN6LoJjmIMVbDeyX12AsIypOpSf1Yd+f4S65HgkppXmfu9womQvLRw6y5fnTIdZpbvedv8rum
9Eo/6h3cfOlmWG9hKCt3b7n1+DU38zz02yKgbpAAknjSSsjMvkX8am40mIKBH8+Fw/WKMFIKe4Ys
d0urgLxwBqb7WYLtfjfjLEWBdQz75xYOVrrHOBjFs5RC8RuHWhN+cJbdTD5QC5ya+aMs34Rlaf6g
+NiSf+ok+rEo4xhfxELqYMz1+rF2BrgXm7gr0HIBHJY1FH1oiUVwElJRw3iqEHc5FPHk7g09zrwb
jLCIQ1Id8iWovCqb71vu4dqf0Qg3NijuGHSd48JLHxLAJum+N7Lpvep0dR85eZDc5FLR6UliNw4f
FwJTuAt52MH3KNv4nLkd0c6sExvpFF+J3BuLA6NXmrDvsyVe3k2tnj3lajBAdQwU/w89KQLSBiFd
lwOyX/U+zuJEouoCPhLRXIcqeYC2KtXJWiv3tk2xZDPaTjBv8Himh4GfqJ5tZNPW9aGUs1tRt1WO
dujUVLpXHRTPTzGA/Z6Fos4LIUUGlbhuasfJd9Kkf5MC+gnGZtdB6aXBNJDgglilz7BhUar4ekB1
Cod5qj/vK8uMcsqsZvo2ikiGdmCoeS4rvklPf9le2uyOXYS7HMZivMnyTLvLTBFOpHfV4vKQxtje
GwX8XPgCExURqkEzWWzpGM9ct+E7q+hgPhGN1q5vEl9Zzyk+NcMBTOaQPeBvQTU/DEAybuYhwAfX
zA292SdaJKOPsGl6fH8HlcbsR3Bsu3nMjS985WF4MwLhfptQxAP9NZga7d2q7zE6Q2KpKwr3izFU
pbq2hhwPFzCDsEES10qdLWwVvO7C2BzFvsf6ytkMXbEgl5SRYrsIt66or1Ai7ps9/CUiFrNFIpG3
HykDDDNzEqLPZl4Wt/qiMfsGdb6m3DfGlMsNnUGq79WIrRq+NvIt0t/c5OZoI+oMg5U+jkVD9YfT
WFBAueXVB7w/jMh3DYyED3EFq/EubXEzANJlGOGh60zvIzTd8tkKG74WoY0a7yzHmGffdqhpQ6sC
fL2vRzmw4UG9eygVJiGgRA8rquhh6JVl3ieZtmATGmWbf3cgh764iPJ3HyjsSShgfBrMlEmp0ncY
wHrYUOJPH18NmJPKa2u0xx49RolBeTGW+rvUEVUD6DWxE5SGWh2svOuYX/tI0K70UmAKvgF2QDxi
TDSwdprCabIGrx7trMnRTK4laoM7WgfTtIWiM1rfqymyKD4PuTH3oK5w9h6njQw9F76RHqXVBPvY
wg1ui8Jh3GHIPsdoDGxavJJHcwEclgja1VGn9Tcues1Qq9KZChmtUrt17pCx1OqvbhgS32+9AOw5
lwL9LvoEEgjDP2Y7AgWjsVxa3+y01N83bj2BAp9knwS4pmpUIhu/dyAiP8JxnKyrcsDje++kFciR
IbFogCZT0YQ7Xj6keLCYgNHeS5qSEM8n3sedVfcdChIZEu94oeIZ0k9bE3zBEyRIqgoKc4rUH8nA
jV2Iw9v8kGADNV5bKBBNdLWtLjyUHe8ZfW1hviVYdQbgwrmowmv8wCiASwP3yk02JY2kTuVG3QGq
kZt+TEtYaNgxhwmlFHrupXBNeAN0XdTWS1CI+h6H2lTeNqkuAZSVyNhmmOhJZCy/YEdb0PENOWEF
dY1FJgJ+1GQWfydZMgpzl1OVoV8pWFyaYYkh9MxXyKQFo++1bTTdF7ASA1DHUd7fWgT9ED4RNrQP
lpnHLNwc1bpFrSwHmY6WltQbwGgBrD1f2LoZNJTgDNWlJD16BzuMgvcoqc10hdEfJlODgrBJu0yf
r9m6IXeTOeHico8ElmZDJIDrcN8buuoesRIiqdwILQ7qD8oUSt61Btq592ZXa/ZtpCVt+oYyCm1J
rxocECVAS+b+jbLpozzjWKH3n4AjI1y+0epqbkHMjRNFNxPPVR60OK/rJ4rhNmWgwgnFjxL9g+A2
awYNJBHiNcGnwAP37eeR6zwbMG3u+XAwAGbHKr4qpwsQWZorTCM+D1gReZsiChBoxpbJtmjduiJ9
nhBu6L+kfZt/rYo2UFdZ2Wf93WhzjK8DPRliv4AHPbyhdQm2oifIta+AiRYIXYfCym8CzR2KKwd8
cvsxZ6ezC/U4rD+ALJDv6rwrPtlo+JvvbWRAsm3hkkMjtK+r+CpMJWTJYYRxxpVighsw+6Hurg13
iLVnZHrK4WnwSlQiOL9VXF+5VoSxe0/zih+FDNhTpHPp+/8fYfgLYWgu0tn/GWL4bvj+z/dj1vvy
H/xGGFp/GbivINJE/gLLa8EK/kYY6n/B4zNQGsHqmgRoQf79znts7y+Qh97CrzJ0Q9pkN//nd+Ij
5V9cFuQrCHEt3HfxR6z3Y847lHt+AIKpIAtdQTr102fgBZcLgTFaKgMOzDxhk9+qznmbpU6zc8um
uE01O/knqdpo3+gyCTYvvtHvRPmlBtBCE/tvuv2voek+cKhd2NC2xRd7mXEhLlMhKq/AU9REhLlp
odTRNzTklVFccLQ9PZRkFRC5t/mgx0PBSYgMc6Y+5w5WtcvTcSZsVtVO66mrn5/VcR75a1aoGAiE
NXAzMMUqjwSKk9aiYVZGHFk3A+qSOwv8zC/uJLWB0/pJp5YNi1zL4F1yiR8WRfuXy5aHYRKoEg95
jEquWorVe7rB6ga3wuo6MF1Uj8cGsnzRJRRszs9w+bvX67bk45ZNso4C2AqP2lWmnSVYc28rDYfo
TWfViO3oWbkHtaNtywFV42Bwu191lf8441NL6LF62BcxridXuwV3RTWA2pLbmIL3NtSncYtIc3Gl
6rS5Pj/BZYlWEzSXSgDIKi5+IVa6by5s8Al5PWtbUZ8iRUZp70BFrXoLSGrcWWbc7yI3C3yPnO0+
UI3wz49/YguxcZb7AC49NkmrxYVGkRgYgvJkwI24NUuvtbcsZisvjHMswfVzqzIOshm6CWfUkqtx
oFSOXgjKYSvmbL5WLTQezbWbO2CpNQidyL06P68TS4hzj61zCDHWQCP+eNO62pgGBIwWOaYhruxw
oBuBJ/d72c7JhT16cijYUWifubaN7drxUJll6kK5udyOQ/Utq5VzoHXQvo1kal4Y6dRmAWqDrMki
HcKCHY8U4C7U1BIAiphoCzsiAXhj56Fx73p685yP+oj+qVTR33oaGHdVr+e781/1xHEkCjAEjiHY
fOEtcPwDHA2eumZGcotMkPbsUTXfgh2bsJOtaMVMnqBj4BT6heN44gJii+JVAmYetvFaK6UcJ0Xj
kg9cxgaylzhGb3NXyP3isnSTKq07dMg57emv1T/Oz/fU0gocwnGocnhUzdUFC+Si6kwqG1scWj9A
oAG+naUSHrBr/5s5eroAMr4UJdf71WhK7lAD5Fxre3Qaqqq/7smPfqimt+/zDiW3PtPQZoiVZV16
Rk7MktuHkBomuIUYzWpbxTEpqa6ktS2iJLtqzDjZNbRpkPgEdHf+gxrL37W672DHOrQAqHvig7I6
l43wnNTQGSus3YhoG6wbklHdnqd0BqyS3eG3YB4GGkzv0EXRfdiZ/2h6VF64do1lnFe/g++MyAu3
g7CW++rFowYTHjpXxO+IBCjLKIje907h+XEUhptZVYBjI5lDREo+J0S1wMv07+e/xIkLkRCNi9HE
W4m7f1mUFz+g7Qrww5GFpzgx8g4R1vRWpEB/IaUXe8pc0YUNdmqRaS1aEN0JTZA5Oh5PFZCrLDmw
wcqx2uuxElhHhTEQQM29cEucuKYswlAiBUrsBHyrqc0Um3TwBxbOEyCv0ZMm5YSrPLyzh66+DnJp
X1VOr747asge656qyflPe2KqtF8di+d00aR0VvuZglsRGVnGqQ1VsOuJk6n52vWN9KLkz6eKTxtx
MdQUwb5dXRBKtX2ha5EFRkHqj5MFDtAJAPAk6H/ss9CimCX10E8tSG8qjSr//ExPvN4vh7dXp0nB
OwjLCY5cUy9bNtTTfdVM5YVJHm/Vn5G6zUoSC4mfbZDV1tHtCdrAJJSPP3K8ESaqgQ5p7q709MAP
UMq7PT+r4/X7PZ5g5YhreW701XhCo/BFLVVh55bWBzMbwqs0ipFmc2DFnh/qeKv+HAoFUjT4XIhX
MM1XD5puhiTPTtf6umr0n8wIePfmF5AlwR53HuPW8lS5Qxgx3EXE2Bduw+Pn9PfoPGwYRtokWUse
9/IO0DrqnHFmtajxoT8YiUlsUsgYN50uaz/OKJ7VshFvzk/51KBLgsiuNS0Sh9WUjY56DzCc2h+Q
mr7OiiHzqWgjAUB544fjJulblCuHC0t6/IT/nCn0Np33zaAH5VnieKYBBSN6uqr2tUrCg8TA+Qot
IXurVzN11dYpRyhiZrcPZyUufOQTu9fjZML6JmjSSQCPh8bLrJ3ysa/9vKUNuzAuYWGD3NBhOfhm
NesXnpZTUzUMsj+bGIknbjmzLy52J2qTxDQpxhp6h94A/sE3joTzTAPPvssgMSTbVmj1k0rxfD+/
tCenipoLuRqxqLFk/y+HztAic4KIpZ2cAe+nArRn1Lbj3x0/AgEhxKfOj7dSrf61rD+Vq6kfQB70
Vtef3pt2UYRW7SslPDRXbOkrzAnA5slZvS8du3KpbTq0zWfLi75Hheu9SQJecxHAojDQbcku/aTj
AOPXT6KEQoVh6dNS7zj+Bqk2ZvE8NzVw+QGINOZmXkiNIUxku209aqRjbdp3yYK+c3Vo48kwiD0l
q+7CpXniEsOpkoYmwjq0oNePkCk0Z65zNBcK6Uxv4oJqM+6gX4KkcR7Pr8LxI/BrxkjxUNSxkS30
zNWqa16hR0OftDBUHO/ewtP+0AOw+Xh+lFN7i3Y1noFUiJYM5Pi7GjxyEUZQrQ+4Evpw7GX7TJ+M
93pnd7tRh9b/R6/472lBabW5prAuXbQYX27mNogQ+dMr+Oo1Feluxunbc8VwPYgkOvz53GziItte
HNPYy8dDQSIppqSzGj/DGNFXuoPKYdFOG/qz3i6c2mp/frxTe8Om1kb7kQqR5y5XyIsroqmnfCiF
3SAH0w/7jh4MkGqP9qYZpBeuhOWv+u8499dXJOCzLZJh9sdCLH451AJga5sIGVnguBjnybl4LmlG
P2aYlWxSQnWsxTKkC1uUIy8s4Mo39PfYBEak/PwP/9DjsUF2OvZkx+Dv6XKgqTpb/hib3XZy+nZP
uw79Nbwuv0H2Af2YzZ5+1YZxutfa0oGWFmTBI7jRZpuPoePe2hkdt42lRcE1WgIY/GXO5F54pU5E
AwsLGxo2u4ETtbq66fIElenhPTJgRXjvuePdKHTjjVcU0eMYjt2jHmviS9xMxV4Uo3fp6lp29PFa
oftPrcsxsOYU7MXj75XJZKKGGXB1Ram2yaIusH14kTLcIXMNeCjCYA2BTJwxkMqA4NJ0HdoqrpW4
By8r6veJnMXf53fqKk9a1pDHk5R7ieYJF37mcy+2qqVQ8W4XBCXehe3eiTp0+BOnvaGkH+9N2teb
IR7ycJuamfs2r5vp7aQQ5j7/K15v4uUFpw3uUL0lhFiFub2lBB2GhpKHdJAdrFLU/zwTFZ6m024q
wJRXcwYtyZiwTDs/8sn5kyy5uke5hdLVci2+mD9co4Dum8bQS0dFyWY+8Gzp4gBeT/1wtBmxYHsI
b0cvULBbe9t8BP03vD//M15fGLiF6lzvQIZg1uuryzdyAmNGHaz0haacnYWHCwfWSB6dqZyu/81Q
3KT0cviG603IYS7LFskyP52t9mut1dKHmoZMC4fSvnDeTq2rTS3JZce7QKFW521I8e1KRK98qZsN
2Act19qtrZnDwtkT39DnLz4HDtKvW7Py6ov303EN4Nfe5tnkJsYIGIPj1QszJnkzpV6k/DqNzNvA
RhE91kN9i1P07Ot6qG69WiVb/HuKbUE3/8aC7Hj+ay/bZ3XkKTITD7O0y8u6ygCSABXy1syUnwA8
eggVoH66ojbswZ8GURleBX88IAE4TR2+N8OtE9Z+6lvhWljcIHAZXsWV1m+zZpSoYzvjfBuHBqrg
50dc9uZqikRBuou0hE3J0F0tciCUM8RQA/2eItMONafofkpyh3JdE9wmikJw76Xpvzi3eJHw5qGL
4ZHfrd4eCHqJC6cawby2DQ6LD879KJpwP2IO+1aTnXMDyyIzdkPYNztUyNMHu42Gf85P/cSx5dlD
74OSLe2EdY2ncc3Ca8K29GurR/3K6JFBwNlub8q6vnBDnNhIPNZ0guixUUI0Vl8ZeBJFF5rTfp92
4ffG9IqbxRdrg6BhDcAtmasLy3rqZlwCTnKcpdYj7FXQ1GRmiYxNUfnUgntEiqsWsQs3SJ8BDwTA
NhAz/lxxo8IhpBZ0aKQdoJSIDGvm//FXFku1yV3qw2hRrs4Qf9JrmYwr+MOGN4JxqOmFjZYBg6Gi
xnh+sJPfGd1wXhpKaTxIq/fAFX1Vdn3lp/hn3Hd5Lt7M9iBh2WtfU3P0Lrx8y7KtDo9wLPom6JhT
SnNWF//ozEHcl8ytLIzpauhlgO6C5bw9P6kT9zCVHcZYsnOq3KtJJWWvxXKSyoc5hcJCK9KbAM1m
7GEJy7Zi4M82ydihJza7UfIvdi5hMJcDDSjQJ6spAr+qkUCHwa1E0NzlKu5RPUcdH2rFaBzsqIQ4
d366J9aQMGJpZlJuZ/Oup9vi4l7jk+C7Tt5tIqS4ITGkMwzazHbe9mX/Ww7pf9hP/PnQcCI9Wr+U
m6VurR4aPB7QuYAy6ysHYnqeeu5DO8zFE1hy9+Ofz23JfHlR2J581+P9KRTccC11iCFFAXazWgTf
gxxCX+yCVLHL4kK4sJzy1QZd7LylBNBMTWndkmKdsK53cTYxE/CZicV5ICGdwNiJyN61KALc1UZd
8r60oILmaXIulLNO/wCXzIaKIXtoNWHZO3DgJD+gm4PiM/bDHYYR5DJuAVcAmxkE2kYUX7vCKT8m
tfnhzz83QrcuNnl0N4kljj83aOdEH7qm8Yku5k0buJCPG0VXuu/N8YZ7Pj+cH/B1yWVpawrOKDUe
/sFdvseLgNTJKbJJ1IqAacKAitMlQAE3hqbKiLZMIa77qBu306xp2Mjkyd+QOeJtMnoKNpXb/2np
gR9DSxfgFS4loE1WgTnqfFXnWS3Ul2po7+sRjOvkBtb+/JxfXYKMQqrIFYg9Glnz6oIPvBRBm8F2
UUbMZlRC8Japeoxszo+yLNXRTjaB5Zuoc9EQpg+/fkYwC4FoFZrmrmzB1rn6+K3OA+dg1HLYlJEI
Lwz3KjZAA8ylksIbAuwGda/jdVShw9UGym1Xe2HxaeB0vAc862wR8rvUWzwxFIEeXIgl1NZBihwP
5aFiS+VtMpERCOcJD9O4A16ahEW7HUtrSi68x68/JMskl44tiDOCr9WmkDUOK/GAvmA92V/BTva+
xNNuX/cY9yjkMi98yFcXACPRQFuydkop3ELHs8OyMxQzMFAaL1G0iwu7ekC0on3UB9nf6yVyLGB/
wJ4GTTRf9TU25JeO5DLC8c5hriwjXiJSEuCuYi9HlUrGVmfuei5ZdG+NALt1B6D1hwinCIwPrFp8
gCdl0QzLK1yc4yqZiIdHVJ4xP8du48ID5576QeRUhu6AAqMKefxJBlXNqQEMcuc2mvXZVQBA6zas
3phh9jRpzfwOIEn7PRoN+afZBbcwiuAUgm1IN84akJQ3dqPRu9Z3WRlPN0Mm7F2lh+1tYgttn8yN
feH+ObH21CYoUNA9wUhlHYN63Szg0qEoSzWNukklWiKVofGwz7KKwr73SpQv7pwQ+92DhyeP2PS6
SWHv/M1x4nzxK8B/CPpVFrHh8eeejM7MCy7mHXZiyXVZOWqr9MnzOdjthaFeR90LiIbXnZWl8M6z
dzwWlkcQY3V32gl6cn7iRr0/lCnuX71V7HOPSl6v9Yjwz8O0i/s22QZT0/z5KhOQYs+30KWWds7x
b+hRmnaAzaP66hjVNcZRoD6Qu/BVRS49dFl44UI5scoUEWnUCwwNlsj7eDwc1lqc1aWOI9Pkogce
QdvXKu2mcQvt+5gW+eCnOTxs0CHjsMX2zXUufPYTVxpQhSXKoRhNZW5VRU2CmELqzL6mGpbemHqL
lGzQzO+L0Zy/4zRfxhc+8akpk2BQlqAGY9jrgxQCevMSbj169LmbPKFKG8H10VJYv7asamDglltt
CuxJUPKdDeNNTGH18/ltfeI3kHHwcGBX5zHt5ZZ5EWlEiQQf4Eb6DguQZK9nc0uJps7sg7I7hUCL
dOp3mTIDJEh6lGan6F88kcQWMB7ICgAUrD+ChdUemMR63g0D8H6oOymqy+HouwKZtfNzPRFWWToV
3wUtxh0m1mEkDKYs9TBeReO2gHmeqln4A/v/DkGfAAh86nxqCiTYXUR5r9KMG4bwypAPU43OxiDb
6IIh7OsrnJdMUG/EZoEgYV3ynCjvGT0NvJ20QnUfxvZ4RTCLkFI/ZzdFAXq/ixA3ozR96VO8jrao
RVHs5U2jh2ata42pIJwevVFCELbiKyeT/Y3GsbyAkn19ooh8FsDxsrukLlf3WDzR2FaxJXccLfOd
G1YoDVZI1iWisnYpqP7wwhF+fUkzHNGqsSBupLluy2pRA85ZhDZU+jTH72icfSEwo2Wl1f78Zjo5
FNU8DxCKbRLgHR+cIetwzYHEv+MNNhAqdzk3Daol7uhcuhpPfkaCDi4lT4CXWIUec4i8hhGh5F2m
4m6EYrKPRSZQhwuQs4qT+MJNfGpXEtIBAqZXthQLjmemm9oAi5nEzpwqhavglO05umrbmk2CoSVa
PLkhggNy1cmFC/HkRB2qWxxNk6R99U1nvJJwGBr4phhPb3sloOUPkX5fICB7RbvkUjPm5Hi0Y7Af
weHkVSvdcMtgQt/R3nl0Nq8Wkw6EUyUpXRYU13as6n/O75nXly2ltOWwg+eBRWatLtskD1ErQg1o
h1xacEAxIKYwIeu7Yc6tfeil2Ah1yt6ik4qIuyEvpVinpkvfczHEoxgtfzo/v7jr21HlAkI+C6sm
D+dUKQ6AmZDSRr/6Zh7DS93xZbmOQ2aLDhuEX1suUK115V9NQ2qFPWriaZDU9xkt7HdaYwtCxjbY
iQbBcTziL4XFJwcli7MpBNKQX5e5xAw+VbqlvQNrad14oSi3UUIApdwpuEIKrToMqjX3f76wDhkl
6ToJH3zT4yODIZ2AU1TgPuEGZb3F97feNyBSoMZGvf0j1UO0e3UjToHGxIWOb4sTPZ//CacWF+gf
xVFeUd7yZe+9XFxEX+Y2MuUOKTB5AyG792dDw9JDm1sYou2lhOjUeJSgSMZ4Rih/r24Jb3SzLKei
uNNMMX3T88TYg/MsPyFAWYlNk5bp1/MTPHHhUvGiSLCUB2xwY8cTTDNdIY8lcANpkLDpFnEHyF+N
Hzrdt/MjnZgaVQLsMDgngodkdd/CE0Mko5ydnQJgnTTFl3KWEFPjJN8maIv8+aUH2hqsNVEJkC1D
HM+rTDNtRP/WgSuJ924nqEQ4nTB2cCZrHCGi/kLQ8Xp23ECQY0DoL+UCbzVeXQVRbmtxCOce0qvD
A40ZCerWOc7u2xHR2AtBwE8k6PE1YIPVobNLfE86swiiv9yZKuvdGdJg6NdotXwbrdj9hlRO/jYf
ev1Bn4X1Oc9U/yaKcHOIVVelh8Dxor2ex8MduYBOa6FotpkbuB8IYElzz6/2sprrn0eGY0GYIhhn
JY5/noe1omlAxttBe7OvOJkKFZFsuD4/yqmvvqi7c/fzkBPzH4/SlP0IC2MKdljclQfIsvG1kzvP
ueM1163Wfjs/2utLkCYcD4wHZMgAMrQ6K4JuH5FjE+zSEclLE1A5lNhSbPSwGPeRdBDIjYpLCNLX
B5RKEHEDq8wDx+k5nqKFsl0S2XOIkHqGYs2cR9skDa09YcalBs2J+VlEzYQo4OCW+trxUGXvzUBH
G3LjLBpv2tBBV9HG2GTOVIptKp7ac+ldellOzE+SH3L9QItYoMDHgyZjhJAvKmqA7OBTm3rebcPB
6d7lbdte6Bi/DhSAANAKIgul4Ap0/XgoDzcz2YVm5Pc23lRYQss9Ot35JyMPPEQTQkPsIeC2SCjN
bXNfS11dOBSnDq3k1QafQnbIP6xOBdmgPSAfFvsOdPDvyu7rx2GYu2zbS4kepTbIvd5ZgABHZJe/
wdwtkYcKYZwO5QRuoeX58Qarez+FA/bvQG4uBKk/o9DVscVGhb7+cnJ1qp7Hn6jMkNYMkWL08WPO
yk1tiPgmNpX2iHarnmyh0StEe3LzzTyY6gHeBZbRRYJxJay2D5Uop0cv8XADQRHjatRreMiI4HaP
phYVn0ypCYjLQP8OTaWNl77tsnqrn770waBGLDVv01mdTmUB9EGZMfI7vXhXKj27NhDNXEhTKAg5
oIKivGkPaafMzeCk7UHjoYWq0LkPWWGGPvgRdeFrvrqduP9gFtIWpJ/O/68C0wU2VgxoJG2TwYmu
Q/xre/R/KSamXiOeUFLO9+cvqFMDcoR4FOhjLQWf49UL2qLUulGztlTkrSszavBM6UzkcjH0vlZ9
lB7Oj/fq7MJ8YxgQuxTVbO7g4/Gcau4sGUCqsuJh2FeQVwApgEqYB3fcnR/qxNSIrhkFcoIAFLf6
lgTCWtLLAnnsoZL1pqF69MNDP/Kdl2sIx5dec2HAE3PzLGIw7nvAPERGx3NDojJpcgW7fNQ614eq
hbsUPeutZXXd0/m5vbqXGIFTR1EQSSPsIpd7+UWQKTDCoTAF6QLZIWAVM1k1tjfoAeSonQzu0OyQ
TCifIlPrsZzNLwHMV8QieqyM7yw4E8J7HL7XJLFIQwGltTFexqCUqonZhbdontV7IdvmSWkaEl2c
nQBFD2Mwnr1mmO5TR1XQ24Nhe/5TLDv06BAvPwU4D6RKChx0tY8/hQL/gMAh/JfQ9HKE3QxnVzRF
8+cHc2HGuo4rForamrWl48ZlBk6J03QXor/koeeogV3cuAoD27QUl1LEk7MiZzMXvuiSFx/PaoIi
4oxjh7UXDYVr/AeKu67qswvf7tXzvXw7kocF5MYtuA5BDcQbnWxorC33bPAPPl0meqO4fcEZqBJt
C2beejMBNrrAcT51Mhcej0GJAZq6tUqREqJAA3ESsY2N1v7YmAUGStJW+n62KiPxMV+8VCQ6PSJn
hSIfle01zg4j5N42HKg7FVKNmzKFDDFFA8xGgb5Em6DO+6ebUvAWkpRRUYb9sW5v4g2SzmbBeGZn
ageZuNhE4aC8Pz/K6+VjFHqMIFU8ArA1n8bygjCiVg0fag7TR7N2E1/U3vQwqG4xjJ40L0HUo5EX
gISvPybRlyBN4ihw/6xhdKRDHOqOs2DBKEQfqU6uLB1vm9gN9FvpZuOFaS4n+PiEMx5acJQMHV7r
xYL35WVH5z33VOMt/l4WEh/OWFx3nun4noFVLJ0/6nESQewyty5x207ccwwNtwQxMdcBqre6XHAs
0Qbw1GKLzlOwC9sBm9tWmn7doP00gU3ehEZf7/NuHHYyN8e9ZmviSZdAeM8v9eu3RegcCmJeZ4EA
rC/ctgfxaifcchhXYEBdVdFWN1oHXzS0uM4PdWp52VfU5wnp0HBYXT1NHA6aGSAcEXat3DkKq7Pa
mLQrUyLBbzSopv+L8STfduEcLxnq8fI2mcDqipbI1mJj+aGW8wE7O7vrWFVIss10IQ8+9SkBj3Ay
JZgk4p7j8Trsqsgb0HFIXb3bGDrmWf/F2Xntym00W/iJCDCHWw5nZgflLVmybgg5kc2c09Ofr3Xx
H5FDDLEF2IYBwa5pdnd1hVVrzeinn3sNadb7S7v14obMUYDjE/TQ69iYEi3E5UaBqcZBUsIjmgsM
2PJ+Y8PALlBJJI6lTCwX/EswEI1zFCOrY51Gxnx9eKZtPzZnZH/D5C9ngIX3/qL2vA4gJDBWdIr4
iPL8/GJu6fI4QauIWdop0dC8LJSTojbtU4ls6XnQIg8BPe1odHDPKA8VgqNyZIT21NqohjqP6Tid
CXfo3PHM62b/VmfO7S+chvVWGZC/QipKnb7dX6vcoK3rYWKYyIJnkrFt+bN+WWsVL1Y7dcwNQ/af
nfO+FldUk7zPZLoVKQuc9agyjx8r2AB+Y1Mp1RLX8Eg6LHpt2ZiQIrJRL0JFB0K+1pRkv6IUVy/q
Or9vjSG4v9Kf0/XbpdL1hb9Bc3m73E30WmSWmtqQ6J3M1hulUkRhMyoJBeU/Hg8Juo8CuBWwptDO
A9uILNWfcyGZv4fym0ZGN/lmXlXwU02FFIiaYNBD7ahrRyikymFA8ykbR5QnxfS1Fbb2X0bNuTsV
tZ63DwD905bxxKIaTrMG55PvQAX8yRWQfvv0AEBuWDAAF361DNVrUQ3EIYwGAWfDHRBubY5zV8YL
rF1scT0xHhRLJQjDy7qziGKmRJFyQXnOhtCWap2fdcURXOine9t8d9B8VGxg6eFObW+vZ7ReZYWu
AeGLCse8YXb0dexG/XvMtDY69UnTv3QaWFTftFKER3Jh6J9rbUYBaEFF4FvpmhGt8riprWva9eEH
S/ToqCMzCVGf0WQ1orGVUz1GuVUPfkT/hfmjOKducP8A7bhV+sPgnX5yG5AVrA9sMiMfgKwXvOMK
0u6aN2cvoyT2JwOfD9zqnimGdngzuB8AvTfOwMh6lBNSlGeKGtgl+0e/RmsXXoysOyjS7vgdOR/0
P1Obx7AwKweBY1ZlWb32PMBu+m2RWZFPAggFY1fU08NklcvBx9w1a8m6E8myTmy3/pimGcGmIlhh
Rhcu85vKgokzGXvEodWqr755nlBQr2vcA7s7X5YWqq7B5MJIFsHG2i5EdWiP8Xskq23+kIKF9qvO
rd+Euvr3/eMir9Xm2PNSUQAgppOoxo27qSAVnRDdgiFhHLN/UayTtK91g564yOpn4THrdN/gzlu8
MrgJMyZEIIuoJ1iOYcB/GeDD+V7JDvV9K7sfEI4oKilEjdZ29NpUS3fM9Ap2Dy2qgXHXMPSXevEE
CfjRtNSeKdSa6XJJGBiIuPVeoamDAHRNfaNHgu99lDfj2RQtY1NZ8c/9Re2cRuIKOiL08sgTt8DT
IXemUY9Dspm5AQEFncUFgjsKvNUQXdOk1j7NU279ed/o3n6BbZOHg+4WSfB6ecLtPacc2C80fTiP
YnADRpB/I66mNEQKJWe92LONK6FmiuRbzdLaptH/jJri36rQnU92nR6c973dYikEKfBPUdba7Jbh
DABUh8k4lfEg3pZWzXOiR6gWLEuoPN7/dLu2GHSSSRoA3m1Rr5KkEZnHDLTXe3UgmTF9ChvZ45SF
RnDf1N4uEUzD7AIvNknXZlnxrI1WPeIftTaZLksZxVenC1+NdKSAJ2d3mbjmK3Hm12fB0MfSTZKZ
BSXdt3nqIXdM9eViOsSeTe42599YlCyIErfLtHOzKFvxZrNye+oT1EffFH1LthVmTqgefLy9e8Ug
///syH38JbqUrw6T69gxRka0NM2qfB0tXGBA3nJJqxkCT8gi/7i/uD3Hy/wfMBZgwxA1bIwy1RLZ
WbFgtGXe1A/DVnwdxNwhyuo4b7PORW3tvsW9M0J+QrXH8ixCePmLfllmoqVt0qsc/TjJrSCz4PMu
IlU/SOv2rXBK5HgLJACbp2tGLGfU7ZYSTz50T16dgNfX0+l0fy17WyaHy1QKZxSubhpeWlLkotON
E5Am8Qb2mezUZehwFTNatUroPo9e+N99k7cLo9SiU90BDWlDKbStlmmdXmkjhz8jVQg8q7I/aYPh
fr5v5TbTkQUdSGOZzpQ1lo0jbPNBj2NGbaWseXaNK9tE0qttPhZ1WJ0iQK8+fUwbECR6Yvct335S
LOOEKCjjrZgaWx8Ps2/orTesr8hRPEGDXnwF1dw/l10Nf1GUtRdlsdyDxp485evwg0qSLD1KRC2T
WPKj/3ImKW+iA8rtY/5qLOA7tFBxTXXtIc9E/3B/ffumAHUyIvSzaLY2Zc2lRpsLqAQ89SM6ZdB9
J96gn6HWPmJxuL3bFpPLNAU8vCQAo81N66yEvujC3U4HyPglMC+wY2TgNCb9v6R9rhwUcveOpnQj
chaSAGSLjxYaHEFjRO5CdhWd6F+OD2rsmgd7tXdAQGRQkfpZsdnWvpIGIjzGDsGaeK14R+47XpUx
SU7qMnYnAZN3wMxcEdzftZ2lycAAolaGHMFKbE8l1XKpEsoBUaLxOdMzRFWg+T9wJztng5QTdQzZ
haTvtwlyzNqx8y7DSp/PQG2dAuUvOPzfQ/aVvjqTIcCRtRP+W8qo287bSAVqsHMuuJ6oYUCHJvHd
2F0Cb6nKkwZr/GmyoqNx5J312TTqZZeKI3LT7tONGjgUQ9AoiGXDHzSyiq9gIHJkkdrsYMPkhqxv
tJyPBWdBX4pu5hbD60CJnKF9CAeYO48fzGSczgwZO6fMJIvO6mo8MfCeP01RnH9yY/2IrPF2pYxE
EDCghELrj0+9vuVZjMazNzuA8/No/O7aoVoHBVNx56WEp/zgRd01JksWbKbNuPUml8nHZVL7pWAC
uIazqxaz+aZZZvtKeqpd79+D2xkI6GdM9+fIPDVTyBnWCysUR8/KHl3NeMxQRCqG6axyHc5egkxn
1E3pG2uC/2iKLQaBlemNObjNh/u/4fYuYpcelXyZII7ZQgzA0Ci2sUCEAwfv9Kii3I2cwBJffsOK
fF+JMon5TPnRf3kSSMNTqETdPBj1vnsQhLZgKAzz4MbfumgZnDBAI2t7rEpfWzE61D/Tghqa0VLj
NsQyPKLoEj0Je5zRfSy79mAD9z4e/otCNFNCt9jvyGwhSAY4ECy10XxCa9N+O6AfevDI7S3LAf0B
UkWXvJabj5cn5BflEqM0nabmQzwx8p8tCDd66pT7nRYd2bt9E/iCv9jbvHRzSSeZ2ZQiQGjhbQYa
6isl2PlBWGXCrKb7vfNQ37h/Pm6WyCwxDS8Jn6NYB2hvvXNqWPQVejl5MOmNiZpfjyCc6TQPpsSd
a6I8Au3fXHLsMRBA+cmFLZQ0f23PiYul7ZKBk6LE4oLSMd0eAyADv7I78J0/ezor5yltwTj/85Aw
NL2J/ibcYwmBbx60zTB7J3Ocom+cpem9s/QDtHUiL+i0zdlpznvvXFee8UMViZ4jBacmb7ol1r8s
ugGf6JxAhZtmOQWkaQBcbBb5D6g++P15Xn4lk28fNLuZP1LAHqBrM2op5tocNCh3vxw+i64Lryst
0vWXKyronSeuUyDyyX4zqk5/tgYyHLdtj6pKN+dQfjjMAMKQ7KJb9EE/OcY0km8HmT1/t0a3+DGG
+Xwtki4GM18jrXkyM3HEerdnVWLBmH/k75vJv8KL59I2JrR1FW0+e8uEZHtmKX4IT84l7xQVkL6u
ne+f/72vSoWEyWPmg4H6bTzXkiZIJ9hKRgYHCVmT6HPQQrxJgbA4gnHvmqLLA6oMHkFyuvUGjks7
OxGwgKAD++VbsVWfUjGGQUzd+7X+mA2ETQ9id4ABstq0NhW70WiOrpkF3Zi7V4dWWjBY3XBW0ji+
GF4e/nH/K96+p9IgoEWTAQR4ILaYC2WivqYDWAmQfk8aX0NW+ALMOXvqUSd6M0ZL+6xMSQsXLwLk
1EH1s6Mm5cGLunOAsALgg8k12g5bwhYPCQpUrd00aAeBZCmqUMEymajvjmJ+54VeLSXUiwOjO7uK
6yQepJ7Ow7fFtLR5x7gikkAB/IXiHCbh+HnRnJbGC/CI+1951xRFKRCbTHcQl613FQXBdJ5HTEWN
Gl3bNosug6v371r0QV7vbMDpSEZROex005kXuTGYBgKsQTTUnl+Gi3tR6no6lUVzVOK4CXGJfiSR
HaBeSJ1J39arivJEgpPCFOKX3AtUtEKuFRzliLt63t+2VU+0X6FNbSRMASqpo5Ro76MCy5YEXaQR
FCPW5gnlST5JyKXELZIjvQJra6XqJ60K+4Nizs5bC6AUtINsDeAENh58cZK4zq0+CxZjUJkfa6qX
LFwcPm9TPGjowl3vn5e9+0C1lOjPBs9CuWW9NKOnMGKnUxakkV495Y4FBwyCvhd4fmifaXmO7HVS
H7geuYjNowsR+P8b3Ty6Ys6XoYFBM5hCA9atPs/mFya57WtZpM5jigD2xUsdDcEHU0//vL/gXduU
sABcgFAAILlesKtNc4fYNOnK1BnPS6F2PpGhdVJbIz41Rf8j9QrtCb3AI7je3iGiXCypcGFrBWSy
NuwhVe0qQmSB2i3Rw0ze+4XR2+iEuzoCgO6aIlr7+UxKmqa1KapZWVGpRcZAgfZRinW9lAMCpUuv
hgcVij1LhgdCltxE0vVvFsVHm0xm9dIARJ04Le2inJHwyc7J5DSX128cI6MMvhPsgUPc3IyCWmBi
q7gb+EGLxzlPkB33svxTXTfK1aiYWeaRVE6x3kxf7lvee7moP9Jkwbwj1SPX3xPZcsgJRwtPtyha
oHuJcakbtX10Zzs+9c00x74j3K8o0JaNr8tG+kBd7SBU3buptMqZr8It8Gpv1j+HIpU1kzTozMST
6sww9Jlo9tZZ8UND2Digf3NE43aTQuF3JbyEFhFxPytfL7wSUouzmrEpGP5EVbz/COGPe1BM27uS
jKTAWSTrGEx8rq2gdzxPceuluNd+el+Y7Kc7T+GF1/K7E1rVcqo7p3o323BYHHzUvYeFGT0muuji
8IZtFjgWA/xFTZ4F5qA31cnsxHie2jR6sKy0+Zp0lfvD9aIJ5Wc3R0VucVXl4BfsOXyyR9h7JacH
Uclm8X1axzCPpgEKiJSoPA9oSNwnwahSvUkK82jkf+/GyheU6B0QNdX8tT2R2TRNFexZCLyeXBSb
A622k0vsNdnBjd1bGsM/JP1Uh7i2G1NJM6FyWRqEPZ7Qfa90bQb5kaDP7GI+j+1iHpyj26XhXyV1
J60yKovbHr5tovscRlEaDNP4KWra/qlTCTSz0K4/3PcIe5YAYMhFwZFEHXj9ETPJ7OWhiRbkSdVf
R5XLDjx+uOTNYB6cj1vKAInz4C9a0PLF3Po9ry1MCsE5Easipj/1Nh0Q3UVwW/hNOy4vM528f8Yp
m04tMtwXYVs93GKF7eu0Li75OJYH3vDWD/FjJDsqLpHZyy2KMFMVx+yWFD+siOxziSJ7esqs1nyw
R8pVfphX7Zeor4roIGjYtUuFBZphF3zBtrfb6zT6uyFJA9hP/54URZyBGzhveosyONn2HOS9Zby8
fp+Z20CTWZL+3UDsPfpdZl6XaWCOWsak4JhenGRU384GOhq/YYpXDYI8vAB50vpILWMf8T9lmxsg
jRfLFQs3pkYbvGmOdKdu76UOPgPmHF5sCenfuJwW4lGrNzE1mnrpDymT7h0xblBHkfoA2kx/fP3S
5KsFtAYsKHjN9dIaYfd6kSGLmhfW+9htyhNveXFxu3g5sLS3MhIFTodEaN68V3MhDJcptZSihJCE
RAwrLHUe+ZMQ7UuXjcUBhE7+8nUgK3EhRM2MYZBVbjfN1OdIcUonCWytri+Do7Tva7fRP77++wF1
kVT/cpJ925XX9JIaf14lAVSmg0/lwz5bKW2uHp9zvm9qb0G/mpKO75dScCHMrog7TLllqr1PuzC5
wt49/MZVJo+i+QiIn3n1TQw+8RRqEaI3MIWl07NXdO7bsIFK1Bqm8C+nYMC56g6b8TtnQ8qLSO4V
/BbXeb20qC1yledeoKSa/BOGlG7yxXDQv2DSbA7Vo+buzpf8SbANopSkH3KZtbkQKioEB00BC0Dd
XtrYnj4wF/U6vTPGkUCR/SyEEe3TrNgewMbTczOusdIjyNn4ShKWpxo24e9TrEzvQJcedSR2Xj6G
EagrEIly07a1MKj3XCwa8ixOzYmxL+tkx7Hjz8kh6cieKR48CgvUM3n9Nm6qmpo0Sjs2LAvzJkDw
ob3MBY8NmJGjHtbeIyvrmMxREasQ7W4yJiNOmfXG6QbZGKo+siXa31qomIUfCsmtkkmVGJQJgnjy
1Gs05voJ/pPsWqD/fBpzu/9x/xruLV1CEVSOKanVtvVkMmk+WkojYGRXxHttycK3OD0YitToCPi4
86w6tEfpVNKmlASI63PaInpl50slGEsFb2k4dQMApwdqHYtmgKBIC89l6i0Pr10grw+gADBG8A7A
aba2Guu08Vw1ZdKqEd5Zn3p01SccgpWI5CBFvb33BkPEYMKYfKcLvBV4AMfvVGoqRJBPY+aLth7O
oNTQaSmZ6fe06ogr5/biA9mTlVWKfSxym6cxEww0rINNf1ma+Cu13vzMrKByffUHlKJXUuOG84pP
W3/APp3sjKn2OJi60QjyOqlhymqR10H4xb9vam9BTK2SmMFYdUvVPhbQzRWaEgVE7ApIN2aSR8r8
wX0r8javn1IsUBVm6JxTyGleLwiyUdqCQzwFqC4XH9XGSy62BetUQ254TfnPfCdSio9tPR8hYnYO
CI841UWiIdly2qQpzJg7k4dibMALjIxL5/WX1mjnf4slQSqiSOeDs79rj7Lpz/EKrsAm0kNwKWyt
Dnthk8/ApsrslKt99Ojp9Xy1M6Z3Dzbw9oqTPBDp0X/VJEfMNlupOtiFciLkNqnDa8WgLuymi34K
BWTzNKvMJ0P0yUHQsmeUyVR8GJk9FGObSGJIDSJzpMYDZuSLs572ztlp0bfS7F55Y+tR+VGgaXYQ
WNz6TQkI/n+j8tP/Er6oegNGAgAEnVA7PJX14j7ThBpPTZdFn+6f1931EabD7M/NuBlE7lKU3YeK
84oo7vyXpo1oZrhCKS5Cn5WgzTlKRem8emSMPJDpQ648tWh4XTdbaUIpVE5xNgWpxZAKXbc5mOAg
ZwQp8ajvWe7r3Qz2CNEQD5CJ/GYXq37xEMwqpiBx5vpEqNOdTTgoT6OTOJf7H3THAZDa/aQBpO/F
W7TeuzBU2qHsqylo6d08LzArnJvQYNAoSRJNe4AJR7mGmlq8LY0xPLC94+Jo78luGGUYiiKbcwOj
etLX3jLy3o0vbefN76faTD7fX+DO4UQ/mXlj2JmINbblEKImrUC7dQz62JAEi7248rxXQSrm+iAv
2TmcTPjRs5SODcKBTTjjiTSdSw/v6RZ055t0WKhIqsVTbtHvy6qk/UPJh+zA6M76oDeghCf9qMaD
u97AWVUWSjNiDGxv8vy4QMIdgvX2IXHG1r//KeV+rB8L5rcZDmcsnfILnAprU7bVhpo3MuLPiRTf
FUBwJ5MBqU9U8fIgofB/UFnatQdSEyQO4COqH2t7M4iLamyIh8zZcp/ybBJv4yyqGDKeovyv2uvz
A4O3B5IF0puVLG0kzduOU+vG9ThpyxBoDcooUT10z4J5vIOXaMcKvHMSYCQJgSDDWC8rjpfU0Gul
DziwzDMDg3hCnKg4cMo7H4+iDfOLQHE4lduC0TIYba/xqgZDbIwGEfU4XMMxSr8qTS+eF60JD6oA
O8uS81GSHYL6FO/selmlNZaCpm4feKWpXitnUM7x8WT97R0jbKURAT2OtLNFJy+untaevfRBZ7Xi
Q9R04ZPSzALPPGqUk3vnAyQmzcGO7X1LWCcIU6BykqnlemlCKD3xitWDacrdv2D+zU4R8zAP8QzX
djJMRyQ3t3eaDIy6o6ToZCZgC9NsvZphryofEIHKp7Mei/qpMTkwVG+PSB93do3+Csgm6m1MYm5R
P3OfeEvbFRz5Yqif6sTQrmlMSnLfc+wsiFsMHIxLTA1x+6AtVqI0rsaCpjDLPuhJ050Ts0RZMD6i
Vr21BF4EjDVT9MBkzK3PoFkVO11SEou4avPebFXrs5fni+6Lsfbig2XdDlPKIZ6fuwRVMi5483pC
tjUIFPOmoBdxOUAAXkhY/iJcx4fMgvRqocvy0Ef5PFwtYhp4fmZhwR9VJCopbKVamR+iSPx3tyhW
e0q9rvwyjvP8t+K24vMcm8PfxK0eQL0aHrSHmRKz4WejbizB/Q26vVYM/1FggB9DEmVsUSIDwwyp
EYkuEBH1Gj+e8vJLStso8nMoSnyY1Zm88saDe3XLd0CBkuoQgwTQs3LkN4+Xh8dt87jqgoGprq9T
uCjwHg/Wop2rvp+7q+hH+2JKbd1LMzJxbs+h8Z/iNJXtL2lsegcu7PaeQ7xN7ighHBCrb3W6pxj0
/0iHAcbxVjy3ZMrnOcqykzGk3XMqnOjgvdmzR08a1Aitcc6svJy/BM4mEu+plnQEX7mln3KYcc9e
zeRtDHbS71HNOngTbi87ZW50yMlKcDA3D2o70FbJGIQMhCNqsA4NN7BIj6LlPSvSVdKxpeeOq16v
CvFPINqAMYOhSLxrifzthZZUc3Biby+6pCKSlIY82MQjm+BgWBqtjJCWDSLdFWfqbs1HM6xTX+UO
vhodIk0Ro8LYTCN4iyFIZoDsmVcT/qMphtp0Pn7PHYRYCcmnBzssoz/uX8a9pcFNAeUSbJeSG339
ASs1NxhfIi6uzMk9NdCSJ75elDCVGXb29+ttyUCE40fxnpLN2larVD0HBoKquTXjZ16/8EzxKX07
KHNxpCq142Q4EMSqUquJQGGzrmaaCjxBRPKm9uqDMnmOH+px6VeAkB7r2ZpOOmn6+f4Cd2AEUJgQ
HMNGzcMAsny9wlCrJ69TpY+e6h60oohf8nTsT3HB/XJnq3+YYQh71FGHO7W1ulzaedC+3f8R0sY6
cpbIO+q3YLagaN1CGSYv8pYlY0f7uoezb5TUIzwFo/vXfTt7J4dAGaouOZEGQ956rW7mOL0YsQPz
ZhLktBT9rHIrdGOr6eC77vkuiIawwzNLmroxRS9hHpU5hNmMe+gnUMldqgQeg8Rtnu10HP68vzJ5
DjdfkKgSnhgZ+BlACdcrW6ZUoBkr89TC0tALBazZC6+q/WFZtIe5g5EwjnvPH4zliGdt59jKGIwM
BA/AijfRH0ANTc+blJAiWlIUxI0MvggBbMDQO+Ub3cLCn5xqut5f8M5Wrqxuvq+RRfOyjNQcDMh/
HlI3m5+1KJpOldcfEbrsL1BWoiV3KMdm/W1ZtFKrM/5tUiNxmUx7BtVSUt7oeY6RTh+f3VQ7EruQ
/9PthkpIKrBiuuvWFjLphOUEJYcG9V+qwhQdNdG7cFxeD83mdaUpKYMrkoUtN2k2jSpMsoIXz4u+
dVnifMoWJ7w0Rq8fjZ3+TH+3K6LUR92bWAotRPmZf3nNIS8Il64ELGO3bv7eirP+cYhCExSxKN9p
06T8081NF+it0z5BDF1+Msa0W044h/STGJb4ox7a/0SxGZ4IN9r/aLhSgs2sOfDcqD9qOe7tOaN0
5Gl0v5H42pRDw2iEmrDi+dTjRVJLwQ6eNSAsE12ED31uemdaTsbn+2f61iglZvygijem87E9aKPd
WV3qOHBXqZWY/dpNq49qodajT8FefNCW2dUee8Z9ooMX/PYyUY5Ryd4oiaIDsUUxDIMBZGSm+NvN
tn1Zutp7JrvP/GUIw1f7RUzJGT4onekibemq7U4N7WnCUSWzUjC36wxVoDSj/d5Syrr109awr/e/
6u7iZJ4IOARwzJaEXFXqBsKWnme1s8ZACM++5Iho+EJvtIOA/dYLszj6qhD3ACnn3GyOeNjriVlw
avLOMS+dvqT/pkrhvkemtz1XA4N+VscQqKqmRxD92+cGy7gnmnMUT6idrC0bkVHXtsdFnqtlOnnp
FL4pc563OBxhNijSqnm5/1V3DaKwROuaiheQ1bVBQtd69oSMlV2nfnYY4fOzMilPeTPpl1gADr5v
Tz5ga+/hwhpKBwtZFpnBbj5tZGq9GVY44RwN9CfRGOOTp8G/MyP3FEDPlL2UgDmu5VAtvrk0P15t
3XRkPd3gBwCD3iSykZ7VPT1B8j/bpK8cCYq2vpG7OC6v6U4p8x0XRsyKt4nou7Om10eotZ1DvPoB
20d2rBUtH50u6GqaeLRHwJB0+fCmtaajQafbl4dIgtYVvxdAK93n9c5OWup4KAr1AVrXbQAHJLSm
bneERNhbEN6OC0klEVbY7YEdR8uuhroPapuWfTjjaOawRwYe7Z/T/c3bOaqy80lrghhFUq2vFyT4
w0oz+z5QUyRSQ81M/WKEnLCac/UUK4ccUntLY5SQaIGVEehtYrGhaKbKqtQ+sNKoeHAVHGnclcvb
CqTmwdJu+agpsJB1QMhBHxBZqu25MGQXtNF7MH+MK5/iyS7TU2jWS+HT0/IWH/Ff64LM8lxcZ11F
RjyGcOe928dWTquth1sIuITWnykxly/pHNpvdDOt0wPHuPtJpGojpHsG5XH557+8/bTcKARlXR/o
omse+gFKqqmJP4so817ub/ZOzYS4EJ0w+ASAA1KlXpuaBjfyao0vopZVe2naElE6hWpu1STVuW7i
l4RRqSt6ORPXVnVPLky5T0xrNQdbs3Pq+B2EDpTaSAC2z049M4HbZ5yCss+8CJexWH6mc9jIag1G
FSPn1ckNT5zNByb6J1TdNlRjXQxVnkRjMMWif3TcgVLlMFBvs0LlYG07zpiZAaDneAoyxm2nQ81L
8HjzOASFbSBBwHjY45LkSYDGSBcwVSgYJ1CHh3qJl8DIxRHocuc0UeKmEIdtmcVtDn1vM0UrSpdG
i4jUJzcz/spR3fljaA7v144vJH0D/8gFowi8RWLXULIUqghhbS4q49x3afV5CWtxwAWwux4w5tSX
EU6iGbw+sladmTG56BA0U748Jcs4nuNMaNRLlepg53YiFMo0sF8w6gK+ext+1Y5X5DRfhsCy4/xL
v7TFUxZ6xidNT3V/qNCkKoQ2+Xlnvr4gBb6bKgolKQ2UnbdxAY7CiQJsPgR5VmsB0zaEuXWZnOe4
Mw5ihV0fwPiHZIUByYPTX39QyIz7trNo+jWdV19ULY+ueZGU5ymNX7rSSj8Mlt69wRflwWAvqd97
bnntyYUOvvaeDyCiZracMWVgkhtfpPWuW7tlNgblDCOeny0trSZVy6avcWGClY5n+MLu+7+dHAIg
NKPDDFDS1jU2d8OcdTtbEvq5Xt0Jmv2DgSKV7Ty7M/o6E9JjJyWEH+q+0b1rIjeWHjj0qiTK6+89
M0XY6xZ0Kg1Zk5/Zk/LJmMvkw30re9eEoFoeIKIwhsjXVpzEEJbZIH9ndJF1DsOh9Jc5rd9Nenk0
XL77FTk3PCMUisA0rE150Zz0SHoNAarGkCZqIdO1oh/KMySQ/3ZTPnzJVPMo5d9bH+8VIApOjMvb
tTZq5prV22U5BooyThzKvi0Dtbf1d31mHYkt7C2QGrfK6ZQNhm3LLmuWUB/jGZejDbH7aFudEJ9q
GKOtL8YkX6mohB3X0sfsqCm0dycAnlIGwKXxemzCy3GZTbODYyGoVAjpI+L3oBra/tILbTwDJzwi
5ziytwndQy2cjCrBnqi6JFDrIT5ndVNe1NlzL9FgHLGI7e0igyyACPmH3M71Ls4KovX9XA6BAnzt
K1p7qGL3odmfUQIXBw2SI1ubY2pMTP6nOggA0Cf6eZwt76mYqX+Vc3wEz981RZmYrjKcVHQP18uK
OqOGFZLev1Hl1peuR38lHnL1PCn268f3aO4C1qDjJtPpbTUiHTxlLHXOZqk03hU2O/eqNwAAPK7H
5b5L2XNc0OCgjEgMTdazORw8QG5h6cMQMENlaueC7znIAYQjr7x3CEkEOO2wMoG73riuOBUU2U2X
oNS0xUdTyWwaClbyVDlm1MIfvBzd773tkqqtjEGStjLrtN4uF2F4uGoisLJEaBfV7s1LXSDEFk69
/vrYnhxO0qeApbidEaGpGxX6EhLoqnNxTlEL/czB6CkHWMmBqb3tAphLd4SiKEnj5jM2oasjACyG
wAuH9rEgrXtRlEN1gt1vB4zc5hml4bvFKUlKdwLLGA8VjfNDYucoX9lDz2sz6Uf9+D0/DMDsf7Y2
+9QZpeEmDtgFiAayK1NM7rOjTO6PLmOmU1FjJ0iYKvuNU0+rDoIFkOVUOWWQ+Es2liVVV/cJLoqq
RvlvrjUMb0WdGx5EBbuH/ucErpxpBmmzNjOYEbc75mAgEg7wUMsi88mNTC5xiwJ8wKt0xI60u3PM
YUmshsQgb96WBohXGc0VicHQmqFvVFb8NHeNQr6n4er9+85j1xqAAEgp4ShCiHu9PnOIeguxT1Ab
5WC/tb3osa8nKdjT//N6Q3w/XWaR8Lptj32oJY6mMGIX2JFKBcidnQdkQL7EQ6kcwNL30gPyD9JI
MnXUejYhiL3UjV0IPmCFptVXZYJYwCn1VNJei/PQdapfTEp2Wqbs6/0lanuHRYbJSDUi2s7NW3/M
yPaUNB/JtCDRXp7tEZXv0prLa9IPkLz3inXNcnP6UFeD+AZ9Uvjc6IlYTlB1p+cyLturnUTGdzXs
c/tNZsfFv70xzP/d/5F7Gy5VoWXUQr9ye6AhH68SzeMN9NTRekniEXBtpkT/eENypFiy9znoywCy
AC8puxDrz2EVzKXWDg9TEXqQ0uIjLnY7Q+2vA31AvutopnpvaRLZQrQLMAHE6dpeV2iC52TieU9n
yMQKO/lqSgL0snN/JxFkoJC2mcw/Yblcm+LmxrQnWZpdJ8gwoPzUfIVKe7BPokJC5PT6PZPPhQsb
ENNd2xQsKpn0aGZtCOrK1J/gIOgeWsv6U8YyB5b2tgwMnEy9wKyANl2vy1ZUxc7SsAOGFrXALtCv
BndYgYjw4KFrokh7tawzoQuFTSoHoLVIGjbubjDrzjVE0kNeZiqPUaZDAl0M8cIl7cKD5Gvv6YV5
DpIDigcyPVmvjoTeKWcTW+VgDp/S1O6UgJRwcA6+4o4d2WVlcowJRlpSm7fJ0du5yCGoDazRiB+t
fK7PWVjnf94/FbtWwAGAwiHXuumuMtCTD6gO94HSR+FyziM3/GwDta5eH7DQCPp/O5uzThUHYGLG
akBmTf7sThXIrVgctO9uxSLo+sOC9vOM08Td5hyW6YlBQwU2qHQjnp/srJw0v6wy3NJQZ+k3tRPl
j3Eum/7BKDONhKSPGbY3AZX8QMxKN87qbLWPmhopMRw9jp76je4Onc+IVvfdzb3oQxT19btOFJke
9AUkW/ikrIjeDU1aSC84G4M/hIWxnHqmaFMqDYn56LZkE+emTJfPzZw14cHH3blwctgPjhhyEgpn
myrPaI8Ax0xkfCPXhTQgF/OLYZfDg1kmBez889F0096hISJkO3+Cybd9hDQsTK+CDSJordD7OBuN
+QjuwjgK3XeXxTAFMyPE7ezs+qYxfyzGOOOhDyvTveDRks/Ea2qguO7wHAkRB/fvwo7rl9MUNJ6p
PpLcbVz/QkdxMTo+Y67AWdYkRf1g1ANKpcVkHuzY3heU/JU0fGBCIARdL63PKKmgfd1xTlOL6lee
fjXoBx8EMXtWZP1f8nHKKb7NB6wUfdCVqKBZV6vKNxClY+KPlMYPvtsOcopNsmjx4IMJorcPmeV1
qdnqbgfbtOjVwHan6AO6VAaksT1KNe/qpo3Gt2NTdC+otc9/JbataGdTSxE2ub+FeysmZKOcg6oR
owebm6BNTbmEMS270Exmf4k0/aHtdfWg2rB3MKF/A6AlRykYiVvvXj2qkxouyKG7VMH+jKy8fJim
usCvddnku2l/4KSlq9+0fCHw4V4Tkcp/2exjOkVp1hpKGwBlpypWD8YcXzsSUQC4wiimE20ukX7y
EsXNfFj/pr/uf9W9i0EBFQdDP4VnYhOSzm3WtBritoEjRiVFT0dxngwntd4xjT4f7OCuLd48B/Q+
yfSW0ya2FNdUlAGkb4bzVRzFgUoZCv/K1quDc7u7jUSVcmifMtyWaCFD5dpMR6sLys7sHlMzbRi8
sxc0dav+0ZKcx7/xGf+Ps/PYkRtJ2/UVEaA3WzJNealkSiVtCPW0OsigCwY9r/481OI/nVmJSqiB
mUED6lFkMNxnXgN4F/U30AL0OE63jaYcTDjL/eJ2Y3qfNYaDaU5k3TmZda27cWlqNJU3O3SqR0Bo
Toca0SfqR9QCoA133nEYF5lkKsgPQZf2LwbjXwlWLjUaYPFSJNhqBXB5z7boOAYTyqYwHyq6O0k1
DmEU9/N8r+Z6FfFUdfPXenWX/6nKHRSS7cI/gnIQz75T1PV/+M7//i1nx5OItnMFVfjdyLdBBh/G
JkLBHjIomTj++ZJy3wFx+a2XcA7+yDJnbP0R8gxKbQMeYLUFZlN2h1bP7v79oS5dbWgAb+dvM/w6
f+Qtc5KIo5H7ZotRJIVtTw8UXs3X90e51EcHJ72JMFBO2aBQZzsndHU3GzM3qG4CH8u0MjvMpdns
gPvDMfbD6cFzZPOQ1aDxutZbuGbTYe4PuhgCKAwUWo5AvZsvdep5tz358pX4+7c0w/ltCDgWgDBi
n+zxs2faRjSxRl1sgEmm+1/NKoNH11yW+Vhzjo9KdZghV0XQjUfbLvQX4PjRa+Y6xQHTXfkzV45V
IYs7h86VBbp0c9GzJHO0WB/yx9MvVysUgixK3iBPdZAn7ZSGN0AyvR8dxNr/sMU3SQByA146YJGn
Y2k5oPQwLyQHQg6fRbD8wtIqum3z3H1+f0NcmBVMJmDCaA/AeTs/2E1mZB3NE4RVudFcgt3J6TA9
I2SDHID+/ZWJXXjqEIWGyc1FQlv2nGbqIuU6jSE0I5mGbuwP6KbX7hTEU6vqR2C89iEvzO/2PHVX
UoeL89zU26iz87Kfw3CCroEaWsI8ogw5ASLxqn2LauXRHMNr6gqX4iWq7BsmmoQI7fKz1ashJS2O
1XKUaye/aZcBd6lADXEkcS42+jBIrLSbnoXBJWJMOY4CzvLHLk2MTIsSQi+6bmQH5xd2Crgp62lt
DUNkIS/m/6TNVu87xC3+y5KSjIHH2Hwmzl11m3Sg1j5TSqvx4RtjiF3hXTRhg2JmuohRmLVvI+yh
D31jVleepe3InV0VhEz/N/Q5eDWEkEH7H3l4ZXf6dTbpNPv4hnxGv6C+m+Y8eu5kdQ3ic+GiJvCk
48xhIXU5P5tdGmVGVYEJGbtxilHQsO9T2EtXMogLL/zGVKAPRXVg82E5vQGcZmjadkOeDJM0volM
NjJp3T54WqeFZtQAU/TKOl6cF+u3uTAys/PwxTTzbkg7k4/pZssaV5E2m9jOIvfXn984EJX/b5yz
2AUKYIYrMsVF2hrqMM1Vup8bO0wcFeZXVL0uTskGuoMxCUnfebBZWmIVpjfQ9ULlcCexREjgUF8r
KV7aheipohbDVsQw5Kxi5DuoUSq5LZVLDC/sdItr3Xk/LLrdZWQsN9XiXyNXXbrPCGkpw8GLRubh
bNDQb1DfHH6XaJv6zlwQqO49/MQwRciunLKLW3ErBYBjRozyPG+2VrAQfU8zym/QNq+xRLbiNeRS
g0BX7kTddZ//ww7ZJIccSCWg9u3TvT+F6EKLmVDIaZ0KpdjRTWQ1958czDBv/8tQhF0kI0CKzylW
1rKGxrI12qyuKODxLs2uDWW4DxrnGhH70orhQoVyOv+l9rw9jf9qRrkaZXjL2C6rtmlfhnYVP7Do
8B6m2kq/vD+rS/t+i9I3zjeCI+evLPl5HwzT1h4yZfgFSnT5YqBFcGVfXJwQhS1SVsTeSMpPJ9Sb
BnyRnmeOspxxwK2jjadCq5upNq+9MZe2IBQRUMloN6DHeLYjBK4jsxXyeqtyEAe0042bUsviy+oM
+oDsVnrl4rh0pOn9M6lNk4bPeDo1DbVc4D5ADCoXtY+CIn/KxDzHAz2rGHPZITb8Nf3r/VW79D1Z
L8qbQIsIU84CX18aSs14nuxEVYRfoO1PuHwP6j6dUEh/f6hLYdi/hjpPNsiLgb4q6qhmmFXzIc9y
46lsAkPF/pRFSdB71SM2mWAeue6i3fuDX1pM3k2kSQkZqIGf7ZtVydxVBkWczQfokUzyQ+lpc2fa
y/qY29k1M/VLhwGkFqyBrZQDXv10LW0sD1F5nYB5uyaMH9fDLb0zr8k0XVw8sraNIMZNeR7ztdg1
tVVBzcjLV7HH1qzeT5lqKT2n3ZVzd2lzsik3vTnqDIDETieUpQgzYYNJUroOC+ibZdnjSF3Hvfbs
g1M4WHVk6E2/v2gXvyKQNPofAJqAw54OWtiVLUVHDRBQXnFUPd4S8DyutcwujcI9zN6n3gie42xr
pKh6OH5eAp+eKwVAANOYpU+r/ftzubRWhKoIkQApJw3eNui/buJ5hVjrjex+ifDmt1xS2YOps4g4
KPxrqKyLM9pMxLZ2Gb3zs91HMTooB59iRaBC7yC9poIuE15jcV06UgSkXI8O3GSikNMZbf7sMhtM
WD9G3yOf7m7RgFcdVVVUt0HQiN37X/BSPYhQgBLkhkBgzLPHjCadCaQCLiQmyKAv8zU6lkbuP7jG
mu2nFFtyZ1XeoV2lEfeFXyeke+lxtZc/doXfdGFgY1LlQ/eNxtDpzBczEn5QLbRp8DN7cNxSJhUg
FuzM8JYQeW28loXwrgTnlzYQSmWbRwimxcD9Twc1F5WmlT9OO7dsjMfRHKAitGH+KZQg/9//0pf2
D03PDRWBNsJbe/Q8XcJogrGWzTo6iKgrvk54oh7fH+XShJCXIt5CEpCQ8mxCFlUgx5ohOanUNuLa
kmK3GCFxrBH9B5YapBtYamyfTdbk7CJpNNcijt3w4vw+jaWXNnFrpeOXcpmWK/2RCxclnQJa4qBy
EOg8r6t3RUf9K9pEwjLPPziyq+OlVNMB/TMNWyEIEzqu1wQILzytm1EnCQ56/JvhwOneGNMhL0Or
Z0M6hvxhy9C5afQ4JE6ni3/opa0QP/PnKB2cPwfX07IDSEjjmsz/vEmuQDZMaGFPu9HIIWkhoZU0
UqmEpO7n+7vlzZ6kWLTxGjciDmrJ59GRP2KETntOIZZcdsnSQeJvaKh+en+UN3faNgpvHCsH6oim
z+mHzIq2pkhfMso4THc+qJmnGheQA3Hip2w0/li+fBsOrQU45WwYMrnT4UTpTHpUudo1WRgeDXPQ
O2N0JV6rlvOnpw2eDFEC+lLcILwMZ2+CvdCkTJte7dpoHu7cqFp33SKre4S0rsXo2191UiHZ5P/4
IjCmSE/RGT2dldmLKqgEcYjjT5tNhPLiQPsFUq5GdJOC4I0RZmlvFeXteIrmP5bp24YnPUTfFJ4Y
BcbT4SuUu5q8A9hToWW0p1LWflLVRhslKtvpum0SVy/XQpU3l9k2KP3QDZ/Pg3A+Z2VqHMMq0e42
K6Okg2F+aAwsO508FYf39+jFoUi/AatR9Gb7nM7PX3l4O89Ru2AN1mMnbS4Xn7hd6WC58hC8ucyY
FSEEMpKUxTe/ndOhNmsqP7cntePFM3WMH0/33aYVOsdCucZz4/TeM7SL7Ov7M7xw1gEUbWCALaEE
+Xo6bMtP0ZOw1G62GuQHFh69XDT9f/iO27TIe3jEgUOfjjJ5syALZp/UY18fHc+wd2EeWnE/iWj/
Hya0wQC4wiiRnnvViiUwIjdlQrYZqE9OxSGlsOajJPT+OJe2BqUn4Jm8dkiin0+pp9Sdla5Cuyuv
9mEr/5mHKNtVY3Stc3RppI18hx4fE6KWf/rxkBCODComzc631vAmBJEStzIyH0bpqT99Y9iEdKhY
I6ANGx70dCjBJjGmgCKJp/IpbsbJPIbrzGPaueXt+9/vwvVPBwQuO5sCDsw5k5ItkI/ok9c70fhD
G3dLacpHO5imW8AG4bjpURTVlTW7NCbdAeBcVAvfNuIxf3NyZoi/aTfl+xwPpVh28xpbeGEf6zC8
1gy/dKb/Pd5ZrDCXKas5Yv3pDRavteqNRM72chsOqYMMQ5YdVVtcUzHatsP5k0BZg91v8eS9sSCp
ea+9zmzrnW3U9Z76uJmUVFfu5zn0N4XtKp5KMyDUDEXizL595fy9nTNs0c0fhFQSmntwNucg97Sv
NPdYjZbYbSlWZzf1MDtGUfafzWJqbwObA/P+Znp7RDaKKjUH0mXYcufqdpE9ufRjUGDgf514XWvj
bianiG0kIP74KmPP8h/qG6goMdzpERkaAjR2dAv9b/ZeunFe4tlLq8+VDtSVI/K2VQrDwoJBQvcO
RAWE49OxpOeXxsrMdkiE9zleEl0o49poiu/lXDfw/nACTtquEn0yzFb3CJ6cJ7eAYGbzYon8u58W
qCaELuDXK0fp7btBgr1ZafwmuITnx7cdG8ohrs9nMBz5WVKtS0y8VL6+v65vDywdJ4AQqCpRLkA0
6vQDYAjZl1lIeCNN24yL3PBiEYzRl6FQr/bUh1eaiJcmxYDk7FQNAEZv2+xfhYN18bXbUvLchX7v
HjRE7/YDxuP+NbLEpWltNFkYnaiUvCl3UvCuVzZOC8W4RVmsz0pQOb4v4jrqxFM3GNdK/L9DztNL
gdoYSdJGAwTocY4eRqzJpAbHrg1lJm5nMTdPEUnhl96AXoMpo3K/BEsKQzAdg+4xHaLhe+FH3S4t
ouabrEP/vutFeG+ONfmcE7XTrWozF5dcKT6Vysp3VtVeBdxs2/vNj8YYdyvSIt9wTu8IUhJmx801
JNu+DmIjKsznFsfvOwdTzaco6M2H2luc18Uyoiup5aUVAqGwQdCI/JBvPd0JC2Jaczg6xNW9+88w
i+gpWtt6n4fuiwbYe626eGk4YEVwa+k8bsjk0+GcOo9SU+fdbsGB6O/a8OabAXcLNB6cMEal51p9
58J9+VuhLOCyJII5L+3nte/W/WhoBDjs8SnrtRVTRXVvVThdazteeA8YakvxCP83mPfp1Ew3680C
ExzApnpcD2E7qH1tkiDciZYDXDpduOtAg16p8L+tYCHihYEGLxHSZdSOzu5O3WApqwtA/yuOqQhd
yQ6LNSuddCxLkX7NDLV8asyh2ckpTVt8LaNuvvecJVSxdkV5TTv97avMz0Eueuv1bg/EWeWz7tIy
7Bpb78xpGF7l4CKbHlbzg7am7CBpun3PgrkpD4095Z+WuhgO79+kF84SbxU3qEntla7btgP/dbVF
3ZrCs+468PtL8apw1oiDLM9u28AQSZjL9cuihulGNcG1XsSFvbb5q5OdshY80WcZBnxBz+rnodup
0Ah2rT+Jj7YpsnsQDOXz+5O8OBTVGdrbW9nyHMLTQ4Smo9Ig9lLjVVytwo0HQHtJlYPnfn+oCyeW
2s+mLBNuddLzpmkzWFDyEdvYDSbGM8fV0FPP0+wFRWz1S7Xv7Oxa3vv+kGCnTpcwlA6+S4h54pEc
0Df1wzQnOfR8I8lXY3kYO2++ApS99D3//yTBKZyO2Ab+Ig0j1QDT13UnfE2/qF/WB68ARPQfvud2
WOkH/9a4Oh1qMjorT92i20WkhI91Y+dP66gMTKiXHLZQGfkf3x/w0oHAQoQKNzkpd9PZ3FTmK3PN
kSvN7CGP06ZubqMx/5Xbuf4I43m5CzovekL04BqR50KQQeUCtBWKH9CPnbMAGUmDrnNyrXfpUPhH
khydIKP150kjBDQKMhs4aGuyn127S1sNjk/WvROm+tnU5froWFYKO3Pp9+9/yAubBJ8+mqgUvFDj
OC+Idp1qVjGSVPkpXpJI77W7acIVAoHba8jQC5coYRDTossHA/m8m+8ult0Bo6x22nGGLpkt2d7r
AaYfCkBGdxeimfWSjVN9V7t18SAHAHbvz/Ut9GvrWzE+9S4SZA7/6TZdw2AM6g21wF8+Y947/T2O
FPVao3GP2qFuY2V+uBdERHHd+9GRsN298hsuXAN0oUlgCUv4DW8ExKS5zH2OSbtbTeXBl+70YWoj
QMnzPq+i8ub9GV/Yrb+LmHDLOSpgI08njPB5N6cFE0arIrsvGz/7Og5dfmWUC4eRUX7XoEyPtPvs
jSgHKwsIQpgTZsHfR7Pw48ip2scoUOq+wOLgE1GMIg5cr907l7YUQR70ci4DRK7OA705XLJJm5QE
hOXdZFqFu1rSXxK5nG66vDNotFn2bl6d5hCEc/ny/ue9tJgwi+lwbU026pmnn9eWRbmxY9hPlrNy
5QSvLSHyoRzCf0wjs69cspeOKu0f7juwiwS2Z4sJxsfN6pxLYWXbzHHT1d2dXQN+WGkCXNmmb5eU
fjyj0IGxCcTOebBNGGk5tgivRVO6PGe+lyYVphkxeD7viEi7onuXwnZK+SHvf9O3GGjCaGBMlD/Q
BgKGerambSq6IROq2wWewNKvyLx8bw+G5qLF8buMzcV2b4J18vZlqMNwvwRdeehIbYpD0WRubPat
lrEcisCOZyfrdqM79T+v/MjtW58mN+B+qVRgeU4BkfDodOVDX8gmn9AJ1bNY7u11e4mGoomHfq7R
uwr7h9X/RJ9/Fwl3ymJz9r2b3NF/DG7jW4HwQdFoY5vTGTn9GShJ+ApKHGpXjePf9sb4XUBq3y+j
Wx4sVE73Ml2vlU7fbnpY2RtHZJOjgoOz/fm/YlGx2k0u0g5eE94zcm+s82jFJYqZ5nGyFrQfo14v
8vj+B3+794l9Xdp2AH7oop1ndMDNAqccyLkHvEYSmpEimUc//dDJ0rtSRvgNYzhd24B0lbxi0/am
MXK2tsPCkYgqlKdSo3frQ+o4YxQX9LrY/iqb7voc/fEjTpAtyfQESiYZa3/+a9XG6OwjR6LlYq5e
+BgOWleJEQzj98nWeFAY4RK+IHarlgM2w6KPu9rsPjRjGV7LEN+uEWvj8cHQjdg6nWdRymoZTVpK
NuUgyYXcyQ8S8FLGP6LJSqiRY/Xlj5eH7IQQgmoXBZjzdA2PZP76oNC7QLrCR/lSRc8r4oZftDdF
V+/Bt5cTcDaSQ1o6XLz8w+kOVIWU3qID/MyhRrSPhe2k3vepmHCqD7OyCp+AwnhTbOC82++M0sBj
0qsGmR4C+ujyUE6bDvWiS/XNpp3YxU3j21kcmk32KKqcgvkwZikVFGN9cgawQnEWqehrq+zciSmo
YbeQTmHwUa519mUdVmXHZoDU/CGVXvYhSMPhYQoNU+yahngobsuMtnJROggjgi3smr0VKg+f4hTU
XzIZg+fhU47B380I1WtJZjUt+WHNaqliAVdW3FVFOThx0aBNnkTlbJbxgvxbdI+Ti5DYYudyPPRG
Gw73IxFe9qpBguJRYPfCRmowQuXWEWb60ZkLS90gSob7RW2VOqA65oc/VoXm0R/nV4AiKL6Aw6Zs
RTvidIWAntqZ7VPFFkEexQIH9sQbRYVGchTtyyUL9n+6/6AcoRn8GyCxMRhOx8Maxbc6gN8bziR7
7dxW7Xt0lj7WExLy7w/19miRm5KjIptEAkBGfDoUiv+ihdbZ7uyprY5paGX3wWKBvAqK5R7aybUE
/HfL6/Q6oq/HruLi216a82qP0y8OgCiwvUvq4Vu62Hr9ZsshH44F/4eH2nHSvzo0d8WOCDYVH8ul
caukoVSzJoGfRunXJpynrzzVeRMXNIPTe1dr6+9GtbqNeVzab0Pvyo/53FA9yXKxhk+IO5Pot6OY
bitDohZHtmXPiS781ox7O48yROwi7yXoHPHq4aj9pbV0ncaeX3kKHns5i3iFJfOis2poEkAy6n81
3qSfTVkb3/sR2BzyEVP4knUI28Q6F90tjdxy3eX1oJ+FNMxfoNBR6VZRKtc4WGoC9m01vtmDO7yg
8+bflV1h/1pGzEl2vrvmfxHfabW3ZtxcYlVi0vthzcKKNolsg+dsLLsXGJwrBXUj7apEddDI76vC
Cr+u0OrEU91lphdX7FP1eR2yKfsYpI7bo2XQybXc2cKsvY9phUx4EhF2cfCQBrgrw2h+cfrM6xMD
vvKroau8g5Sl84VqkN8iuYlaEMUrTCmL3QDCrKKqkRbPZbEZTLtWOjxNyDKZMXz2pYmtkarpoaE2
8WUwJOlrjUNIn/ipu8h4GLW4X4eomT4O82rshaAndmV/n7+0my46kSxNc84u9I2z/T1xzMAJgwSb
fa3urD4qH6CLyCDRC39wZbDz/GQbLOCpJXiBCQNe8vQw9b3AdGfwLKxOzTKZyyE4hOlwDfTzppq4
tXo2hz5epq2A5zmnw9CNd1voe5DJZZ0Z+zoU8z2VpnTvCe7dWNvR/DkV3nDvj22HTG4ZulNchqYh
oZ9b7TXMK9oe28T+faj5Rdt33pDZmxr4OWATwUA7n5cAe4masO5LMJTGSFPPizSK5H7ufZsEbrZu
54b0aKwWxQQxefV6g2iKRNG0buceZIFt4Oyueq1eZkzeHfBTUwamQtRTtrMjXQRxpwYtb1JcGahs
qd60E/AlffqsPFk4+6azqyxO5zy19kXlB4eug4qxt1BL+qjHTvBvl9l25URlF4dT2IgD6MV1TDCO
XOp48Mbgn8nM2/oYOWNe7qURWc/cFEG9L/s5+iD6dPqhleWucZunXn5sG9G/liZc1GR0DY53lnZ8
8En43ZxkfuP+bNUIyjNvu+EpLeHPx2KoJ/9W1jJP96mtjO9FI/ynAAExvIjhvUY7IDIcM0kYyhkU
FML3bms39zLL5vHBNYfwtdGtu+A5o6vbLls7kRRr1poHU4fzdzp//e2iZwkupEitL4Mb9l5sQPB5
mgvRfKCL1MjdLFYM4NowLNJ4GMLGSYQdyEc43+wqumnLl0LJ4A5fAMI6FKTpplRwr8IYWyTq1z0U
l+FISoXQZlEu670oqxoQOY4nSYCszg/OAb/QBhNwN5iDJyDOVhifqNJopkMr3AV+WjjLz0gvedZu
LLyWYDTDmDHWgS7ULh2r7KOoiVY+DWGrf2TSRO9Z4Dn4lRZfHcZzak/faxQljV1tz/Xfptmt/k2D
QvGaFEYVvs650AaRTieKBBSE90qRdvk8ln34lIU4vSaL0Uf/W/nxn2et8GVAZ8P/3jeWrBLTcKOv
5gz5f9/5Wap2S71aAeih1EaNN3dUvQOmkvbJEqTiw2DVmZ3MfUsyhzexkEBznDmPK3+JupemCru/
R6M0lz0YefUEzIz2g5Nb3kO1tnaxi4a2cmLdwvIFoIjczS7qGnnQlYEklEb1wTnQXAz+rvty+UXy
HvBXt/bg9Ldl6EHFXktr+Idkotb7LJzXrx48luVr4AhMSrFbN7okr/VkPEyL9tokyEIpd2Me+M9d
1+SfB0iR3r1X8PVi8mY4dKvuctRGaz+vjpwf8Uk7Y4hjWK3XXvIW9uMDEsxVdOcJt5mSMZ/9eb+u
S5DFUy/Lel+3NDswullG57bu5voVw9tujtsgMI6Z7PEIQIom+yuf6/SpmcK2xNxIma9ebfdBXDmO
eB6mddVIH9gulFSDdNCYvO6ja3ilnfjZ4vwadRn0sTvA3YlnBFme7CzUbNFiLD8LOMf2ES2p8r4Y
09B7CKwUgKRYXGXeYoDheomURe7JWNRBbSceJrIPWxPxR2XMNmd1LuSnOt3KanOxzl9SPNJSEL7C
V3GVFtOYRDPwq9mxVUv8Ybn43jSwzJ58EiFxk465+gAH3/+p6inQcb/i0pJsflT6gFzNMMaOZlPd
udIpPgrDFYTjzqCCb1Ehw8NobjbyRbf4iZsW5vgB6l2ZP9tY+LZJJ3VTokBLDzcmJbLCndGP86fA
sXW4Q2Qm7FFuVfPngIZDnfROloLNEWHZ0FL1GdiaZV4eDF1nUJzCNFvvO3fS5V21uvJ/Rkq6eltK
0Sx7fHwy89CGyJQmlpBBtEv5ZGsczrPAD2oxpk84nIpm37t58YQEOXgSO8Mv7Q7mqa/yo0xVk8WN
WKPqcRS++IcORRDsQfUvzsFwB2QEgnIxf84TDd4Y7ZLJ22mrcP4m0yYGahbpHNeBcmOy6RV+RHuk
SpNWpT3QnGAKwHvbsqTC6Hq9eWcYTSQ4iqszJXKFuPNos+0UfxpGn1RmBx/GwHJ/iDya8ptVqcn/
CCt4KA9tE2XVoS5b83kpvHXZJCrrD8GUsSaY/mR4oOTlyra2S3Urba/6aVZyVAkepMOzO1ZhdsSv
tp7vlnGuIek0lfWyVrrnarbn7G5EydOjT2E3r9Tq3BH9qHp6KRY0zONpDfoemzesoCftcFwaWCnt
oXKL8HnUFtZbs9UH3g5A8RrujS7NdOzUU05rsKvDf/Q8eBrwQVu/cCzNMcbOxShvJzs1/yfdtVV3
61BZz/hmOMNedo1/V6Chp46qLLuQj9ToT6nvEzWa2vbX50lLcW8QmhJRpCyL6JDMvg2EKr8YuWF2
PIRd9TOfx8aOVavMvyDb5nacpkv/qFO2+W6a0fC6Q7eqa6ABuF5+8LIouvHncZ32OX60Ou7A+aSH
bOrHKFGa0HioIZPsgMdp9z7KdI9yvFRzC9CrLbayWLT8aMcNFx5Zff/NbZb+Q5lZixn7WiPjWAyp
qe4aS6HmjZdY/p3o0sVa3oqaJglGQMt3Uz5meeLi+K2ICizjjvDUg1jFrl/LIyZ7TQGFNx9c3EOX
BiF5TyoXk+feedG65S7M1yH/G/iusGOjdUtx2w75YseNM5b1x7RlWW6bdbTbRxmi1vJ1JeTOHxo6
KVlMV2WNsLas5YZ+yawPxWpVUew7VTrsF471mIjRKh0ygj6E2Vuui479caHpM0x2sweRtnZUObpu
udn0Z7JdGTTVi1lKmcZF26gPnVEEPwe34l+TvvBQ/pn18kFJqBKJENxUB5VHMopBFMhvuSHVs6IH
2e/HwgrmA7Kpk40pTdHLhMcpRds+UDBHGn+yZUIKrg+lEgvFB2FnZjyGM7tDd970qKx2HYHxzNb0
YFkzGeLGRXETT7XpJ2y5KZdbQqWfDMMa6kQAqfk5Cxk5u7E1U+TelckyLabWT1bbmMFxynWu75QH
k+JbnudEcIEcvG+dNI0+wb0yeA1Xqh472ytlFQf2kCLFlpfiEUn3NIwpHg/To5e5QxCv/K0gBRvq
FlFvG2UM19eh4CFyw112QxPScA+VKUna8efkHdXMPBGVPX8IhkXi5pWa/kcSqvC2s4fJSGpG+xt/
UoG6sUCKo3NKpzy40p4VUKe0X45qjQIcl6Xn/TQpm0dxqnT6PxAFcIArVZjZ56BQnbNXvqO+SSso
q1i6o/UQ+ePK2lSW85JRXUDuxyiMG2SIjHA32KPrHLnQ24dgXd0obhfL/EW1wMOGch6IB6Yw3bVz
SexkOmmW3szhlJuJbL1MJ8qbPLlDs8L6G7qCsS2JsNi/llPs0FEKhwMyLvUnp/EEVqGLvSgwNHm7
xjZE9h8QZXk8is4FKW2VOB3wVNRNljRChtO9wy0l78NRzg0HugN6glRecLdWoLLjZWp1euBc6jap
/H59dOvOTnfhIMolzoHK8bgGrqaqAcxsSspxUNlxgL08QMpoaZSDisAuWAzheJPbhhUcrKa2v3k1
NeAjGj+chHY2zWdyo7zYB1YdRg9ZgfVibKbl9Fg6XlHclhYvVqycHKXZlJbJZ7PTVr/PhtX8iZ+a
Ng+psLU+ynJqvwXmTB+JBEJ89CayqKTNEHyLvQjJOoKWhX5Bb+KnJPw6vCO8duCoUyetjlStDH/X
0i41EWZ3OMA1zn7zgWaNkcX+psqGjw/W2GRyjY+FYguD3iXhoFSF9wGwDw9GSoKNRvcljTy+T4eq
0GsnEPVhh2ZLmJhDFhJV1t6PorP7NikxA+JGYm/znlM7edBzq7hnzA6olk2nyqBEEbRLXNh991jP
ZTHGLVIIIPX8rlRJqNm8ib+WnnNwBeWDOPUi0OOsPVQuRhbAXCc1/NXJ3K+5f6roRfpDiL5ipN00
j7HH8eUx9Sdgf7R1VEgshu1mXABx/kr07BKtuf4Yxu0knP+pGrmw2MYmqjuERqvkl7CeI9oZCKAF
seeN8winT1HXrxBy3A+BU3T7BoShFwNKh0lSwenhTosirEb0alTdsUSQ5G51Zsk0UJeyjpVXVG7i
QDxZ49WpizWBqzhbiVMP40dvzSbQpYAtfrVC+CVpQR486KbFJcWuwzrgHTSz8mPKXf598HqeEcm+
XONi9dcHrgdia6fRxCcY+dq/6iJLn3VVt6/dWhnVg1OMi7FHaW6GeukgWbOxV9JEQt/9ao7L0iZj
Otk+LaUwupdi8Z5ZEctJNLnAAf6FHezzepxfhFwAuRQA2KzEHVNHJrMngnt7zgGJw79Rj9608MLr
PKxz2G20RXfp5LslEZcydlIbw5JEnfb/8b3Vi+491WcvGSYjrP4wzq8Dihw43fWG/rtxI2pa1ugG
t1bjjnYSdo7zcXaspabc15YPc2F2QDqLTH1xG0GsOQrJMk89HkmJ32I1H2vHrvqknlV6b7foziVT
IXtnl89ZVSajaLPPI3LBLahXDd4lj9Bsu1fZMKV41PhTE1PU7D/rZvZQxuoyt7lDR977lQW5W+zy
XpGL+9YkUOKFFdbsutzvp1gXkfF1rW3dJB7VwuZoV2qAVzVUYezVPuxa/g1KYpVJOtCNVTPEazDO
NM2cSOU7tqf7F+9f+jMzZCDi/8fZeTXHjaxp+q9M9D3OwiXMxpyJWKBQVfSkKDYl3SBkKHifMIlf
vw80Z2eaJQZrey4ZRTILSPeZ1/RLO+ISzqFe4ekeyx+ik6N541ZrOUSWL52XpYsrDELXtiSdJjoN
hiLP8t3s55TbCvx/Wu7uil9ZLdzHfhjaan4fu4RlrOf5plcAH2CgPZKpFxVn6WWCElh7J2okYcKJ
gthzr9mALDF9r9hoeq1xMA6j/aRbqffTNZTAw8KQXrrLp2Vwr+fKlg/16KSfkWZzyl1GllAEVG2H
9XLFTe8F3X954RF2+WFZ6uV3Qy/0mUs4o6Yw9t74aLZzlhylDsjy6MXWzAbUl/pnNZtzHhVEZwVV
0Nr6tNTl9HV080YLsTPRWyowlU8Fppz75bgR39pAtKvdBWKypy4cvdF90HpBiwRhaBs4bIyIHajN
wR05+TzjBjILiM66Syw3QHso+1niHJBu1yXy2zUY9B8S/6JvYz6kBWkUXakdYKmx2CnDghZI16f5
JmNs+3axUeaHdEmnbkdkVubUFJHOnN3YZjKwu6Me5E4mrQTe+LzXu0l80tuJBoHj50huWlnjNnRR
XauO+kUXPzvHIaeYsq3diRIDuXeegW1meRVzUNXD/CcclCQLE4KoR21pNUlwsGjHjuaMF8B/67mb
pzEPtAIpi8CKZ5xrB8L8P7uqszBoX6bxh1Yn3W3ZZcn3qmji50Vl2ZeRiJk6NWLPT52BKnMY18n6
pHAqN4PU1qC2lranAgs1kSQ0Szy8XfKzLDCyxLzpFXnODrqEq0dqMZLDhLPyh1418oPyMkouQzvk
BQl1x63YU3xGizXlggjR724/eq6atcBOmuWB45o6Qr5o89dWs5ufXTs3LcylzO3DabWLOljR6XtA
vct6RHOnuCAjGH+KVVofUjbQy9I2gPZKyicNab9O2dZPLQemUKc7cxAjlesFOnko7vW28p46ssMp
SCk5fDWMoUl3IFrcPOpajLUCZI0Huipi7e+p5aiS+FrmU0hDpu4fBGlodmn5KwSB3Kysz33q1Pej
aU5f/aItputOld5MW3J2RaB3TtJeZ33q1REpOLLXiz83u2zo/OaioG3wI6PMf+Xj+FhfoiPpPiBM
tknK0XJsQ1uthh5BBGyvPanJj8Wsrd/Rlaw/wsB1i31d11SMR3q3N+6wNgnuTA6ywCC2iiEYxlo8
VxVaObu189p2q28NH3ACi83AsLW6P3L8tntpV6kWOGbMAb5wh9ET0xtNDyvO6YfV4KqG3ywpRoL3
E2g66UZDZTRP6g+G04/qkrKG/bgSJtPmm8iYI1CkXRYk1NxXyozlcjFVFEnDMtMH1kyvUbevKtzt
grxXtRGmnuaXkZLWUoX9WKJxZoKquyt7q1PHxPcL79amZ/izxOH2qUGRbQxntYXQqSq8iySu5pww
Te/mB7YAVSHscMbbIcnrHp1pZ67C0kcDNyyK3noSdkO7QuIFsTVctNq47lJLXqZUMOJg7uHrHlSf
rF0UZ7VbkksbC13OeW2/z2rJnsDlNt0Oxb0k38WpwClg6EebYIDG+c94npdr1U3rj7LgHL3RG2Nm
W8IAlwfC3+lSrI05HFVXakdH6clIJ8gZ431FhbU+DMQsX/1lIYm12tXct7HVVbvK7vIHfGG1O9tt
7ceB5mkWjJ3jPkBZrj536FVmUV24og0GzeRfLgrL8dARU01OONsxNYBFcV30JIwitDi8i10q4w1u
PMjNMLJW8guBbP6cjh6XoRtrbcKm92hcZX0+HimKrCMcV4tdURQ5aZar9Ba1Rb1GK6PoCA58kX2P
rUkMgZxAZKErtiQlLRhzqAKY680SwNEwnwhJnA92ubhDOJbecpk0reEHrSu0i3JS0r6aHWDz01iN
2bFUZvpUrVSQrlPkHLt94so2I76fSEtsqxWfV5KVNMJ1YOBKyIeCu8T1Yj9U9PqfUAYS+R72WSN2
Y6m6dE/XNnkAIlXim2JQlWobwz8Anx8/i25xb/pFK+iqFaZ+AcA/b2gp9WyEovKLa4MGlgzMqcju
NdPgPu/HacijWtbx1wTAXxt0U89piDMznDCvXO0q0AmhHmP8swkdy7qQkTPFw/Na1oBe+5ajIkBU
sX+CuKh9z1kA3yVQhjSkSRF/sgszvxskUUO4zp1FQxx9l8O49hT30qytx2hykgFDw6kqL8t61JK9
oQ/apcdp50SIpdj1bpjcuD4WQ7lWoYMvQhW0mcNtMwzCuLZtOboRGgXEW6S/UJhNN0v3fm8mTZj2
nXGxUqGnodB04yGnFSaCEb9BQtxqmj2q652sKZw5NpczRywRRgKcz+f4UXSH/fzG7RufkEis5o8K
EMa3xkbgNSyM0iAOkOha+AgTBOWIKnxIv21wA7+J+7u5WjNjx86oXLQ8FFZ+tj8q++AYpZ6QOKTr
s7TErIeFchprJzWKPUQQxpiHbrPYz00JiPsqxV7JDHqQJTdKU74Rdn5l3E3rllpy+Ij0CnBp8zFe
vXRDkZjGB0HwjOafLejjVmVxSZfDS8Mql9qj2yEngmZWbt6VZDj1Q2xW648KlIN30dj1+ORlWXLv
dN4+S1p9OC6aQVmscnqTgoCtCht8ge/fSF/Nn+hVeO0RdlR1RRLU/dDKhJMBF1X+oqg0836d18En
npwk4FBSgLuW+wcnKm+laBsTOVDNce2SNLOw0mhLsqdd0hbejoM18anazGN3bEB3UTZqSxpACrf3
8rovrZTD0p7zW2XHy+eOu/qDxeRkQalJ82fjpUS6m1retbT8ZjnwjM2dnectoWu+xJTILT7TM8yx
NslhVJ3X0i9JQV2WeYCNhQ0vtpoAATKxD9YcU9Snpi++OItL2GD2cfYdMATKTxJtzzxwEerwb+jo
Uu3zapvKFP41Qt8pVqjg+C41qEwAS/q7tE4qPWgc5MNwcndkEjV1Jz/aPp5gVyMdjSFSJcQ5UmAH
dm7rrC1mIDhdfwU+UrR7pZFXRyiLctmYfZqsB59q+xP0aGurFwuyFTXRazoqylVjIIcCFlnaGwmg
osSt7IACuEfxR+Pu4Hpwkjqy1xpRQSI9o9xnawH2MdK90de7wOpmJfaTJSvttqLojGdtW5SyfWnT
vk9vl8Sb4+M8ZAVRDj6VluIUzczCjMpy0UCcTAkYzv52zOhHq9AZrG586sauWw9ELW2iBXlsAWby
F9CaaNSZqfZoysX2UJo3CzBRQVI5nIOR2xl1/sFKnG6KAx0p0RK5UNVZH218devbrtYWneILl459
HHQHQhW2mSaRda1r2rOeVnN1kS9zh5cB6ilZc5UiWDE+Osa0El9p3uo1L26TmcQz9PsYQ7Y+1IVg
bDQxk9qvs24cxVKY801nUz2nVdBO9U9Lm6a1Cekfk3zt+9ZJ4p+xv7pYQ6MoW14NNc63z0VSJvKH
Z3B33upeEzvhgqr88id9ll7/WE1OMeVh7DuV8bnRWqE7+7KkOXiMjWmiizxYq7f+0JZmQ/AQw6Vf
a7CyxYFhetqIyea0rbgSMR74ZNmazuY2XGTxQZ9ROjO0wOvtAdWnBkQCVRdaKag8FLwd2BLD6Irj
JNZRe6yE2RBpjHMr3OchnnoFplnqHVtKALTwvjmd5bjfRscrXHnIaJAmaWAvTt4OVJ0yu/rUetwy
P3zSVdT/vMXKrpYsK+WdUJ2xYWrTEmlvGC+xe7X0cDQOmTVN1bVOVm4fPNwz5qikZr4+OC3fvwl0
jx4B+vw49P1IsmQpPzqpri1fYrVwbdAkUf6xZ33zaI5R+Afq4eN0YciJKzPVTXoolNTm/lJpI9rN
zuAW03GoZnxCZF1mM1flOOS3IKDSbt/M7thc9qu+5tEkKqv4grRH3JHbDl4fUe609WMPtmQN8pr4
dWdpqnJpYlBgCZWwa+9TwY75gDxgvlwPSpDCrDr3ayQXiSwCss7q85gs6Uu/rEZ/4XAIFLvFLuLP
WtI3epBo0/wkaqrA+0X38YxvKmsMYM+XmChx/dkRgmZF8yUZitglwbL85Zi0/FLIvaHii4Tt8mMU
XY5vB+BmdQCJaTzBOKKuJCjW+8HoU3sLYNFo97RQk3JXePn6RXVu8wE6tPFReYnukiUNWTR0aVbT
PSBGDNIOom1A7yS9qcm37z0QjSCX7aESQezE6ReJYYgRTqKXU4BYqPpUmauaCWQnXd8Zo9l9V6XQ
P81jsVxq6FmX4GAa52Ic0LQnM3MizWJfYGJZXFh53gESkOs1/Z+pjJpksq8ads8crOZI36ZVMQa8
djYX16WLCeZsSzoPidW2VTClZivpz1WAMFoKP9+q1Vg+tk3rUjJ1y6nedSV49t2a0vL9kHMiftS1
fqAYXbUg5EbhpoqGhgXqoDQcUB4pb/dj1kEn2RXN1H8CaOR9iIvKKPZJHbvuhwZT7+cOw0oQOvYi
fvjNVCgKMGIgj1aiqkMxL0XUJ/6yaTsULlrMSUFZbV5wub0epDEj11F21cWkz+lxBr3c3Ai4Sxl5
tOD69vua+gXKcjRq0J2k3jObenoNZ12UYTvGeUK9ecCfl4u/puPZxa4ddMLtv3QJd1O0qAoAR06+
zm1c+DjbjmusjpSyEns3eEOVXgGf0iqcC7OqjLJ4HZ9W8AFDRO6ovlWOkX7PNeyvAgLM4dJKWtvY
q67LvvRyBp/spWl+L1s7o2dpeg1ARbVK2ivS7K/Il8hZkdz3bzY+QxIalZPKEGgPDRi6qrR55VRj
btBW+KoGGIoOXFZTaWtBF6/yMU1JhwO9aJDHd4l0+p29qOVe5tbU8koWoQcpJ9AaJL1bcuIZPgir
ZBo4zn0fBfWDQRnzmY4+kIepQIA6ZFlSrM7XrL1KFkKsaIKrM3G4baaDYs26z0Vn2R91f4nLgGOf
dWMOSprXWtv3WaDTAvqUJINTkuMNYLiboaeVzGHkpXvMUtP9qLfaGLp0rYx9afjDgxiSdQP7CfOm
SXrnHmkdFF+rhkM80NbCU1GaKXWfgcV9tLKuq65632nSKLanPAk70AYyikWceDR5CDL2Xk87fKsb
UMqfxJi01C8N0e0Ns8qr/djaPoUfEkAKr3KZwlEZ45eau9cOSwMdnGc4FfW663TAbtTaUjeJ9NTP
0EF3reGK7olqPhn56mXRamveV7cZPCvs8EiYIjY34gl5hRwwRnKDb190eiNvpgUHqxApJCrrXlXV
l2ajUbZODTK5PQGC+Wcnpv6FM5SuVpHpW4WIarZO+rkYXtjnmD0/5Xm/HnMwFCV1V42eLHig4qlP
e/HRWJAmvjK47x7WynCIB95HZf4GJAMejq6Sh+qRTkx3KnpUl1KNBFXUXtu831dLKi6m/Owop2xY
9H6RO0LyG306H82jE+g7SUrnVGvthW1L3dktmX3RGICdCsAci7KSMEN+/Myj/QbI2wb9hf+EgkkV
cfv8L3j7MTG4iWJkqW1chK+QTG4eG5wEDhW9+78/FK7IoHNRj+JWOWVoocBjlKpo3bA1ABRYXiYP
iVOMh9To6jNaJacw2k06eXNh/+X9gB7dCSQvnduabTd5YZyDqy9iTBEKt8oO7IUCxGb97W+vjw0g
jOU08mYgAU9mrlDtGgMd8cENKPOiXKflwuMcPfP+3nooEMxwWE2EUH9bH9DZK7dYcj8Esoef7Azi
24qNYldOgnZv3osz8Mk3loaBTbtJHA87gg7966VhgggfBkj+oe903zJbL3bJDKY8G5tzuiBv7C98
y3TEqjjXWYwnqFAocV3baZkfUgDpHwECuDclUe+Z9/dLfuMVLJJV4cPLY0E4CCuc8nJb0QuSQ6ZJ
k9Tt43oUN+YcU4E2cZ7DVIAzs/Om0OiFG3axTibXgXmpitQ6gKextwbjGJngZR7//vLxBbhvm2sU
Vs0Jnp1sz4WqwYseeuDzYeYDWwGxZWGy8/5Av0NVYXht6xTdRBvHZ+tkJDNPoXNjchqCyNF30sio
EGopxAaunD3SvSaza4o0sAASh0JrjF0P+ilY5/ac2ufvi8tCO5LGF+BcDlb/ZIdqqTHQXyHn19Ji
+UaThQ6oQkfhE1S87Jzp9O8nK4NtFEVrU6rn8V+v5DwfjJheCBUy1/BuWrf+2raORuOKMxX2hb0r
kmk+Q/R5c8xNyIPdugGeT8Z0Fq/XiP7ZPWIS+xbjrrAbbXdf+W270xJHhbpRGfv3J3j7p69XOA+K
fTGrCSgy9JzXDwrkZLG7gsaTpPIB0x0gPEhAtd/MOwNpF11kGh1403o8Z/775nxuviIb+9aFH/R6
5NruEOOsFp/VO4xPy7AsfyqrpO46L3N19/5T/n5cQPBFKXm7LLm8TvVlMmvI26nz/a1X4x30WXUH
Y6XT8P4obz2RIP2FeMRpYZxqE5DDx9RcXY7bRfTwiRs6W2NdXSnQ82euq7fWijDhhUE1dbdu0euX
txb+0LmoNYU+mK7bRar41gYh9NlArUGP1tqO54CIIRfR+4/41otELA8hWqwVIdlur+Avl7+W6xRL
R9LgdTarL6WJ3dWu9KU1794f55RIa3DsQLt0oXsKGo3WyU0yaAaeCcrxIRpAJEQ1lh2XS2NH+6IA
1ZoTMs6j+NEDlbydLS8985i/X5wga2ACIBVjo6J66gM/Tib9W7rPYYy4dmgj8h7keP7t5JwjhKjL
c3J9b60cBB435VaLIv+pGmeKREeuILmG3qhPexxiHmI8hHZ15nhnDvRzI528WPRG10x1vNjEaWCs
VgZGEXkR7yqMQC/en8M3h9rMWk1ELZAmO9ng1L7ipI9tP7S1zP6GjAVOFFbW/tlm6TnD8rfmCzrF
fw11cksRjjgjXSk/nFIffWuzSPBrpFiE4bcAtonJ5PuPdnpqmmAGN4o3HO9NFFqcjEcmhPDbWIzR
rM3GAW7SAnZL+fti8xywrGXauwn1HkuVw5mT7PSl/hoZISEYh9t1fMpszM0RxqNpjpE3FN7Pqmn8
i4L+MIL6RnNmD741FPKKOmcz0oTCPjljHAT7SyX1EUrt5P0EeG+HkCY+yqnXzuUUp/O3PRVksk1N
GFVhbt3Xx0pZjr2ZJWBdNWu5oT1j/NlXcx/QyXA+lF55jjN3enoy3EbdRUcGZCPqmCdPZsgxqXLP
n6JFy0BSOt5B/KJWwLSgw9o0fA9afWdm7vRI2wblOCFis7es0D8JWTMxddJtwG96dESvTU0Uxwmh
kqceJvGeaENEVISay3TsvK+pWubHv71kCWeYRXIpi2c+2fhTQsetV5WMKtXLgyz2TfPBqpLxvko9
EdGXbcCUNOce+o01BG+fLbKZsLpwql5P7DQS+jOIjIo+p6njmNoaErs6P5M+A23w/iO+Na0bV9/2
NrVcFtPrwboR6AixmYwEyoyhXznzbdOnw31sqHQvO9BoWtvoZ6bVeGPtGrxXlwWlYwpyKm5eZm6i
J0Urwav35q1JjZcWjefIb6Vs/GM3zfNHN12Ly1wO5gP5YPlMBdmKOvi8Hb459NViv8ooY0HqiOIm
tgIDl/Fz0fOb3xII26YzCAj1dMkvZPTYS+dAl3Xoe5301oBVIo59qQ3H3hHl9/fn4lew89fAclvu
LowY+OogHfTfwrsBSGOvljFKIZFBXVzcJ+mP0+PcjNZtZlImNpM4++gP1H/LbqmvsFvNdtCe4qsi
K4fj5Dazvz/zpbZF/tuXIjG10ZREX+ZUXaanSGqmKLBHRetUV5Ttqr2LN/rRTbJi1w5qDZtBiptB
X9tIlA34byY96kYk23Fkbc7Ei2+tV1xrPEJv1CXsU+0ekP9J3Ji0qNc5ra4AnMt9K73pjvzqW9Em
Lj2qpTuzXN8aE40IwmFEZrnATm4uxDr1VZsTGUEpykHMmNPWypLuQ668qQho/lGOqGLbPXOZvDku
lgObxiWwhlNHNYMu+ppSpsPY3HLoP8h6E54dcSqlG5PCs9V0lMuKzj4z5W+OiyzidvDB/D6d8Uam
SzaKWka6WVpHNy8cByiyzK9iaOK7qVEGTRVYaGeOou01ni40dhu3GoLaSD+eaDbMQIJH04IigtTm
9JRly7AzR0c8vb+e37hS8AiCZ86eRmnyVHgA/GkppL8OkdM3eeQjU3QBnwAQxpD8hOc8hYO5mCHR
goVU62idie/eeLUmE4nPp20A9zsNRQgdVF8YKUupzJ2r3AFu72HvdCBoHSJZm8D/uuGcws4b5xiD
Uo4hUNho7yfrl8sNoVqfa2wc6UG7quDCVhTlCzfOQlfM09/fo2gjmdu9jTGzfnptesMm2Ox4MrJL
pV0NztA/pKCBm70OqTIL9VIme+W76v79mX3r3VLeIcrjxZq4Nb++yiRUCwECX0bauMqDaozqKEWr
R9ByvXsTjDvMwl49/A8Gtal2bE5GWzj9etC2GjK9FFzWTpE2V4tN3bz3hPY9advloNfmLf67qjiz
U96IEIgMWMIm79FEwf/1oCrOXae0Yxk1cTVQJLfGR6k8SLiW38Ndff8J34jbccaA7Myq3fyETsMR
aZrTOM3EYAoysgXv7FLMq/Wo0QcNJHTv0ELjey+Ltf/0/si/lRK5D2mk4jG7KW1tzrivn1OvV259
5YNHonhAf0N1tx1NzJ+QNtQ+bS0MVK22F9+9Nm4hu4NrBgyimfpliTf4E92c+ao15zrdgYqCY/D+
t3trV3FTs7GocpJXnEyCmGZd4+TmXvQAu3myAfkPJuKGzroexMn0d6UAf70Mit+UcAnTMNt4/TJU
6hlu15HFpAAsAyGROzCpZB4yU5p//wLYlIUBm2LapmNA83ooek3WkEIki2Jw6Qei4D9rdvmBA4Z0
xu/FnW9WRfT3XyeWuQjlIcGPi8/JRoIL1zgAv8cIM3DKB0Y93s1ZrSI/BphiYxv34f3x3jotEOXz
fIv4zsNQ6vUzerW+NpOqp2iyY/24pKMB6X6QT9AmDWj5RswcGvOZCO+tNYMSKj4wSGRuKouvB52y
FHFFaAgRVXErdPwOYFqZaTtwhdomYWCdmcg3DgoLVLFtMZ14iZyO13ocwHSt50iopLhpRdY/96at
DlTYis/vv883Ho2qOtJxPB8FYGf7/C9VLrFS/VzXfKaLCXrT9ToX+rEDcVEbAYyjNL+eicreGNCG
nc0dTqtw0wJ8PWDd2JBW4FdERZfE+9qZXyo7M4+YroFqBth9Zn2+8SqR30QZmAYxGhSniRJ9+JG2
sT5HA2dWBDCwOACLsEGkO+dUx3+pwJ1EQlsYhJcasmDUl0/OPScFeeZkyxLJPFVHYaF20GXa+IBp
sbFzZjmQkOr1fTYO+uXQQskRg7/e6fOYfMmQ0P4GG9xGGcHqj9Pm5+JaIn5M4n689UgDL1kP+bGG
93JMkkKekzP7JSv325ff0lbKkOJ3p6zVsDDjBD4XiX5oQBjFcLeEuYgrzO7q5wYgCEGsWpJPPtfx
RdNl6JSANNJepNVk8EgQEhh276/NN64w+gO02QxCHZcG2OulomsNQqo9S8VwpAZWqfI2taYJFRcA
YUhbFMdV8wdImY11ZsO/NTLVekrbdCdQNjo9ZcSIa3yaLFGuuz/wq7CJ11d5CxNdRIY0y2dnmLJg
HvzxTKD5xnKlKUILioyN5Wqarx85gTBWy9ZYItTUU9BpThHgNmhFosM37/23+8ZJik73Ng7VcfRQ
Tp7RkmVicRsuaD3EG7bfnqsDQJ8laMcFbKRa+6PbmdOZB3xj+28nDQ4WxAW6eVpVV4YY+6KBEN8q
FFF0ALVAvZH5OK7zUnMCIAnShu8/6G/vlNVMfCm2bgUFvtMEBeRAYyzeqNh92XA7GGl9MBt7PoDE
PNdDfGsoFizKFgQx3m+mdm1eTk7uop+xYTYvoetlQTF5wJSocZ+JY94aCmUqixn0HEFg8Xql1Ear
cs/RVASFmJp91dtjKMC8pKCc5vLMWtlu8VeHA6KDlCrRWafkCm73ZCd6UGsA0iK3kIG2vgXAnTvQ
5hqEW96fqt/2HeOQZm0+Izqa7qeWlBAaZkgvJrIOCgdfhJqTy0y0mCFBGIM9g3dwOo7Opb+Ac35/
5N92wyar6BAoc4CTiPySxvzLPegUPkoGW0Ud4mt3lOPQRgP8zJ0cNbWnNq6edaOc9+8P+sYcCup3
1qZGS15waq2VIrEH3dUAwgQYDvkNM/tQK4p6rgRq+z8ZysLKYHs4IqfXy8WBOWeAgdzQUhL7WzHQ
z0e+DoC97/5nw+5/fV/+d/LS3P/nuhj+49/5+XvTKhTCUnny43/ctS/1o+xfXuTN1/bftz/9r199
/Yf/cZN975uh+SlPf+vVH/H//zX+7qv8+uoHCBWwjB7Gl159eBngAf0agG+6/eb/74f/9vLrv6DV
/vLPP743Yy23/5ZkTf3Hvz66+PHPP9hj/+uv//1fH91+rfir/1NDM/168usvXwf5zz9M+x8E/3Cr
qc1sspDbup5ftk8M4x+oIuMdDd2Ydedu3rZ108v0n39o9j+wvHURWuSIRkOYWfvj34Zm/PWZ4f0D
rb3NI207Z/jI+uP/fbFXE/TfE/ZvKBDdN1kth3/+8QvI9N/7m8wbrWsOEoJOypg67g2vV0eT6pKy
ADiP3JT6AcULvyoBoqJ0Vx48q9Tvq3gSj2rIgMbmyyovFg0N99DsfPUj0Rx3DGv03r52imp8MA7F
8qmH0nynxKR9QcjZbHbmnM7P6K93djjIfL61pZN6V4Dz0Om0/cmxA6Pqte+TrcF68LXcx1O4qmta
dhrCl0GfY1AYlhBaH3OxjEBB8QpdQg+pDVIBLN6sA8j+xH/WMw3Hi9UY7Y+NKPR+b0OG/pkUYFoB
MlSLioxynP1QH8rsT6XyrokyLWMEN4P37eIg64a+JkSza0oIqog3EQfvpl5fQAaIgsaQsMymC722
0yfkigz5pw1hdbls56JGvX5wKfN1SSN8GbjLPCc3cATKg6vXE/ZuMy4J8HJnzaStW4Fkq3/+Zcn9
a2b/OpOvD2omkkiXQ4w8jJyMWtxJOja3UMSU41xkeu3eFbo7P8fx4v+9G5X/7mGSxFGJLwLIHBpL
r5cLzCVJ39i4m6cCYK/W2F117JtxSI9TAuHvTIGIpODV9cM9iikSwBucFbm9acifhCp1tRZY8o3f
uDAgLXRWUX6qfReZFx/9qeOaaU166aO/0EXu4Jh1aDoQ90AFrv0cURRtwT8vFjRRBJ0+571np1ge
I1AzvEDohVIAIlXBtGtLI7lfihFOtkykh4MXWAPvylIGxG5nGCDemk7M2kO5DtoH2lWbVkS/LJdW
v9RwiasyhZKOq+CNb6SavLek0Tx7toIa5k0bcGAFd4T+VGITOmvd4gMlnkW1MSIN72M8W60blL1t
VRGmeVa/1z2QRfaYDWuwtEjNYe1tzejrZw6GTVpbWcZe5M34Q69S9xPCvMBIRQ8gHaSxPaWIcOvO
EXqYao9dJjQ6f6IUL0Rc4nIWLTp1WCWjlJQjNjD5MupAsC9Ar5ETarHlbCBb1mGeGuKud5WWBf1q
LgPMlbX6VnRIfQQJhMoKHrGjTTuod4uLklUl7pe6HvzLzMksIO8rrwC196L4JpMpqffO5GReiExd
oe9cAb6ZmKWpuiCm9vvVSBOUPMaiIrVwtD6zA4RF42oPMLI2P6wrwvahVyLtzOtooHJa1SCuHVlN
Q6hPc3w5APP1kRAcC/+qN0vPDFffHp9Ty68KoiK3rdHm5Hte2q215iGKZN01/YgSWgvSBB/7Eo5G
oCU0nfdrWVjP62QOXkACpqnQJNhCmqMaXHyiIMZuT+UVfbAM3SwvJQR6WCECMcM2ic0sREXbAu48
St0OFCJwy2Ex7EwE85Rje915HXoP9CgT9xItCPe6QXOu3qW007WLVBZ5it8AlpuHvHNSsvIarZ4w
nzu9jkYjR0SgI+X6E1xW9zLjSvKS2t6IsAvyYym7cXW6yzZBcK83UbgNC29onR1H3wonTrjXnp9N
cAE21cdhFbdmbtb1ZQun09h7Vl5crt1i6yENIvFseevyNGtee1npVBLbRc4vC4yP54y3iFaQ3edt
SC0qw1F4tgozgFY4ou8JrGaISnPq7yG6oA8ylzCEorlGMSsA5T2lO0nidSeN1f4OG9R7LjUtEVde
6/tZaKKu5YVKqUk7rEkPBVl0oxQ4FUCgCUoz89ydnjU9djNmPT8qfajGfWt59CLtQmVjiE57vYv1
EbXq0lNZsZez611IZ+1+ov5FQTFv6tnYdVL0T6unLUZUW2b/0QBr9yLGGcWy2XKGC4EKU3LAxgvs
qOI+fGEWCxdSQjLDKii0tCVKnRqQj+TNDw1GwfkxX9spDfAtRcquUSUQ8cTJZL+bzMb75pljeaPB
3zeuUC72fqIm4dzNetK+pGvT9pHWWaLe6X1ZauytPkuDci5rSLuQVp7Sdexv3HZdfqJnRwN70ar4
U1tNHbS5Os28XYLGJNNqzOajbw/tBwV+v4FXb1tQ3EYfWQKVte5dgmVGsoMN0rv7UrpavfdUm3yv
E7t9ttICvS/prrIIe80s/d3qWXAOxRSz/lavyo7wqCZj3+iN/yGmFgdP2M10Xti0jHxdZevdrgYc
+hRzPeKSXNjxi7MKJw+I+E0naHz0m2CnTN61NK3GG78jNFagHdl1eRXELFd+Z/6/7J3HsqPatm1/
5cWrswNvqggJafn0mbtCpGXimXj4+tvIc+++KzlLS3FUeoVXTYMkYLoxem+9Ldw7odvVGxUlJr47
Ocnm6OWF2uNlixezCo2qzPTlNtKXzt2JvqvgW6iWMtzIXrMq7Iu6VAJqNJbuMz1gQjAht9yu+EfI
M2ZTv4EkNKIQZhoYArfUk0c4GGO9syslvgc9Fzv7Gu3G31msFu5RmfPyZ2JzXD7YsZg/NFKJAEcB
H9LxMzbJsaMXVKLKz9IyAD6ku01YtgAUPUyETmC3Jc0GHx6CFpK5XRe7UVZ2fSPwcxfYxaFqBmME
UBo3rat+HNtO+9kQm/3DKqhD+N0ci0fD0pXP00BLd4VXJ7/oyxgL3qFc9jcjbmRr57QSpoLEkMIQ
cnurxyMh+l8lPQIziBWEyQewG+B8zBnnjJ9H+iT3uQnt08eruho8loiQiHGSU+pruW1iRcabNGNI
JkXTJ0GifC9wG35vUs/8Qq+ve1xs4Xyqmkb9XkZEQfmeaGt2PVjtZsYpDJggbzXyZbVGHaygjlWI
Py73vd05TZTipFAUk2pqbCWBOQzj6gFM8TXoVWFJJAam8U3YBZZoDoQjW7hZl5BE1O4xYvqF1pV3
7LFMkZrqLcVn62Osdsm7jve92eEcyt40GeVucMRq9DjB0iUQYG3M+uhgQLKJLB+/1NhLgbITzV4F
8xgtIjCLuriBu4Yx2vUgigYsgtnTSBWRRWf2KmuXZKJ70hb2koGHAfl7YZQ1Zhy2Sb/k0JefsyGO
friZimTXTmP3szv0PHwNVAghkhFMSl93KvtHLqyWXeRUzybtH1qIOBkm+/3S5PbXLu7jL0XHoPPL
tstiHDyt7A6WmqrC1+NFTLtEwaPoJ/QrRUCQyvC5KCP7M4eaxTp4AsSMggMLkB5gyXGEl+FjR67Y
Hgxq9avQVvptZraoKRllf1P0Mb5DucLZLVhv1+TjRcRBWhgyC/A9O8Nd7eIPYk0fRfPUul76eeAQ
UOIdz9JjoS1zHpgjltSTMwhwpRMm5XZVG2T5HkrDsOxQygOmFRhd6h0u4Lz39TpZtDvLmBYndHD2
drc0d+v60xxDDN4hVlKGt5MoPdBz41i+sxTgFA9oiCZ5bJSl440sTX1qOG1U2AsmvHNmpw272m4s
7RtIzBgPDOKT2Sp364mfjZkt59KC3C1TfZZ+j07YrPkaarx8yhK2lDfSqos5YkV340z4ZTxa46Gn
78yjL7IGynViCWEeYfEZUDIrZEx3HN5tnH1lAZE2Ztc4RMWTYs9jPe9A+ej6jswOC5N1noNIGHcF
u1aFBkIOMuwJfMKS3WF4VCISFWDCih/QqnPlUJRm6jxlDdnskFTX3+NGJUYs6O3MjCfVHdQ1DkRQ
Cu4Rp5YefW/PrRLQEHpDTLec+BVW4s4cZbJkmJ2Q/oxMPlBsFlYepEg8+4/LjLXsA8ijQj9A81aj
931a0P/wM2NJ7ANbEb0BstGmsvetonH1NwkYAd0BXWM19ttk4fCB50ZM7L2RUjisogjJWOoAkQJl
8pkhqxZUTIdYcdcKGyqEESuLgzc4Ntt7RVSivCtlM4z3rSOdDoYR/EQH39PEwfcUmY1UH3s0KRmO
DsuA4VEPkf5Ob2vXvi+aGLzqbMzDR08BpOdrWWTaPmZztjfuCNtAi1LT+DSKaf7Vas1Kj8wacF9O
IvX8WMbG+LnVMP/trckbbqU9Jy5mLiBYpKw0rIal2yrvFfbWk1+m6mJj6ytA7tlWp8d3qe20KhPl
vKi7ysvGEK6AYeyIANQ/i0UndLOBkKQdyXnMF+pJi1WfPBiT+o02SqECboMzsHcMbj7vV0SJt+4I
sGFhmiGgLcVU9Y+Y3SlxdVGK+xXXIjkCSaGY9U2Kjg1BsFfDKV2Lu/j3SjDa2JKbt6pVJMsRYF6h
72mOsbWftbx7msj0gNJ4mw5FbLJ0k9tOd2fAb1iOJttgGYnCCFA95G9HqrPfdfiHPxbOvfFnRZXJ
57xu4jdxRcgLzIIh6+BCts20WwYQNbo66OlTBKhW7i3wh6i8StAM/HSEhVgfWb1LXu2fDa+E8DVl
So5us8AKyei2c5hQ55yTt2s1sGCEgzTeNLqPFqtgSs6CBCKWDzi/fKLSxzduVUH8wiyt6qGAD+fu
FE67VOGBwz9qqQPvgATw+L3a2MWXhe0SUUisEApCqxrZoRSKYAjh9f+2OKkLp34SufSrNqKOMKhT
Yp50K3W/4/9EkkwbJwpgtWUzCM8M7kROtZ5FKS0ckJaGBkTt98H9PyqanS2F/VE+e7W09v9g0Wwt
dp2vmu1l/5U0nORr/n9CXJQ//yigrf/1XxU06mQmayiaQZwNa3WdUuq/KmjWX2scEKlFa/8SBdLa
Ef7vCprx1+9/zV+R50Zs3ArU/6eA9tdvtTtteVKdKK7RY/0PCmi/A27/t4DG91kVBTqbWOp1fMNt
j8GYolbhfEMcTaR6eygO0qBwtsDFE0VSfrY8cAtBPXnGPX0PXqepxxIaFpSPmnvYpaQVFTZJFL6O
RoOik2OR0xEBNfhctk6b4IFWJ7ACntJ/TypV+WpJS81vTZUNF2A3dQ1u1C2l3wNrc9+r5QweAaq0
2R3SRDSPxAN66y7KRUUUlQuS3xzWwiEyxXTiKKyXdz3LErEofUGK+LOn+UJBalPRNyh28tiwblDi
pr/8O/HnWV09NpfJqqGQkX0x3nBs6z9rWl+cJmDFd3mqaGHqEd1C7aSKP73+yX+WwngkfDK1dfSn
1NZ5wmsn6tknC0qAmHIVf4aouOvtunvg5HUp9/13zNPzB6+p60u3ltp0HLDsJP78FDiic9Pb2a6l
x0vehSPHERRvZr1RFW3OjJOVtuVw68AvyN4ogzq8SRWOaxjm6a9n+3Zc7AYpaF9nUCXmZt2ptRx6
70ylJb0FpwQOdngwBj1PztP1oaA9wBpcOr3pi7E1ux1Tr/NBwxtD1arpIJQvyjSZkIStIQ/6buys
QxcbfeAMs/kuqyvzx1znsgpUxKrATrLFyd/2ozZ9aaQjHjIh9F8wD+1k3a/Pyw2uFfUrfXU2j0Kf
h8bXtRmea+XiEYccWX9j25b/hKBJhCESdEPe4Bsz00CZJyVFLrcQTj8hloQEVxVs8dtmKOO95KD4
hR2RKfcLbIifLjThbsfWwdX32RIl0q/S1sG0Hueg6yvM5erRlHk7YxZRqycvzuEM5Ho1pHuz1rXP
ejtE0Y7zoyb8JB6qn0WvLxOiczm9W0qKMGFReyuWPEkFB8NUS7w13zHKbrN1qt+NC7CQwHEbbfZr
eJLwbCALTWxVv5kWSFg2WADhLrScNrphXA1sy5jV2DUxr6k0vP58d5SlSrK8/QFnp7qxZKO8GeBc
QIsA4xGM+eAvGD/9nh/8ZaQ24eeu8VCUuRqMMqvhK4j4+HvE/P816P9ir3o2eayNoT9aN/df8680
L/5Ye37/l/9ZfLy/dAcx2yqPQNBmMtX8a/HxvL+oVqPRpK8GuAWZwj+Lj/OX4aByUWnP0l1B9kzP
9L8XH/WvNU8IXghbFRynJHfp/8ni89sC+79zEGwxFPnAebcd/HIgQJfKuHFSuio5ktPD/itSlOKt
gyP/FrYUEAxOScon2OZ1wKaZHBvI19lpiV3tzbQo1Y3hdM2dkrLjhjFswVUwiinyRdfp92jz3K91
344noRY4fCIXGMesNeYClDzpktPoiCl4dttfWC1+K5te+imbadQrWjpk5hqkzSHHAtzm1j9b0hAG
yL8KbV+LZOhkh24ISiMZutZd3NRS360ZUCBgRF//rJLEBWlvc17pKWG4QDJhJRMMr+f3EVyeL9Qx
3Qdvmt2/edZ5KBKjtHeUrYuvZPSSII6wRH6Zx8499I6qfOoH17xbROZcsL6uvZEXfuHa6Hu+HI3I
f4imS61TJrycgpS7dN91syxAYae68i01qvyTtSyw2GCdUEApoppC9+u3989+8z8vyjajC1BzJ4mQ
WfBrLcoTkePaF+m1Ead4KS/JwddJ66Xft2khggecLJv1jJfLmL47xlx+SxpFfefMkNW8KpnyC7IO
nd3bi5+0mTZLQpxhvpvGKeHu/XIM4b5tokb90DW628L5c+ZjnfZkYtjqqLwh3o1OGDwS5ExNrH5w
Pal+0Ibe/TaSenB0mUuBsHSmlwLg0/vCJ0Rg3puVq/3QlGS8i2AhVxeew59bk/99DuvzebYlqVTq
B3EydOGSWGHpsbpq6oX49nOXXv/82aX7Zmz0CHJMyKnfj0V51LL6wpt77tIb8UfWNaVJmFsH/00+
aqp4S0jKlTeEDvfzb+0JaaTCkHxr8JMFGZNGxST9z2nihRnl3JdeX55n98Mx55iqA1fO8uQgFs7C
hM5cd+ntXIWG2zSLqgt1Rd3rhk0mwaW45DPf2tlMEhkehsVxxw6TnnrI5nTvpvOFYXPu0utG/dkN
gTqTFLg32tCTxhuhp5SYL0Vnn7v0ZuhTkukWuPtdiK33W5WnBInICybwMzOXsx3r0+iaKV3EcEU2
+na5AGcq9Lx9P8ky/nXV83Q2o3KNs9Kigs/oBOhQeI/S+2p4YxFcd/n1rj278Xk6aPbo8SYWs2dD
9G4Gf5RadeVj3QzO0nNzU8uyLqyhHS3uuO8aGV73xTeDs83Noh3qugvbSQ1iRKdUqOS76669GZ6t
PTZaPqUd/Lj2XVGjKsEMft2lN8MTXF05DoCJQ2NygkqNd63SXLjZ6wv9whq3lieeP8qFRrlBTBuT
SjbOnzDMa8cInvtHsifIoI6t9G0Mv+yCLefMqNqaLVG8VJlYGFUjwJNFiwnxvsSlOHfpzYA1e/wB
ehxzizjlUAUMNZFc97ZvzzQDA1SvvaYNBVxul8ZfUV955c0wLerI1JMG05VqOB87dfiMmu8/0qb/
sy5vnVazMCPH7eo2dERqHQyKzn5XReWJTABiyBzCTq56NbfGmFQfkgF2JXPwPEPNjdB+UKGYLryd
557qZrwKwvoK0+Op6lK8t6OfY6k8Xfe9N6M18mKX8BWk1lJvZrKUpk/FQCzedRffjNeafJxCdtyU
nAiKOq3DHCHaVZfeVuXgspVCq2UbNhZNggS2G4EES3zd/d6Cc7ReYHJy7Da0F/c2wzeWK95198Ta
DNCpws1q5euLYjkkkNpQNSu6+9fdlc2aKkbI11XVMZDorrl2H5Dtdd0u1NqM0TYW8TgMfRtaWvHR
k+Y3SixX3u31rX+2jMrW0stlmlrw0WTpuoDv9EskljMDxzI2l+5JiyZREWelouxr/Ys7X4J2nLvy
ZkiSlFYKCkdt6JbGCc/uvp3fXniI677thbVoiwUjN9KYSlyn4QDoLajIGPYBYS87mJL5G3U2vDui
+yTIoUESJJLRJn/UWpkenY7Cl9/OQ9YTRR1bn3t3cr+IAs9PTg06QAjtPFVOEQmah7XzVUSz8pYo
AvuowKn9oLZVt/NA+udWJoOJwuNpMWiyxJRIDw1paGE/SHGsRTKqfgLF6QfOpeLQZvN8HHVnDiaF
9pxiWKbrGyMMU61N+59JbrmlP7pUUf201p33k11W+wi1yFsFNmuHcVrp3updn5LcXtnjdTucbfFW
BTXaeAOLVRejL8rBozf2da+rudkqtAVyViNiJNQewNNKfbvywy48+pef/BaeZSyjYo/r6xolp0zP
A5v0m+uuvJl27Jyg0Bryc7gQKEMLuf8mHPW6e21uZh0Nzq6dOXkbplnp+RrEYd+L+nfXffHNvON0
5bS0iNoRBkW3lZncVHp03Zq91v6ezztEtBNZjaQx7Ppx2rWmS16ZBk37ui++mXoERMuyF4xiZ9H3
qT3fLm105WuymXtaViWPuh8Ps0dyoGg7PZ6uW1fNzX5AGNmEh0dvwz5299NkU62+tDj9zp9+YV7b
oniUwRukoaptOHmz+BotaEU8czYDsUTe+5y5APfy4g4PZOy0N0XKaQr/krzunhmbUTtBo136IWW+
Ftp4q6Jk2iuQ2q5bHY3NETxt69J0qG+y7fYCa7ob6ysH7havwZoryNXReCBtfqwWNC/xJU/qmSXM
2IzbpB8zC2ItLGAzobWo5UiJxitvyGbYRoWa9cie1msrj0mihkV7iex07mtvhi1JEORKR1UbksX1
lFcDPVnWlqsG7ZZ4W7RTo1nr154GFGnxjSZ/XnfhzZDFA7ksnTVyP7wJiWzhLxdLwOfux2bIAtov
I0RsLYHP9xKFnCEvtbPWF+GFAWts9u+apigQZc3uZETOsO9slwYbQqWDcIzpEeVFfN15WN+MTWxj
iyWIXmRstgbY2uENUvdLj3Rjg/3nCLi1XOtKWffkZjI2F+Q+mTMte2orEfU9hN1q3RU7nc79TVM2
zs00TM2ht0yA4rjZfpmetK9bbLYIl3oyzGJG1r4OiHuhlrmPLvTSbzzzCmxBvGSB015WWcmW3H6a
iu6p1sSFA/Rvf+oLL8GWNhFnfQM6hXWsQ41KnHKe5g/VRNa4YmfRIVl9R/5i15Js0bVzhHFkLwkq
O7lJ672T9tB8mUlyvJG1R46lantPjjKDxxy5FTKe5E418gqidqzfrWEStwUC0qsGM2zpzfpeKmNK
BmMTanWhEsWkRYHltZeYQC/fc21Lf2hmkjeyppehrbDDHFBgjuqFRXidJP/9lv8bMVobe92ba1eG
+KTdd+bUEldV2sZXpI9KcNV8tGXvzm6qS6fgqaKaC9jq+/3VL+Nm4wPDPe9phDHeOnc/e3/TBrjq
gcJA+fOBzonIOttiwSo6Y/KHGUes3nUX6tEvP0+0039eXIsVboOTcVRs7XviV97hvLjy0L+VypC+
k2OaZnw2c05YbVeGdmv/uOpJapvJM4+lnpqISUKWgBvSPrtdIVCBX3fxzb7GtAR6JExDp0ZW1Xuo
+ZCS6b1dmBO19TL//qJD0PnzngObLFL6cf1Jer0JUhBN3tArX2Z8aoeWRLsbbaKGFqWZetsXevuY
GFa1w6Gg7nq9nG/pL/WnLk3co0a+ze1gjDoeBTsl28fQrts3brVGnJNHdw2gO811Y4QqryCRIoTp
vH5/1x/60g3YbpOaMbJtjH3hvDjTzdBYGJaUrn7sLJfIUFJeFt+DSrC/7tPWV/9ZoaXQa6jWKSLL
BljxwwjQ/c5DHXk/a257L2xjbZGOziVMzpkB9Vsj8+zTZpHUSpPSvzCdyr3R+wFTHDrc4PXf8vIc
idjiz98S0XC1ByyMJ3Kp6lCqnXqKB7Uh3EmM317/iHM/YDMjCLUh5n5wtbBZLInbJPuRDJeI/eeu
vdlaWaPdrwRyymli/hUn9eeoyq5r6m7xAUo9kDdbcoQj4tdVf+rzdbdji3exvLmiN+ryrpbF3+wA
swc3qd3rZl91MxMACZvKue2NsGTkdl05+o4gJueqB6luNgJJMVo06DidFVV9S8mbjDP3utrHKl59
PqTSpWzqwRIIdcoOB49K0f/dkFhXNuq2GAFPnyK7mxdekxiPBIeqQNazfWEIbahe/+yMt1SbJifU
VlFTIzRyLz05Nodt1+3jPbhT7SbDQUTdsUu+EyI7vZPSTsKycZVbr6yVA/5nBY2jE92wVEZX7mPV
zaA2WhVvBjlzYZcgFbLJXETw0J1efwvOzBirZPj5o4oLnZVDT9uTaACq+iIe+jcOgewfXTPJP7z+
GWfmc3UzrAlzrgYM9M2p1NU8lPhh3q7727emMY97kxBH5Cd68+71D3t5DkF09ucPskjMxl8UG2t+
6Yd0GcOoyy5c+uWTH+Elf166nCxJI9fWQ0a4B04lNX1dTR+0JYn3pctMft0v2Ix6Q1+sJm9NPcwN
8xcmhyOtxatmwX8LWoj0Dh9MJ5rQc4fqpE5y2Y+ac4n797sg8O8LN/Eaf96gzMT4qmeLDKuJcBkC
uWzlQwFXYOfisyJgPNWbj16UGE8c+ZI7ZSA42CeU2yBN0TSeGqS5pW/ly7wy9NpfGhjGwwxo/AHX
jvrIGlweqB0WJ5fdEOwScSgg6u1oTctdnnYiPvRmKQ6LPRt3ferM96XtVQcTf8mn1prFLkX58EnN
NPXgeJktr5pGSS758zfXhGbKOY2bUJKCFupedhsJ/TqlCfLuPy9eNlayCDHJELlJ6o/k5Pp6RAz0
6y/a7x3lC89rq9GDCyHcuRHViV6wfZOhCN2nREbczk0uwnzOmRA8oZWLb8WYJX2o7/obJS6XPRmF
7W1UYXAKdLaW5R1y0MjXhaG1Ow/v8yG1S4yvr3/NMyN6C5pOTRir2BG6UFGx5nli1S5i176wVr08
AcLO/fMWm2SNjoqKq0kSMBb2yLX3ealXB9LbLkkFz/yArRxxGXPYAmSFhZKP2rdkbvpWW19CZJ+7
+ma66JIUtkEn9NCQafJWKF5/qynZpSrUy3O3ts2hQpvddkoR66GTeNMBy6LxRFALYYQy8tBvo8U3
Jnhprz/pM8/it/ng2ebYpA7uDaO3nHJeqk8Dev1bQounJxWN5YXH/fLhSnM3j1utElEnubacwECY
tzjlzY+FPqXvW9XMT/U4cTgfdAJ3tDi98Pqeu4PGny+YQ6zg0CWaemqbJQNlkI1t7BdTbexXTerN
XFTLe5ju8uLpdJ0cXhrVm1k47VsVGre9nCwLCDKB743pu6OanOQ4eGlAOzECCqODmjJoAfYDCY41
YZe7GnpoWJiLeetkHZgYL8qDCkc+NyP9Ocpa4KJOhmKvZkXxJR4hgFQ4Ux8Gp5bjQTXb9m7CH/mR
fBL7UR9aZ9y1Rd48eU0UP3YVetgmysm+q5Xsfu7isoXJgIkB+uJINDM5694MgE4kyd8wqKrAIATk
Ps2ji6Dwc09+M1FXChly2K55uVxGH6iMLP6FtZZMwDX3/W9GUXwqGw27AbFHP00jS+7tcSFUsPay
j8po10+CepNvR5hQyLGBDWbGnrKLsJD86vpium492fJa07rieGVztLbXwy/Nz/uy0OILu70zO5it
3lKodAZcxMCnXsbzvYFV8j42zO7v2iwp/eqZFbw+kM/MSc5mp9SQ46mk0dSfxgmAjSOjKZip91yo
BJ67+jrSnk0TVpdWbT/l/SnWTIIhIxy8OWLnOb1ujtiKMEc90z3oPv2p0hR9xiBtqg9d3WRvxLxM
u7wyqv20eDMlpdVZ/fodW7enLwzarSizHjtDxmXfn0rFyb4ZQPswa1cQbqaKSOuiyL3vWTuqGeiI
IrqdyUGuL3zyubu5/vmzuxkhL40qVutTrXp/T9K+V3q4Ba//qk3W2P8cpkgN+PPiXlFIMndFfxJt
EfWY9NLhtotk/t2s++IQkx8xBb3qRQGsMDXMCtu6X7p6/Np1ESKL17/EuR+ob74D21LTBRAVMlI/
w7adAtp6l/DTZxop/5bv40XuYMQYuk+jNCjsGtlt6sSNHtQugWo+hNP8iOWtuY0GHJH0usqAKBBE
X2VZZT65IeOFZebcZm4bA8GOl/jTXCvDouiUPf4DDe+xnNl2oyUJZnwwx7JK671Kj/xuskTkD4R3
HlpR6SH2AEKuxxg2k8LXpOnfBQVsZT935vhC8/PM4r4VkxqIDss6GcswdpvYj40uC0plhsCh5+aF
J71xmv3zum01pF3b1fpcJsNpjNjru1Grd0FOViJeiFJaNFQG98aAmfONSIR52kMn4oghBrHsq1bw
UPrBeNdMKIQuOSDODYDVl/V8dOVZPVqtoFs4yGT52die+IiPCrZs30xjYMbVWxKiQLXljI5ST+sY
lVBhNfAEYKhceDXOrHxbjWrZZlRjGjGfmu6zNraHLIJJU8+B63zTOyccu/JCy/LMVmebH4opsSWa
FBRAtiiEtff9Ia8z9aQJO95Vi0j2xKXHFybpc6/TZtqKF0fYtdtqRz2bu4N0l/EmXxRW7x7e4+sT
x5nVcitfXZaC+pvZgN2G2ruLI23xO939WOBxvaFDGu1f/5gz89M2WnNxqLx0S1WE6WzsnKnf1fGl
+ffcpTd7HiAmK62MSw/Quz3tNLlXHsq2bH+3J7V8Gc08NN2qOcFSy4LBW4wLb+yZF2krZEUpLIsh
mYExano9+pm9WsiSpjEfKMjPxzj3cJ0XTv3j9Sdwbt7YSlsFiCSjSGUe0n22wzYbnB/RNDYfbZud
y0SIGqg30qATwHWkF6DCOeWTkYbkrLXBgOMdRoInL80ZZ97srRgWXpMbW3YzhoqZ+E6Hk5hEnSm6
1O84ozgiOerPKWls52IRxBmGqmooBzGu227DbQbPnwqym3b1BIlNhdQB2oUUZYJrmuGXkNZ4qXt0
xsgJ//nPb5DPiCgomI5hPlZBSb6Z38+D3zpg2CNQ+vYjUfP7RpaP4P9OiCT3tK4OXrYgtIgC3Yl/
UQ4lCFq57dS9I2MO7Ng/o/Ye22igpzbm4uxCBf7ci7gOrGebI4hlcW5rVR4OJI4FmQXdb04TIDvW
mIAiUJf5wbWJwrtyv7SV5iaqMWQ1UKTQM3O3DcBaqd/10ai+K0vccYLEbLCLOs/6jsN6+aGNGgEA
tUin9kYb2ubCNP5bfvHCZnQFsT7/1TnEyCJVrSGcCaeBpODG6U2el2kAFTX9xrEnDmF/aSf0dsHi
9UHpLOHo0X0WpYyPTtbXZdDl7eQrpp7uQQSQ794nc+ybcSoPpVEbH7CIrw44jqLZ1EfCl14tP3bK
FL1LibF6gj+q/bSqbpLB60P8zBq4JTo3vM/uFAnKPHFbPKZF7RwMIEEt+IFluSPMzLpRzYgEXHsc
H17/yDPj2NzcRUUBidbZCoaWxa3RTdla6w84U2/jMpFvr/qMrSq6ruJKgVnchxLwBHEGjdynVWoG
2tx2x9c/4swquBUNS4UA6oaswNCWQxIIS+9Pi5Vnd84k1AdYicmFSXgdUi+8dFsFMcHVaplFAmJV
bH3tZjP+kkzS/XDVj9hqiIHZA8VpnCFUCyO5ibtykb7lVH2IcSp/Mtu5u/DQz/2KdSJ5NmFMRdQa
gu5r6DntgXywoM3S/eu/4dylN/O2VxbNEqVxEcI5DbKBVfBSyPeZR7zVtzILk7OgRF2YL050XPLc
uk+sKlZ9dbKUIzgg+1Jr/9zis5W7tlocxW2PJbgZ2gpeGCFIBEolE3CXod7PUeMEfVkd6VHcuPUn
scgrSxJbqWtEmlfkOU2BWmFST8lctsfSapfrns1W6hqZYyup15Q8dvmwyPxrqs5fr3rsW61rqViJ
bZdDGY5xa7BiTupNnzaXHsiZl2ord41lXdmVp3A4trR61+Sk8Y65+PT6Vz8zA/6mCD0bDFWqRmMi
OPLBKHHuFzNRd3FrWu8kRKm/X/8I+/fZ7oV5Yxt75ygjW3Gbc2+qFfRHFiMlNh1e7HyoUzs7CU+L
P0bw6PYAgsqHWqvT2yzuVyIeRo0AXuP4CXJE7ycfjJsUKlljKI9V1id+RSTI36qbdQcn8wrdB9yZ
+UaiuId8VLuf6SKWhyIa2VU7ffJVrQmJlbZqZH6rectPzBa0vJKUF2JvcAwvfbJy8YgYea8EEnbn
j3ROSSg1rOETofLTGz1WFMqoehq0pLgcuyaa011cSQk7h9D5uNezd33rsJS0+QKY9D5u5adoBiA5
DaN4dKeG7D2yTWc/66zkKE05aD5ly+WhXEyNF/L9sMwrmrHQaU2rrtd8SjyI574WzdltT/Jr7Y9W
qqoccmLlKCj/PnB0KHcRvJ8POQDAB2XJp3elWioE5Zhm6ffqbO4Fwl2QjeOgQqubigCqbfuBlrUI
vSpV+K1Fpj7Zuk6uSSXM9LEQcXpvAcA4Ri05Eb7SeuVuPRK79CLBXUD1aPXbpSGXxbcqxTh64xKd
OJQ7gVdmyTFOodztyridf+aZ0G+SIjernQdgyPLVNBnd3TAXnv3Gkh7k8akraLkspXzK59n8HsET
vi3UdS9ZYHW4n0boN7tMDuKDZRR5emCym0ra4LrNkkpCUmDD6k19RRDVvgNUE/lpK73PipPbt31q
il059YDhLWiqfqa7uu63hdPtPSszgn4U1ZFSUxa40hjfp5rMygN4KMrvBf4oCy4x2O6kLuWtSUR7
HXojcS/0EOu69JMyWgw/Iqs6C6y+T4pDSnzt+L7vNHP0FddkCmi1Cc00MXOgREU7v18bhG916oTO
7dj22vyGTBf9Z1QP7ldAnGxYS0exTpwJh4fcUQWfClskVMSQa3sLfUnqDw4n3X5SYrmLhdVoO+lk
mhaQGJP8Dcs1B1Hk5PUHRSrWvQvO+FjOdv1+mVqVeAWi5rVpqCADDoA7KWTbB6T0a2aq3XdmOHJg
/KrpUSv9IZ3JQCua0Q6qpQPGmjdExe2I/FatHShHSNhNC0xvYEwUtAwK6+hOsiWAR9FuO1jhgwHK
MrYAgwLUvxvxSe2qeuKU0NRUvoJkAqr2q9aLUlCHqHvfnrJJHMUyZ0HUmv2x7oxo3KVx2Rw8RYsH
+s4DHFxiK5PhMOdquWvTsT7Utjs9pH2eHAnBEkGd9d6hsKfxpuuN2T2ZdLDdIJeKZkM8T5UakKyb
PCaW6tx7pjT82rNbcKcKyUhzlaweI2/Ij5Pl5be9mJb6EGUauLOmyZLvidpFzUNZ46h+nFJl+AZl
fylDB6BWtx/d7Du0desml7ae3JMCUDa3uq1J9WPbeb/UIhVFULJKwMUZokkErZrYj1M1p0dlnPWf
EtDNY2Pa6aOl6+lutOyi8as5Bs4/6Mqs+WmfSNqSOMk/pl3WPFIOk2/4+s2PIXa7IVRo2b8bFS9/
b805MA/bBW7VFSAbVqp1gSBv1k5Vaudrl0neWGTqSJ+Ti/RJ1+XKS6JpHq/XJO5iBXqPLmftPe17
97Gqh3YfF/P0djA57lCVzP6LuzPrsVu5svRfafidBoMMTkC7HkieOedJUr4QKWWK8xScgvz19R1P
qOt2F7peGzYMXF+llMpDRuy99trr8x6xWKoozVPLgEFfZnHbusE96cBMaIe+i4deq3MlchV5+dRT
v3n9LavSVdxoPT/nSmQRWY/mI0Kmt8vRvkLZGc0UGrPhEtXFZ+BiyIW7uPT3gaGzL7MniNT3lftV
waj4hWeEMivN6p+i9TgDzFwWRPy6DRRym35T1PN9D9prn7hpW8d5lXL2k8jIpma6gU0zOnVWom12
fOj6Eixd+WjKpdm5vur2CqA6eY+wpHVY1urORu7xnP7qavTK7mbBVuJWzU6VxcknuJGI/aWxd822
EX85lXNyo6Q/fwZzpuKprTi0e4dA5TQx476QXh2OdpEuO+0TVGoMjhulpp7vB1NNR6vtmue2sAkW
djj5R8JHpb1vi7bWEUHeK+g8cjg5Crbymw+Z46WHRELOsdeaEenVANcJ421es25sGBlyIhI+lmQP
Y8V6VIgXu9jxQq0xgTKKnLMtv9Na9ylxlqn36iye+j3PyBlMebGKGsTYElLeXTMAcy45DPXGM5ln
9BiJU3kf1jSAMFgHozy1JangG9Dy2z7wbcLju/xt9GvNpTUbPVl3S/tqqqQ7+6vvdLFpbQPH4lQT
k9u2FhFx04TziNOyIpF+SrPswbFKt42nvDBI+84M/SCzhRHV5pA6yOom6OC0lFGzWMMdJF/v1lR8
x5nm6iSGWTa3G8Fy5Ko7AwiSzWZ/IhHBA/np8ykjJKoLTRBFVAC5vTOCTt0O6AihZNVKh2rumiZq
SAs/GG7hv+NewTFCxuyv1ZflLTkF+nueFtMZBn36ESSJfQiCQrz0G+CPxUkXnzXCgl0Grx/TEJCd
9WUqLz2vVmaRi6/bo6SueBoXEu1k1cs4IDYOGX+2D9r1unFf+W3zyghNHdxktI9JafR72Qr/AHzE
v8A6S0PfG7i2dW5HACRIPb6SIoVVtTC3+6b3H4Ngc0AgtJJnwyV8uTpCbCqJqyr9xfh0MdDFOkj1
eCiuvq9QOsqPc2qxR50G5avtJ92Hxut5SbN5fO7RUF45Uq2Ry040OiYUH0AC5yLHb5WXD1n7VTp2
f6xnbp/ZHEZiTq3iphjtMbaNlAhyL0jdm1LrxWZzJdHPME6VHcmBwx28RH/O+2p5XC1d7a0iS5Nd
k2r/axKlvZtMN/HPS7HUl6alJiPXOujTSJHbyLAbNEUXBSR2PI7Q38CclK55XxZm+9PoBuP7OPTe
0wggYS/IlT6pwWBBuDGsy5SwJx8u+cq4DuujepPke/lobAElFlmq6ztJTMwktkB7JM87zfxeWEG6
0x4p3ZSZUBDC1bO7PiJHyqESkP1DWq1jsmvnyTmoLljZglb9xVyS9Zirsry/Rvc1+1RKGAKWoZaQ
EOy0A3if6MPkueXZVfPb1Pp2fJ2WkhutvfamcbyCUO2xcX7CqMJYSvSe/BzTPrUjsA2OCOHCTHtT
0AnmYvFvDar511qyUjWZVvPaSwMUgZKp0e3LnkCpNPFITp9WcgH6jJVmEgU7Yv2HDv9G2Pkd69YD
uc8MNUEoWHE2JYV/1oBdis+JantPfYXI1FatcVlco3ZCcgyKNWxZ7K7CQm4Hyzba4DDwdrWRZRdF
fRgNO4hAS4p6NwWi2HCC5dmtFyh9KBi78IAWWTOHgT07Zwx8zS/DUUhobmf8zKFPAJ6oMipZgxzw
W2KfjNjIvHKOKDzzPLQN0Uc1kSdx7fgViAcsa0OYJxWNDAtx/cLt5gwus+1s3rHrizMTrKp4JbPf
+Uw7QtmC0R+vds1+ebji7V+LfrXqeNQttY2mVN9aabLijbp6lhB/QLZILJEa059XEQa5G2e3ubEM
YX8z15FQS8463OijedvzyfqhOWYByW+lDSyIMSfLoQ3epWiay9Lbp9aKvw5QRHoM6kXcN1VWHqbN
36f+UH5VaukPy6qTO+pP3iQFQN4p1y9S/3TwhAHblUe7G5R97NLB/ViTqZuitdPCOoyFNKEUd0YP
2mQrBD8+My/virzr2E5lSL3wSjqeuc8atupbWu9joFkhy4wmxWGSd8Mc0gduFtVaJow7PY11epdW
ImocUqx2K/XTsguC3sHNx3bzuB+m8WLVXq8O7NxtvxwHuMX+v28gBSmt/155+tf9Rl+PVs9Lkh1X
4vbraN3a6tIwvb3LVT7tc+Gtu2m0pjOJz/77RDi+HfXtNJ8YRYx7O8vpeQZee8/bNGnX/dAdjOG6
2U+6NDOCKqvbsC8AO9Pa6JluY00LntZy9dRebEZ1yw9kMY8WEeJ1ZCcpM8CSbPcbFvTAQHpVBZvK
Jm92ZyXEWOwxyBcPedl2P0tC4m+DbpFGaLRwGMJskEZJ32rhM7LHbXqx4Ea8ZYlOy7gyfBW33ADv
3aADQs6HbTk1ZV/jkPTl9wRWwiMv3nTTDPQGRO1jARqFXngJZ8u/mbRbbsQhIhNFDqcoGXKruxbn
bNkMDndRcjG6SMFlYVePGAiC1wqS5YvBCfOyuEl2BDC9Lbue2G3qfOJVilgkDg+X5/an2lLZLQP/
awXa1b1LPmnGz7i8/toWMf9773Y2MBtd699Qa4LfJD0uSchen3tj5dLzbhN2Ki7tIoZ3FmSsNcqD
Vp5Wx1qfpszi8El7CtowCByd7GyIuh92sVnHqs3NH4qZznfyyseTWjwr2xPy37xqNYh3a7boWXMv
30Mm7e8lB10eg2wmV5iTYSkxR/Z5iKnprHrfScN+2ArFsGpc3hq/DR5Hx17faJHfkoU95Tj1yvJX
0M/OqfdH+7X2J3lXDLAEttyGUm9ULQyFdpUuI3vVJS/L6jpp5HMe3+qqMJmCOICOQ4oxRbG7yFOf
BnYVWXg3qrDdOtTY2hwvPvTHZ9O1iaZnl+22okcZwswRhRONPW1+3JITjLpxzQAn6D91zf0SzM0F
ixgDFoqCH86YFd9W/5oAbyau955U9mhH4JbGT0SBlm44R6w7IebjhKmDynjzjNEhiTezPRy7HXym
0JW+LC6WnMuDjfC6xtNkJq/GaFEjEdw33c0Mz5Zw7eEvAlMbBtrl1iSOFvGjnjCE2fp7YjrVY5+X
4tJWtTrrkl8W6sDp7w22dC5XlFUaWfng1TuvnuR77wnC5S0eciv0UiO9y0aj5LMvdHJxiFc/JYYj
H2ypSydS5bxgxiPX8x4Tj3oGySCOSlj6JhW2d09eV/6KS9ifuFBaXrCOeOPTUhjefpBe/qhyasN4
prv9QTBbdee5ZHmW1H4IF4P/01uK9tksliSy5rV69xobjBaRX80LKxfdjnRVFY8Qo6ZQ4XwjNIrZ
QM4Ww1AkIanBcDhg8XSPPi7EX6zzJBcG0XkRq6QZbgKq5/O89jWlaVcd1eAR1wt16FeQBMmL03cj
akC3BbspW+1TmfsC+EVXixc9yQkGUb69caRClCME9DuhA953bufhzbLl1kNzaQnMbIxkYFazWHdG
UAAN7WAlD+AltjGewUgcDbo5azdx7QasvjbZT1A1/R7Wab/nJBdLLGppGWGdNtZvOx3mNzyGjh33
vfDfNPC0JBo6Fo6JeZ1/OkXlAJVm2L6rB/Kfw9br128aVkqKwQqJhhj74Fuw9frL7wUNPnwRN9rW
VNyN1mh9anMewnW8UrIq15+b/ch00ebCptX3dBK85nCofgXTWF2IbHFzwlz65qW1IK+39lRRM2l1
53WA9mQ3L3wnSx78dAaAeEr5+Vlto7dnuY8SuPAlQpdqquTLMUGCEVC2jAAGSlEBt+dO3XVOI8kt
JpjqiT1MSgWi8PRvnRnusRPDRK9Qyl2PBP5XSN5roXNPxdY65m8Spb3YcQyuNwZhWQm1po04kgBY
ZcnKznt6CmMaDEhYUEAOiQmbisavBopCNtui9vjd/dsCblZ+6Gi9ht2MUvCqAm0dAXdRg5QKZoNv
NbRaTrIC66KYK26sVGxfI9iJt3LoHYSe5srILIvhWQ41J1y2iZVfKhL9mtWwgoZ+3G61TFgy9XS1
nma7Jk6U+QlE+5HaA6BM2t0j2OQ31uI6RUiGjtfFYNAqd0cGiv1SV5oLbqlzzU3ljLWIi6VNCb1g
ynolWtXureXO2z5vs+TMelLz05tKNxJmY6oLhyHEpnx0bREnyBcHSGktgLIhtY9+Y4zPTV+2bYhD
wz8ubqA33Oit/VBKue1x1Mj7pvHqU9UN6FMtFEg3NFclvrcWHhhQDg16Vhms4coaWsReQnL0WJI/
2ZltPc1dWd40eTuQr2fWJ6Bt0N38LL/Z1sU9rlnS7d2mrPCNm+VpnYH0qMns7tVsimM2dl2JmCm9
j6pn7M07UK07VIAVw8GIkXb0e5p7vVUb9UPbctz4WNBhGNVxmgfeeYPRHi2GVLFaGtSQvtmehVt3
r1psXJql4yfh6ubZe+FOVk5zz4M8TVba3kP8RF7IptpkqdwV+X6wez8/EZTS3HGpsdwoqG8Q4JjM
Fjsn0wHh9KqyPtxgrM+96cszeUrT2YMKTdm+pVWEhG5/b3x+gzYh0zuEjLHGpLI7MuJD0/WehATq
6BoAYDpv9R0Q9w2B17Nec6JLEEhJMO9iHsXg1PNsfq+dgCqjZd59Z5S9IcO57ct9icX2q0qu7JWR
3sjcxPY4ZJZ3oinLeZwFgetR4GzrCTcoCKe+nPFmlIv0MLyx3kfb1t+pToCQW7Z03xuD+Jz7JX8o
DH85r26FVN1BsLkveUd/KCTjaEsx9njYr/abPTUnWVfTyknFrqM2N4KelE//zmbxyawrG3iVbR5H
ApZpds1xN/Ykz2fGzKKefQXprH1+IDIh+DbxPT2r1h+eAwvqrWeZ1veGucuR0Jd+52rODcB6H35R
+q9Vb7bEUVcwVXBDyCSCgGQ+Dao379pgE1HW+erMjc2tBt+d4qOv5NTGsrOWj80RxoPKuzXfVWz3
7NogTWImIzl0Pp0HP2YPN0u0gaOBNrfJZOciAtbk5C+99ZS7xTi9kHc/0X4kJtyadfW8U+IU6xob
nZNBXjHHVAJU8GdKRhCYxcF3tPDAsU36NKnGIuWoboV9lsuoPlpPGt2zp738kE2qBht1/ejrpUnd
WFd9xT3XZHoOMyloUmbgd88TQCswcilN6Gtg2Pa0gxox5zu7gs/H/gc0Nmecdr5I5HOboX6JLeu3
0JRBflP6QbOHi0phA1JZ+NQfDlrChi0sRItvf9itmPeJNRu3VALiWTc+lDsktt3g93pHeTbFPlrA
be1l5s3a5VcmUxZ8n7wU/ADf3jGv0a09VeijRIxEIsjrXyxZe1HWNPVTNfX+feWP/UFsdfltpU8c
qNdU97pO5fBQwqn95lnoPQZ5EIfactU3IK7PBnX83hoy59SJHG+J4C45S93PHz20zUevL+4yQDrv
1siRg1plRIWYs/dJt0x1+mXdG9u8flcug23ZoTJCrMmSey/3N0Bwg8+IZZqtk1RW+spsJngVY9fs
BxakDiyYsfzldau8ZWqAjcklATYP5Vyvj6Wj5Gc6yv6747uqDY0x27i9CUbe1YBcX7eFDb5Cp+0X
wvuVILVOTruzJwYFuZqce7e5PhcKEcQIQQ0BXxiJFrlvmHzcQifKnV07Bt0jsCTfR/0z+rOXWSYK
DqYTDsFU6PNmWNaZtnq6YzMwuwkGjDHYk3SDxBMYikyUpXwQuek/MSZILjWrTHRNqfCfWr0EJ+kQ
AF+JMvvWaEtDx0mGHSg/hTwnpj1YORtC0mrrV/Y3hxDVIXtrDdWfJ0PMO64gHP7dIM81Es8n/98Q
o4PUD5VbB7dunw2xVFkfE0ZffKapkyCOuEXspT6L9lOanjKe28Nol6yRMFwtQzfvnLM9T9mlN+uA
Mi8B9VDpfLvtag6QKFuD7s5DkN5CrrkSbZWPZNcxUqt3mkwE1vw3e4uMGWFiMDs4sElmnjs16mOj
AvemWTtxU6icdQ3lzyefWOzn3MlJU/Eyhgjcl6r80UFdYQZZJt1pGlx2/hg3LAwnKCgembWRzAna
kPBYtciwq4uBRoZBwh4pwftwwIXutqX1HjS2vwDLVgnZkmh9tRCmWDSf+WB4zIM41rMsaX4sDEmP
BsbbOEM526A09sSMrF6VE3pXzIZg4c8K3tFf3NvU27p4nDXj+EQzqQH72eIDG8z1gDRSfmuDAKCY
9HsVL55bkA5bewejLO3vJOnxUGxVgeeFR1jseRaBgo01MojEuFlFlM/6rU+vM0Q4SMY5yEyKJ7ms
w6PPT+++64x814OoPCxyyj5ouovXCSrkd19P+S/hJBxNCOVL3GSMGBG5dXMrC6vn4angtQdr4tzC
3y12W5NbhOSOyfM6a9aCO8ruEO5XcxjXTu7kuvKC4XWIuZDyIzBN9zePYHOqtwbnFLTKg8XzcEmR
RXeL7fdGBF3ZimSyri99YI03QyagWyaKmUGUb4E6UIa+03XO17CeLaNy9MwzPHWPjg05K/XblWLP
KOC0JOttXYy8mqNI2mMm6rKkRxX+nRoX0YdtPYlbWq7qsI11sMfcKM6k1Kzv6yCDd8/SI2+SW0Nn
4cnvBDSCVf+AbxK4O4O/3H3ukR9E49Ts7Nxe7tRisYhpD1Z1Krkv/F2d1uOjD3E4NMU0QX53gqeC
FcnTIm3uCjgIt5JolAvJmep20YM+M6mrX3tIZWFbslXIjNfdW+J6Y5BSFKosE5GpM+Lry7zlDO8Z
9FvbegCamB4svzLfUq5d5vkOtEJJKE8QjgI5/8rWWt4D1JfPkrAMchc7EHWF16RHfxX6VKNq92Fj
UJRNPnBYpHjxAN8vDymemlhwPZ1ZLc6Omr/MA0zojkJxLvPDOiX2paB/xMVW0SLVugrOjuIsYxif
nlYEsAcD+5sVGv3WvTdlaT6mYyLO5B2LU2WK8TaBd3nvOIX6rJp2KW6Gbp1xJbijPI62ct/KqR5/
gFaxfi6qGPajk7JD64/rNzBLpX2ZRJCLfb0OJlC+optvOdxRTqTkYi4wJGg+jx/aIlvhMCSO4PPg
u1V7B7P817wOhMuBqsLN1/PmVIFzje2uguWlroM6HhodNEeDqE1knnp+2jLPFyHSnAIqPZPI6Dr+
ZSwncVKyNXYJqd9nplDLD9tLqn1nsII7moVGJ5DGPhlxKibkwP0Ck8DwXIlA7RiHtbHbWclv7STA
pMCHfrWAagNGJkaLyjb7+7kthRXpYZ72qz3LX9Kem6M9VtOtbOaU2rpr7fe2cKxdw5j1QSxuw4KW
UtZdg1BzND3LuMmmWd/RFXSEdknU7kwF4z3WSagZ/mr0bxMpOjzlq28cVW64h0mky40JWLEKF9HY
0Za35T0rb+m0y4E/8VgBT+mQ0hkQh3Xdtl2ozXGGS5QrRmN1Z7ffOP7YXOYKO9VutQHq7JAwyBJs
n3FdiNgBnwfHITdomXvfjrjn3VdsE8D9UuIjUbRWxhEr3/1zEsj6yUGPvevrzoQatDmPdlAUzB2q
9EwBmJ8ZyWU7Pr3y1SVCcNwLx3paZTnwAFT1+sThN5yoQwPkSVF+btPYhRKfRTQxe2TNaavEk8Gm
0VPptPln2tTy0rO08Kucrqq3ozfneYSKh6Cbdnsw336IpJd8ElLxM/UUQG1zpu6tJwZ4lBG7MRsS
1PXavr680wHOL5MA0OeUTnO556lGASzqIc5FZ+3pkenbiqJZKeWa9I013MCPtD8yy0+K5YXMZP3Q
w75kfdbB8qKmyjySwGXFlk+ih8FLhGuD6f2h9JYxDsq6ulOGC7zQ88snTTopKrwrC+aGer7M2Sie
cwLBkyirpRP1Av0+L/z8Ja/r5a4y3av1tkOPBx0bPLmWRrNp0m0HgxI+rjIRcEHHdBycZGl/Cdf3
TjPIU5jGG3lMlzUok7Dl/N9YOu+GGHgvzPClRH8RYiXEhuyt8chhl5m0bWZNhGdizLd14xJgOyxu
arLmZXmvLtPCV6wlyR19gTVDUjS+Jca47O2kMY6IfcvRTjLbhmXbF+cCOZKLow30mw6W8hu4P+PU
dgLiGtEVN0J5zp3fsFgGSWqsdqmbJoCX+THUh6YccrCMbl6+c6i6w5M1JXUeL24RHEyLy/iKa2vs
n41KVVyZLQPShlzccbMGBLGZFKeorrrFjNXY/vSLfpZhybjh4Nhb8uIuWKPuRwiusZiXfHixyQUI
9hnlWxGx/FU0h7lbHb5GwExOn/kz9G8P3T+2aY5nbA387eLRD1Ju3C3/ZnEKp3tK5fGXwJBzLwwX
1aXl9STwwVvA8DKfrrK3kcy8WwI0i1BJY44a9h5DllXBK3K5Rpio+xMYO/viMiXjk4a6yYhfLreG
crIIQqXr7HpAfPVxS0rIWRSrulwgYFpekp6uHxjc6oQXNmZKRgdNT0MYQQltNGQFJr3tHeBzT8LO
29ek76os9lQWNDFLHqzfZG2hqjAgzuCTWmsyqTDUqk7WhFDAvLJEYp4BV3Kp1p7NL1cLRdCauasR
bdT0EyQgtrisok5ewfDlCz4d11kOrqmb5Zz2ZdqGcGRr471Fnzkqi5E29/D8iY9Hej+agulAmAUd
2N+pzp2CGy+dxoifk5QHRhDer341fXNHPm6JvGC11XYQFjb3TWWTjPNNWfcbYyFUlDIz19DtUrkb
pVQX7ZTuh+UMDIUaA9J0aG+ALBIcRY8lmL6XoW5xmGSYmmwH7Je3TOu59lkwlsHV+9GiHkY+RxjV
vhwA5SnUO+CvNelgVWqKg+m7kMLsrGhqRO1k3ptFyooCK3j4bJrlBx+Yv1eTss/1ddeox3b9c1lH
9tlsJLO7xFtkcqTc1eaulnP/A/V0/ELnbX7kqes8O6atrLDAV3VhpIMtrhw4tTvD2WI1pRTo+MOd
6q7Ktf7dSx0cW0QZtHHyLn7m5kaxP1hpdlCDZcI5LId4QKTjUvbT4FDwYL8HJF720RwYMi6Sbnpn
Za28z7B0PfMoZ3dDVZo/rLn1w9bW+tZKnPVe2NoFL7CsKoZJRS8CgP3ZNwYj4uZwf1djuu1l0fbc
va35srXbtOf915HtFtaNpLz9kuNVWfJ8s/7W+evEQ8XUmh8t6qqXNv4ZqNf8yyhzhtFDNjJlRiLw
xpKJctJ27RHTTP8xY8O5GEMxXqSf/WYGldysJD+IkDFn+p39HJnhZin8KhrzEhaCWXjOR+c8yPJo
NCQHWA6kEYanCo6fW/OXEN0FjSA4KziN9b6eIcOj3LQFLiEnTS+sfmyfi5+tTCEFaypI6s8D0K6b
Ggv6pzMZ9Q/JqJFg7rxTczRjgw8FE5qL4hHZU0Tnu9kwgkdewOCp7arkvp/kEE0UeHu9iiau1Ip8
TS43SNaB1hESYae8l6DoiofOaJuPxahQQLcE0rCdjO1jRX8io4X9Mvtv1vr/EYjupa357//+A9D0
r4TOX/j3FV6j8T8OX+3dR/01/Osv+sPXDP/x13+dfrVX7Nsf/mHXjPh1HqcvtT59DUwP/0EAvf7K
/9d/+XeQ3Mvaff3lT7/aCcYxv1uKjgi79K9/wOnzL3+6LrH9E1v0f/Dn4iL/iX0o/9ev+Bt+Ttqw
Tz04pRDPBTWKjVf5b/g5Kf7swaUzfaB0geVQaP4TPyesP3vCtG2waS5kVPe62vV3/Jww/xwIxyMK
yKf4IaFF/k/oc380Snu2zZgerdJz+J0kTOt/iWQJWiPFbehZYQ9U5AiNc4wLrw4O/+Xn8fA32/L/
atAMWpSf4S9/+rd/im+b7pWXKEEn/nGNgCSPLVio+0K/lOtNylT8rRKcTP/9nyL+ZQPLs+mxhGVR
KDke4Y5ITn/8c6oZLBxCPZ5hHJpoRtxCIu6w5T2w4ecP6OueRPnxFTWktLwo7caCxlfOOJDwNqJc
w4B/adYld3e1yXrU7Zykln3uS7IWIGAr7e2b0rOXXd60+Ryz1x3QwyEZEuJyXSWRhUjy47bp6SC8
TWaMSUexTh1XRuvxrcwDu0TmlDhPOTYkdmeCzk5YGyBPBXKlBF3cNk5zNKfZG2Mvb1yxY2fP/iXh
dPpHqUdx8BIba3TlY00LcVUV9/CblY2rZNGXxbOdJwfBLL83W22+rZYF9xmOS/k6z3XADQh04E4y
H6j2DGLZFjaKmiRkAB51vVsmE7az1Avnvgocn6uSDSk/Ljaz9RCnfbPbKcXpjstXw289csQnb80y
zn7kcLb7hw7PYLfLKzxdh6l2FQD5JAegium/xMkHtB2zWEMXCf1hG28Wp5byQ7YOjZk7jFylhHt0
F1K8JZz41lsfWBvG2SnUgjRSBYyWEJxXTEQqbfqPokuCj6EL9GuDEfH3XNsuK+rpWL2ns1W95+bk
/ALZYv9msOc0Pwwv2fqow5MsdqIB/IiMQnEUOgXt7FFsYgG/5C9dcezwHBVPgTt2mr9YBYs+7f0B
g1KhlR/WQndlLAWzifcRZG8TM8QiF475nST7CzCSdTADBiPsz5MQgDg0wXh3TF3ok3KTOd9LwJNe
ZKfFaCJeUCN89yd/xJLnlE137Iniune29O8kov/Rsfz/J6P6up/yfz+e8VpOaHb/9XS+fsHfTmfb
/LMvYYJeCa6Uuhwh/zidreDPODehQXuOGVBuXu+Av5OpDevPZLzzFSanjemZHDr/PJ4NCZo6sEXg
W6bkPw5riP+4mP5+UnKngQTnSvs3Jye00T/YeByaLb4xwUSM/+VQ47j/wwpWoabcMO3uDYXBfGSq
ifRg8GZiWjhrzoRsreQ5c2kLFu78HqECTxLNjG2hdo4lY5FnUgC0vTLwLeNxrQI8Bit5MXwBSa++
8TRuz92q96aqz2194Si4wQ109Zin4pudnhkWCuOjGt2jhWWPRnfE/DAbb6347GYRj9ult46NZ0fO
8NPo1WViYkDyjCQoRag+Ymtm3Cve/kyMO88vMKslse36X4miphZL6E9YxkvfbguiQwsjUozs+vS+
qOxgJ0ktqWQRBrUTucWd9tWTsz3lbK3Q3aXPWYo2OC/nfjbOlHHY3oLImXuLwQNDx3oc434ibJzo
cRleBawsnw+J6o/GOB0UxjWPreHMMS89mkIyv8/erOJ0oc01AiNmy/+zrf24GYvbRd62phU1ipR0
iviU6SZLcRDb7Ok8zHz/LPUWmROJJo0zENJdwSCF/Zcl92OGMZFprbtl/G20WezXvxm17eTWHloF
zvIzs9nycfsyXLYAzzg+ANHj7p3Gq7o1RkU53ZaO+7pp1z3a18Zfm366DxhGB821CMXXN2Vf2bCE
HEkYBdhOLb3iDeF5f10IxQeLIOhTTa4MVAwLazlTdazORXo26htLfpTaAcZ1BXpYxo+t/lmQXo/+
vQTtaV5wlbL2WXEGWz+TCQN/ZebTBVb4cDcxLLUb520SYF5dJwo4ffG5I6bVEbqo+dIz8vfS5E00
xE/niFmZ883Nt0M7LHf1RFBiKL3hvDrbQzBu2SH3ca2KnB/+qUpJoa9S56KlFtexoH2LTEaW1bIn
/STWgmSlrb+0YsIOM331CYznrcVT4zY7s+1ONg9pn6nfosDV5NcHGdTs/eR70eNU7KRQkeFojf0b
6xNTMrcqzgu5xIwyYi/BpxWVyjgY3hTV0iuIeUkPYl4jA8Ll2PhM0c0dn3LEhgTJU0usFavCrEEt
wEW28nEKarjxzN01qBzfXw9Gh9lN5veJV+y8cqY5EI+WtCOT3O98CU1E5ihlDmEMtz5cVHNpIuU7
RyvF3OAZZ5aTosLG8Zbvm+HX0L4M3i4z35JMhxaS6JpUOwSX4EEEQ3PCXhOVTFfW1fhP9s6kSW4c
TaL/Ze4sA8H9ymCsue8pXWjKVIr7BnD/9fOiqsemlK0pWd/H+tZlEhURJAH45/78glFvOOTBph6+
zqRP3PoOFego0577VGyZ87c3VsWopOZUMovpfpgd5n3Njd2aLFeKcz/HG3IGceiL+6l5iTPjdNbt
sbhEWESjgCHiTpAowX7jCzx4PEoabdSbfhjrSyZe5WSGZRt3d1NVRC0Vk7BTpx3aZT0fe+cen0O6
qSp72PXDnZkPoRDVTvanmePj0OXHVd81PPzZqProTOXL5+qQpSDAPIBcyTZj/ospYNOt8EeW4q33
mDVP7rjBIBjKjL1KyuOeu0erVWFbGLdN8cWlHz1Osk3J8W4YH+c4e40dngZ/rbmr3mooX97ELWLh
l+nncJnf+rbaIBNuq5QnzTF9VCsdxvKpmnpskLDGsNIv3bSZ14/Y+FGTHBgJsrbO/QhZs8/v8jzm
FXE9OllwsVrmq8Ncy4FCNprJGxXz7OT0U+Piz+k8sXWM4rJyeozwpxRz/tylbGiW9OTb0y2pmk3M
7VL1EzPMtGZUneaH0bZ35TKNEbvveZfGvADXOBxwo/R4M2mt79eXwP8WGEM4TXzDab1rTLHlvgu2
iRhRFBqSQ7Nt2mh0RbzxqvGHp9YTgvXlOj+I9EiFoRhs/w6jwqPuiUwn6ktre/uUVF1xrngmVOce
S0wO4HaSYL30KZmOpJ1eg3vsr3sG1EiZWfmG/nFrSOQPL+huOWN8HXlqOU/cCQ66oeWKL5q1RtXF
/BXXUr4x6sC8TAq97cZkH1hNwhScqEffpDdV5dxJ5Ya149gLHyxjz1hcK9T6r0EuNqIzj3Glr6bV
jVpHuUzRsvEaRRtHPPOIUyGHXbf2glShOWCJrDkXJ/q+q5jFLIpYZC+8c/JHYMbO9ehcWm06v8A9
0vskKNWTVZsbhLAeC4qhP0Yg2y+m0MVBMd4MR1fbGK5l8apqdDS7ak8xm78oqeOoj0t7O5IT3Oup
osArMPEejAe789+r1kwQJFRydNlnb/IpAMORD8OpHL3hic11H/lqRdb0eRPhox+ZgPXc8KP/kpIs
IZdKcXCQPetJbxyMf7vAm+6cMuCJTK+62XyKjZgcH1ovUi6jU998xpkVTsq+15mb7Au13uKtnI4w
T6nztF/qVMTIgIjFu7m/SJL2hy3waOPXrN/MrvVOicZZweFiMDc6DvCqc2OtTANEwvOUmk/SiU/F
OFww9z7MwfrSKxSfdX7P+sKP+AT2Tmbzhg6OY+C1R7NHSNY1P7A3VFFXZ1ubRWljOQYNej0twGC3
or5LX0Q9vTaOfGllu00KhfWzJqdSdbdVq3ZGo1+UN+1TzikRQjd+NFNgEa+7Q5PckJ6MStZ+7WEN
LZOwhcQYuk43pRvbQIGGu5bmKO9ZZvQHrCUI0QNeRdf/URF2uCjbWkei6evnNiY2i69tJvqqra05
GBoaGAcU1tU+s8Chc5y5w8xPb7ut7ZvS4+yxK7LUySIG1cNjbTfp1s6z5KtrdwSRjFqRTmxTmxwF
Sm3oNuwaWqy+ZYiW3B7bzJsip128jTu08raOkfndLNdX9VR4e2UvNiPgAkJXO6fDc9y6dnpk3Nbe
YUoGmqitnMV/Ga3sgDTeA5klIb12hQplmXglr1A/JarBbKKmgr4JTp7ByZhfAjJJOOiiOhUdzxGo
aMO74KnWVHL73hebOVMY6Kq/tDkUDbzCtPO1FmnjRaW/Zm9IGGrndsaAJc2Jt+PQ9yJKu9iEbRu0
I3MP1teTP/blJeXxHnvFoj/yTnTAKCfLrsCB++epkVW0WPaVUawXvZUkd3Ji4eBcXV8ZPQfnwn5X
wSOTkgsMkevzUBfLkeBBu1sKk7gWjJ1La46nB0On8xfMovraTVmQpjy2ooBE89bX2r1jaORfBXpu
7vinxNhT5nuvjMeowmmcMZh8LhYzOOZB6YcO9lzNGHZZ34dJZvvS9I4tMa8oqPz4lsVYwCGzdJTP
Vsx+UFAvaRnXAwm6txpy23PqNc2lM/Uujx7Og2HxuV6NCTRqNFMv0q9by87TJ+3RYJ613T7AilAG
1rYwSoKzFkYUy/G7k6hrFRlO8ZSU6mUxDbg+cUJ208VsmqutdnLzq9euzSkpZbZVkMMejbVovlUy
cJ4zW5PAaYrpoAU75dLECBIPS7wjZ+E+eTVAYmNq5CFwY3Kz3YQVX8FWPzJQTKHXJHfkuBziukN8
ZatuuGisMb+3S/c9a2KKdvqXiZNu5t+tnf6SJo8M5aatoEPlqkhbrMdZwxbO9A6xMx1jYnc3SCnF
1p7Gx8xnhNkpPfCMBumlPduPRg9YbhXdlRFPHIBiP9tgZwjrMcs+OmzMm5rBZEjS8lJ2M+60eYMI
9efeEHwLXy5TI33JaGizltk7Fe4tO3T31Ry853w8j/Dmfjfmzu2Ze3ByR/syL36U/JbRUmb3ca77
W0EgNYzzrI6YbhbbPFlfHEO+1CTsGPsl+UWfEjGW6BPJGNyXPoAwkTA4W7EiWtOd64iXGpGpt7Q+
9XrgdEAEKDFruQ86/YS/8ktzPrdIDin46k+m7Cg8ZTriYv+6Gt2ZY0hQc2AK7HmOUo8bxQ1OvvbK
B16mbIqVue4aoyKEPA8UORryOclmdVVltjz2pGryWy/QbbRy337k9DBFVhrHR2UY3jml7l/NMZy5
neE03ZFF1slCFQcTKShHXxXlMFwXWYaiM1Y5btSuKXgycP4ANKmjRHmDJuRUeSEFTAwH3HRktBcg
slR9Rpoi9St5iYcHPEYjNAHcaSamWLYNUzju72hSTfqm+45v20pP7ULY5LIfyyxcaxsjbTOpAx0T
8bCDveZkFy4cHns9OHjCXw2xUkRkjHt3MT9y0e6p6vGiIqVxsjXdLxyKMfev87ekKUf8pknwF3f0
/xWV/5IOMsP/Lamg22dvGcSP/5XI//wTf2kq0vmDrLZnCSRlgbocIPf+pXibKN6WiydU+A5sanHm
Fv2PpmK6fwSuLUwhqcnBK++ihv9L8jakz38LbMt3HOk7GPGd/0RT+Znf4TP5PP/P9QMU4gAS5xla
+jeORyv5Ry+SvCnFVeadnvuv2sTxR95T/iaFhVb/k3rDtVzPC9hvWRa6N2ihT+qN7pQJuT/rQlEi
HRoDp3JoG3DicQAw8cIkxhm+ZM/W2YN7LcYypWNrnh5ocK2/tb2FK1lMvA5hxh/9yinY8GN2yyWP
eklENmBYfGjb+SVrAuuksdTfgvvtIyQqeQuF0f5iLYn/0PjNNdE05kOE9VkXxo9FjU2IfdV6zwwS
FbxyX5GyKS4imnTeaJOkwfgRE4m1DT9zKb9ySV3TOjbKrv+ILexNBMK8N99J9T4LzqMwbZCymEFr
jYD/4qYDnbCyzd8wvrS3cY1GRwgH4rAlrE01gqiLFtyUD6rzSE8hfgfpluXH06Fb9cnHmhTrHFlz
ku1SSa9gYTk9sktWWYmh+ocKiaYwt16VGKV4CFjjU9M/NBWLjxtZA1ZllsfAkCtvdrgB3nTyZt+Y
XhdZKpJlU56QojzL5TcqsILbsTCH93JOPEL1Q2VzQBS19U3PHUpDwvHniHM8Z5fY9IsbNjDEvwTx
4t6tVdx8H9wmuzeHBYdHG3NYj0ZTjwg30+J87dfORc6A+BAQr2ISGpo4GpKTQ7boFYpKYIRzn6O6
15OY8WsqFysAIjFD+lE/aSJg6ELKzdyTvequiJCGSJDaKVmZcAl6nw47U+AhaJhkngyy3qwfGMM6
BOvKC05Ni0wfen6ASU7xHncgExScYwMuDKpOOSgMfWU5za7tkhRXfGsgfi15jMC4qvrZcRuMN3yG
/hGA2oSFKcCVRTHw4P6gd7hZorUkmREm/VTMG9M/n0Riu8KIaa6eG4e20NIOrUWkLIjMTV50PqbQ
TczMAxla1cYHjE0UCMye8rvPGX09g6aCl54tTsKg/uyVtOhGMBgx++SZG0xOp3XCMIp7zo5Rb+hh
gaMByYVjjSWb97wyyxubSlEV5RrIxs6biI0RgzlrRdbYd99X3ILp2Y5QNFuj9jrqT1niOCiQrR53
o2LKkNzpnixp/5WX0tLqj0KBkGPjnk5f7NKQ6JaVMWNSKot1a7lp0IW+xjiJ5FeaHbiEoU5P9Emp
hrrmvvrmYlp7pZgAdnRJXronWjTy5VSBJTrM8joJQj8uBFFYN5tjYlFecmeR+XjnnsjsY8s5iy+3
HAveIh7jaV4Y8/KmUqJE217SIbzL7Vpl2wLSq8OwxK2+FKswHmTO5ieaiK7drKZN8CXTVulv7Hym
jCpouGdCaInTHWxKFx5lhi0yROpjZLHYVv+cN8PwpEnBeMe+AcJDghzUeKjp9sPOMAHlqUEV4JmY
hf5gUoXEtGTZsK3rYFgOfTVSSmE0tgMwSIwyvxXjPH33LK2wCDdjAa6hQVgBB2QYt4nZZa9ijofk
1coD6/tM2PTdLPvyXsVpRUE2/It84xljtnJqw0qCnbdK7F3nWPAONFIIx9Yq3+Il0Ldxy8Gf8Td2
lK3pVNl6aIZE3VPwgZmlpZZCwrdskx+FVSXZNq8Muz2tqmthN8c51YYKakS6FTRtDDfCxqOD/jz3
HrS7mECeb2VDulNpppqtnLpUbNJ49OQpaFYOap1lclOc55DmIejZT7E9zOXrUPrS2kwyGPfJbC9n
Q1R9fpCkLZLLpVsyE1VkWlystwLdaZWiMx6lpZJ3bD+TDF3fT0kBzMF4wSnvHJ1PLKZGWSfLg1mo
0Q9n6iyKTSaN5BxHqrT/ogtnwdrLTPfSGRreAyn/WLaVohyZs3EkAKVhLv0VFskq+drMidN/+Mqs
qx/dSFf7G8HbHJSv7DqgiaVpTuo+yGeUIA1bYHWgBNVAiM4KhOVsSXuL6YHJRJJds5XEehxSHMTx
uq60pPbbicmtgxxyLa9wiZZCQiKBsuTTDd+zaRwrH4wK3UruiKOJQ/8aH1J22gNUBdh5CePaEiEE
4S2JrR+5UbQVVlIEgiHU/WhAKgFssni7prMMGA/5UtfZpjIG8kRMYDk1kPcDxPQ0BWJBrl8LUfnP
3rLQFFS2ZIXu286erMhnYLoCAXIae4+XyiuxL3cMBfI+Jg9iI3FB28Ph5x4cvFXerdHnZeeEk2xY
Q1loh9fKTItmL2r03X085MUZtHumrSzIeyT7GwjNxFTrqbORP3k6SGipwTtyriMxFlacWPPvFkbm
4GXRLjxQHPEOxQVto7r8fR2ZMT62gzvKqwX7cHXlOK0JpqECHK94JhsvvWw1P+g+HlvMVKKQZ2M3
w+t0L3OnqfjX09vAObKabqZpgfWR+mWWXvH+naaPfhVVHo1Fgrw2FcK6nFPerxcToawR8h+5Mb4h
d67viyAw+hPmePe9RbwjU9MEBO4zXdYeEyGdDrfDYsk3B1PB8EMtXZx+O0MN8Leea1ovG2J08liI
+hyRaETQA7jhNSq8cKmXzt1zq8z5uG2VregRTW0IBHRQLd8hCdiYGNEygpxAu8v55QwwWCoZqaVl
pHV2PR+Gsk2HDWZMSNzNgpIoLU0VKzylCIt7cnDs+TGHfvNlKjBUhXHlMLPmZIg/LC2v2TPMP5xG
lNul57WFk87QO7smTQzTiwOWmusb5lnpTg4d+FJY1LxzDWzxI9GjI6JVSb6KcVsdA/vz8JQfx7FZ
n+FgpMjxJgwuHxlrI3FKQc3pyRAktmNc1ebsM5SC1uVmwRRh/rj2fTzXredhGbImOmn0tBu1971d
oCWmfe9uPMGbpEjI6nU0IOzyfsYGC6HTlSWqAlUOWH2b4aXL5/o2OLv9gKoTC8Y4+lpPafwF+ydO
CD5r6kYjWUl+5FIGVBCskkUOlx0Og5JYc+J53c7NnYNdJnJre26/RLoaJDd0K6yzfZUYVGwH5U54
q0Fy133jNtG3yMrGxuq9LsyVPVwpa0BqloYk9uyXaptaw3q7NCVSDNitU+d2zB+c3ngH/HHppzMz
HKOoIJuBsItdmW7ariuA2i3qYXQHwtKZN1C0kQhFeEunP4baHiJ2cw3rZG3nEXKoc93PCqCZXT4X
Cs89Z08/nPQk7pHwxsizbe/YKeyFYDWqB2gry1Vs+t1VD1HmWJcOm58KS2S+JOAfRDDxOmX71OOw
PC2aO8YSZ++Fy1DskgrHh/mc7TObtI2shHFgbLT1ttMK/stcJ688vIqB2NB/ATciNpkxy6tZOe2P
ulniu3jRHoMHbCvMcG7xVj7JtmZmSUzqAIPmh72A0UAVBjYB7o2/meGMr2B+eplYnnFzwZBIA/ur
wxaXhk13Ptb12UdIL2k/Rf7KQx31hu9+G4LYu7VmlnU0AefKZeHct+b07M2q+rLgVgunYrBOJTQX
XlVd853Ixrix8GecJDDNY52WD0FnYuOc+IejaacqXInCbXOrCryNzmzO9wDynoKsQxCxW5A3SF9u
vrVyV/2QWmbHxpagj8lZBZGfTKLGskbiabatLMLGCRqE6XpR8Njl/ccKWgDXrDYYBLA99V3zNS8c
jzMOcyiiM87RIXYEq8SaxFb2y/Aj71KGH38ecP//rP9fWNP+6ax/fP8ov9Xf/37W//NP/HXWh9Xy
B+4ZEy+ENC1XWoLT9l+HfUPafzgWLoizBCBwup0xtf867bveH6bD8f984EcQMM8lUv867LvWHzJw
sQLxZ7hLzr6LT36Jf/JPnJ1l/4vRdBh523QIc6LHPyEC28Go8fez/sL6IeKBAnmPsZECKwJ8u5v3
nY9jC/t1yUGv1b/xof3MnT1f02XLI13PCrCBiM+NtwQvENfSVm+Vp7Nv6F31zpzMu9r3x9txEs5v
LveznPHX5c7SiIedHAFCopv8/SP2DBRIFlEIXwMz2Gu7bUPFgxqJvHWjv/3yv3Cj/PJSgSCZ43M1
z/vkFoxZWQWkKQB3piFmtqyMLmwO7UEoGrvY/vPFzjLMzz+diy/HwrLq2/gnP3+NulKNWZmN3jaW
Kq5TXG/7rCitr11eVA89FUaRKs84fekO6sp2gt+11P3qZ3RMzxXCJf7C5/35ex0FtJC5JAWRuH51
0Q6aYVeh1GW/Dnk0dcbvGq9/eT3XIQgt8Rvx0Px8vYAgkZSVBWsujrt7f+26K3e2RrBYvn8BluQ3
t82vL4d9VEgPSewz47erBnLqia22LSybKDBKzA0tIq3mVmOd8cvDP/+cv7qeiwXAwrTq8eSf//vf
VDdNCrnOcH1vF392cR+65i0ciuCqwudApsj6XQHQ53vVxpiFQdYV5zcQat+nn690/GG1i1lta+yE
twUgFuqmyS0wxcu+/PNH+1SH4qBk/nyts4frb58twHOa11antgPrFBmyoYYfpNVGkJQOOZEN10ki
bwPTHe9swnoXAefZQ+Ex7/7Nj/qrD80NKywfGRV589O7YMqBQVYl/5AlqGoiqkxw0J2yi3HofteY
zBv6p8eTz0xPCGk2XvoOr9lPnxmBF2IpkXUoC3hdsox9o7PC6unZ0RH76ad3nLNORUSyi3f//H1/
fjOgKjssOb7t45BGg/n0GmpN6ilIkoFYec62Bn7WzfBq7AfUqId/vtC/fUbedCxufBYUY94gn9Rb
SxlKJR3CpGe3/VZmmXPDeedMC/EMCyNe4h19jkXoAAJnxn98bW4sGVgSDZlegk+vAzQZbG6NwlGK
oHdhpa44rHBI2RgnxaZLzO/TuYcnWWvvP3zv4tFmoXRZn8/2R6zhP9/MA0RIE75UCXOlVgcuAlwn
8PMTMoWIMl/jXWmYuSASoLQmcfeb98S/P0z4uhkdoJlL3rvsHX6+fhcUkO9iwGl6ddYdM/AVk1Zn
b/ChYYeWFFhsfIsjeuj2vQ91GYgQ+3MzNNMm+c169++/P4cZXPssQrg8fe/Tb8BxNhNp37XbWbfd
Rvv598xuQHm5ab03UdCjDiV1N5lC/eYO//WFfSE8gBHC/WxkPxO28thsWz6uHg/OVPnn2W+9XwUT
ASxv9tO8jPfuSi7mn++6f3uBmDbBGVSY876M2cinp1ossWlmi99sERp1ZMxLuxOkdEjBKPGbPo5f
fEbftHl+PcdkwTunH/7+0pxcI+9HtTTbupuTS87/zg4VdTy251PErKV5P/naf6gDJ/vNHf7vV2bv
yZCJdVb6zJQ+3WHWRPmuFlNFcshZIpihzZdEFM/QI6yDRSLiZPfc5UT/g7t//nY/r4HnIIhv8nM6
lvCAhH+6nybZgUVjPdg6nfKYEPgmJBjHuvAX686kfvH4z5czf3E925ImvyixE5cSlZ+/4qwxZNDl
4E+t3Fy/MS03I5hwBGUZvIoDDSLqMja8BMPbmKeXyRpkV5CqrLd+8NUWzxaVblhLjrA49CPJMLAh
Mph+82PwRv15SHZ+y0kSMFBV2fuw2/tccu35MfTXEvdqDK0cydIZ1frVtBqr/GEXfdVdE6mu58tq
xgl9kVARa23zOF/d/cgcpdy36yTz/TzNc/mgs2bF008Ds7DPQQuZfR3iQYjrwEKAeqCQg4mUrTTO
flgRjkU8H1zbIba72vk6SkYyB8H5uogWvSijD3Pm+GTrcIKsJ8YbVXkYLFNMm0W2GnhhDs7w2iKe
9Y3ChMp9iXudJletzXgLohPdbMgz2QjtEwfDm5jdRZ4MSsmf14VIHUE81UIa5rbLsAh3631izUMB
38biJ6lkAV5rtkoUgVg38W1HEwcQMSJscodzbBGPgz/ZH7B7AWc49fJK81GtNlQg14SgxyB54qAi
so1X9fitxhaUPFN9o77FVjMNRyPtAhG1ZeWOvGlb47LjgUx2Rl/pbyRirHaHmXfaVwHLO2w+pKOw
Xkc97KkqW14Zkok7RndAe9TqxF+XaerGU6IMEO7jrDy82oQko4kzSRXib3HafRHELXaVOfVaODmg
TyMq9KBok+7sIINkskD/WsD06kzqb7WqlInWZPTP/qC0pCCpYq5o9CqZjzk202+zX4/XQ+O5024y
+ni8GSnwRQIfUP92WVahPS1mOyBfub5xLPvMuUQOZuzA39dtmAV4VAmkzQ/LEcQxpSJOdFxcxIcN
nzujUnVK1+SA10QevVit9aVnihTyXyra7pQmwmBEUATGXjlOz9RuZW4W1jKrcP8xJbSZ4yTutYeP
xN64qu/I8brUAmzpKlcjriDp1XhJgTvtJhep5YRKnIBEokMQ2QNY15ZGhi7ZW1VFs565pA2VD3qZ
sEQnQ7o1upwGJVdX9bgZzA5RqpzNZjiiIrsZFp42/kCjna4JOwtmkUGhpq0PXzjYFN46PmKJhXQD
4ZQNcQXjAoUKlbyKYndsXsrCxi5kq55YYcqLpd7Z2ioerTrJ+BlUH5Phx5q+A73bN2SrcwMTDC0L
+Z2YLL2VsGSrC8HcpAINlPc+dbkrIBeLs9z1NMVWctGZjv0wgxAxGAIFjbdFyIz9B4LO6rJdZ6on
AzxSXEFNix+R0cJjaFYLdv+ayQq4kMWcENmHvNkz6o1v7VLp6sAajj+lbPORx6lj9I5RqxXMVlmC
sKTPObJlXIr8ydRB/MzakoOcTgWwMQvY4O0w0y3MpoJ6krAqS/hybitJ8ebJ0ry5CY7NLTtFgF7e
FCx4sUXejbepGefiTqZl1W0RG8o7Wyausbca0e6wQdTVtmRQ1PN1iCG4XVoi8bccQAKCSDqz2qvJ
8+aHppVmcQrADl6eYe9qKwHBvc8kWKdNPw9jHDl+Ex/plTFXBFSboDmEDI//u5ASlyLQDRBiTkd1
A4TtmcluUA3Llq56xFt2/qOBVYo4Q95LsW6T1ZdXBi0TOHhWACDjgnIS9qsvbnpFPiPXGd3AqrM2
WeykEW8TDjGABTz8rkBwgs0AVEW9QA8lMN239PvuaPnqQajSG5reDDBhsq2p0jY9FdXU9kd6HkhO
4woMvN1SjzDnEllO085ZWvqJmXw410PAC+2pgEYKbp6XTbMnlOi590wPcbrapehzLO2O/1GJkbFv
RjSLSmdauxFf1QxmKddjBaqsXTFEGT6QIvT03cqIBWrz5A1y16lJ+GHhe0S5dR1gkm69tBVHmef5
DcghMgplGSTWzSDs4dmDQi4OTP4n8OBJ+hgz93it6oqTzlhrJnecTmLsz6UkKDPGRgpOvQC3odma
ARogZgQLzZsJ3C5zjQt5rAxQN2S/2pV1hyj7BpJU/YR27wD2iOv81lV5DSKmS5ch9Kve41ze+dXD
3PhAJJfFNR+8uk7edTC27YYtGvqVy8zjA1ciGjaQg2Y5Fjznya5OgqXYw8MY9dEOCn/HkBb3qKuz
4Ry0yZKPKik6tWl8cY6U96b3FFB13UfY9QugHf4Sw3Wr4nHdVA6tl2FbLvtZ9/XJHeIaQlkT9w/t
3NAvoVNjuli1LXEj5HGpeQ3MybpfYlnimm8841VRSPajrqw535rMXMzDsMb+RutBnl2VKezEalFQ
1RFyKgxomctrKZFrfgUViKGdnGLjw0yd/q5qK0YptEG0W8fybJZUsxUVTBVQxMyQhcQhYdm4ogvN
vMwi1tHtYvbQzCHh1VMmZlusRJQxLVjBAHqRxJmUA7ENEgRGhWrEIc9oDwRssi6AadJSXwq64d/o
bihQ1mcIHoSESsCgrZrzaG4qm46UIFvfEnM02g1eiwKXNyXbmFUMz73pZAcsKmjc0dl6ovCBc7tL
C2YipgEGGKg+0YDyPSG4RMbGa7xry/L0Yz9XxTey+ekJv3wtIjhVNkZ+Fvg3Z8RIAjfLTq5YBfVI
a9bivcGu0zJEkG8hjIBLTGBBlPZKIoK+TzIofiEusx4n3zZflL6yIaY+Jt7cfQHBjkcyJViqHjDI
xMG+9X2323iJmXw3hsR398bgmyDSaXq/acBITxsSxMBTDKafbA2NsnhfwOaTakwGd0uwy6Kak4Ln
R8Zsix1B+WU21uuzCLIWBbRHdyze4zjv8CmbQ5qE2neL6QRW/7zltNj6YAv7MwmlnIvFG4bySOuB
LndEo4qTgN/8BfiGPLR+QbQlt2c2CzD1NehDBr7GdgS+95TM3riTNi+XLTMu8yPuxYRj3ujbKULk
otiAY3x6WL3RRAwqBRREbaTn1vjag17Mjsk/NcA3xWaFjHLX2iW/libUwD1krsq8gnyu9a4cWp+P
pYB3bCWbiWFj01ZMUMgFuR4xybDaC1Br4DuydZTfGqcoga/PWByALijQnB2hv3ob8ECLkCntch4o
Ju1y6qgDfZ6I/9PF/MZu0ib7ZDoZYErQeaGFqZy/UaQbZ25fRnPOnms7Y86eqAYsdt96uDrG3p6f
DDE0+Kgz/7Fec+wwQRcv0yll//19YiOKMEMY5rE2xuRxmWrdHAywOi9r20ztd4Eguw/gLNBTqWfm
zDgf4AaNAeN9PLSSetS4STpAXmuaXw69dtobOnm7Uw5PkaIDr255ixmMLY9ECqihCqoF8IgBNQjE
BtoN9CoL5OviAIQHSgu8dEOdA4d8Y+polynmrASwDkMbLPAoRlj6mLfXzeSCTDq0UzfTQAhcAsZ5
kk9WOHe2fQah+iSukmoCvY4QNn0hQRZ74ZzWygfAQIL/kKsAs5XjOD4VHNLvvwXM0Xn8Y9jHwBzK
8kJydNOU9qmKnQ22OLwjuJGiVbfngdecWgeDAkuW9UljPiiYyr4ZsALfz/BN9kVJDM03c5QVTUO9
BhSsgJDdoPCYj7Q5ZbBFVvwum7JPeURXkZnJhue5nDczsYed53TTtcG8zQxJGnPDEpXBdeXY65kP
ItOAv1CsmrcPpZTMkDH/jtt5iRmQlfC/7vIOsmIoO7M+SM3CeCAOQOiFUyDXrBfpf+8BpoD4tJf5
HfvQQFZE4c+n1WY6R3taOrzCKp8adpxp1mWHnj6YKmTuJuzQLj1YRFMlRRwqQOhfLSDO38YCXWav
cVX0YTkENVaCGArW3HoZofTRKl9yNA4KNAvFE5r5gwcrJZnkEQNgz7bTZqvLdvIcKkckGOyQBiQP
i6/fdcHO0D5hOJkXuK9rgF5wy5ZaUSSDc3wvNOZ9QmqF098s/kq0FJEuaw+2rQ12IROeBfIWbhIx
XmgXCKCGcKIOK9PLyNqFjVqBdRzs2W02htkSB5kxFeAnAalWn+ZSEDiUbPVIc7J7Denx6W7TavAe
E/xOJ+88V94VU8xBD0zNtMPoZAgg0oo9pHQzGDhOYfQ29vwZ7E2gykNtaDmGgzEMzwX6BPktrx3k
Jm8Nd9w3pg2mR/K1cmN6C7Yq6HCtu20TSbUaBMLmZBtYhi7yrNPWdx9a2sEeg4bcKRjCN7+jHGU3
xDMUT+5SnhR7IEiAv40ISjExgsPHyUoXdY1J2gnodwnTCGzO3gv6Xm5xGCbGvk4Ts9rM9Zzvagk0
OGqnvjka0GXXw+hVxjvf6biGjkccIlQtZ9+wLsfgtDTz8t/snceO5EyaZd+l92xQG7mYDZXTVQgP
mbEhUgU1adTi6ed4FWYw1T2YRu9nUcCP+isrMtxJs0/cey5oLmPiAt9RdGimzVumKfpaPCq7O2P3
r12wN12KWdhyUKJNd51OrMx3iH5VrO2tnOVI77pYuH+hoWgAx/JhYV1em/tj25ewTmi/lre5uHM9
70R+vG9inp40Co93hVVw78+sbJCTkMmFhUNNBLk03JhIOzpjD+BdUfpma1JfJoYHBKqw43oraxWM
A4csxx+zVtLjRj3XccVUdGcrr20fu+DiB29fRkq6TDZGzSvYULFozqyvlOe2Ew0jV05PS0ekRaVX
JGBZefZi1R0lg5Pn6ltFakUwd2nrhBOAuv1gEtvFP4LxPQ255bpHJ+eAbJ071zi11nyNRpn10ZSu
UvHUddStEG4O8jUrNxj/shED9w6HQnS+mZV7XNT2gKgfVKATIB3QftnTmi1RB2H4xRnm5pKb41Y/
g7J3gIRlIOQxcm0uDlLNGfXAEDm3nsFYJH1kL2S/mhMcaF/pU+NqYlcwOdj00SVtyKlFaCsMLs5K
XWFWgmkKvyyHxUe2wDZC3JPzKB8yV0zbUUqcOtF96NOhDbLvlsVGd9Kz3mViOnDo73CsmhWxVV0g
o4TaDIaRTzRJXhyLmGoa1NbK/amozSGy5C77xwnHXf63wr1soVyZOKuDid+KfYtu0GxN9Ub8GhvK
0oXGLMA0opsqttjagQv596SPLqx0zdoPDB2cmhGYdF6Bwk77azcnmI9bZ9reHTI/9MjSEqwpbZNh
LF8p6Px1ydevXZdKvGoZJ5JNdt/uq7mc/oKl2y8p6Z8cIyZpDpd8tzETQnhucICU7QCwkrJjvYAu
Iw+Aof00hqo2sIBuHY7hYEihTx/hZCOjMsq5e0bziaes5fYYHhuFG9yzjMnIH0ZFZG7kcJHhgS90
kcZAWllNdqXidlFFbTwHRGCKPNiVHnlQgnuL0sxMjWieNqsLFGOtv5Gxiqt0dUJLjPT+lai9icnS
nJHD2rRYmaelzIhhVDAvxPBuDD8E4zAHuarGRcirifXfcMcFrC1UjS9nF1Roq5kp9hu25wlRe61r
p3XaUweftLo+iw1JzMuaoejyLRChItBMbcR05qA8vLj2qv9u695MPI7iovcZFmCQXLWK8B7+TL9e
SIEsNH9tucxRbhOZEHFb4TeZR2J32DfJ9E2lAlN8EIqY/+DUSF6X0gHzu+2Qlw6qZWPdzWsHh1/a
KUvvo+1R+mDfkkyEZUUPSWsBXDheytJBx0PpeSwN/mhQFMt0ZZYgdsYIhIAGjWlZK9y7ph+5qnS8
uuqU73R7Qsl/rvowPWQUtbyorQFM7j5Ow21IMCzS87q/g3G3PX0n4JNePdHW9dJXKVR4qWbispvK
WPqFLZPvnJP3Vz3azluvDKvp112Coz83Z5YfuyP7F36ktZ12wtrfDbTRKy7aLPmToTzeY2KVFB2d
GG5efx8QEfqN7MQjFeK+xfacQyBECghPlx2hlEFBbsrml4xAOHt2pxecyzjlCjzai19Pbf9LoNpG
VEll9lfZKvFLHTu84vswMbVYHWTJQ2PfDZYVU5c76tHBxZZZ1qVI2fXGo63v+bHrpPoOqHL8gKm4
ZN6GcPwNm5v6pxPaqj/IrmFEhnx2NAIV3ad93Cs4qC3ydDuCAFjEppUCUB2ZlY3A2MzfrO4OkutG
9+fUsPG9FZDKoT7Qw7Y9hb23Ktr+ZBNDd9yKrfxjdJmGJZ6Qw18cH1N3o4bO7HhINoHAVlBABMwZ
Sp532rEs1FSLaoTR0MZkkVXQn3RQktWnawa6x4QMz/ZgMLHBUsoXbe628oWFsKZhhjuwHdCqme0Z
cSFIByKBJwyHC0WUZGAyBFzku0F7OihmjEReDeWUyyJQjWplnGj0W2ThsEdetzdkCspaF7SuJSJQ
X+Ri/KyNEg6gQkhJEc3arP6aXAICITAqLKYI7OxeCtssnXPSr8Ss6eaIDV4rKnzrKPVkfbYB+kQp
ECCWAmOa0NinYpyD3ri/s5vSzycuprqMeBZwVsAcWwlkNcrHytghnU/tCEu7SAc9OQCtbIwoK9xJ
oSuz6aJmxsVfHHUlYLLKSh9K5F1/0fQjgdzVoZAhc+iCr6zDYnqADw3AFrIuduDJ3LcMdfQGKrVE
kE4zQ4UxhWy227Dka/RbWGldrAEU71gJ1tAPunl0EYT3kwZuye66mfGd6P0NB8oPJSdoK4K6s9zI
Spg3RDK73XtD6mjEtGbrivG4hgSYdnZdx+XAHI+fMHAOlU0p31MMDATDzxz6LwxsejesdxPORcMY
04ywB+M+gDiUMal2W+DnpZZt+YFJCJ07J4V2hyi0rcCwM6b4mJOpo3FpJBE+RGLO1YGHbgTVREOs
YXakNcy1Duf2vjv0JHIeCPGD7BE6zt66CAbTesTBbtcPGeJ2RlGZtb8zy2GR5agt5uU9Ya6BR2D5
BJnLpEG3s4/JnWZSSAt7xjNLH4JbA94U+MVq2Pi2mRrDdwAJz0QylcafggOLoZIwt0Oyk4jjCZym
h6Xsuzc+HUKVDaUCb8zWyPUIrxrPoqUE8ga9sQ4cCHQy8wL+ypc10XyB05II5dHxySyspMvrqEi7
T9i36KKNqSxUSou9m7Ro1SSTdzyOPR0NQZGYBFD96r6215oAlVHP02Us8+1RyZPEjbZKs4aIg35u
L2rLoX5wdtt143VGT+7p6QjsZrXyfgTXKrsfzHNLOqDdtnRSHHCDb4LHxV9QPMwHBRX96wj7tI4t
KxVxhgwHPT7t34+Saa6JjlMdnokgslrAyGp65bMf16BwEnSpVmsQ4celkPgSeCT1CwRx5s9DYl7y
DXqYZ1s53ZduEv0TMuXKdm8UBl+Dw/6bZDm9TkA4qK2R+ThUy5ub1hldSOUsP7O8JTWO6FwMvxUI
rPc1d5Q92ElE4ZZlGwQa1Ok/lbSl3d6YOyRhygqyCRxhYVXPBosOixChnCFvO5RfMDk12qEZU8cV
1xFPITEM+m99RqLJRqtxfttlp7+a0LABqjPrJYJZX4H/FqleRmSVGH/F0OOl3Jqpg4cAasjuHEaJ
bqKQJSVFTcYzSXlwy3M4rjBGEqpWFEXLJzqD+de6LMxJkjxpYZ1A3T/U3b6xHZEJp3PCCMTwwBnR
/09uRcBK27RZGRJ6JGHlKEjvS1uQdeSme+fE9bBZ+BEARXCOTrg+MjpljXHQkD4z4N5vlgv5IJRm
1sK0NlGxXKn+6FgqBnLJ2TTaObnl7CeGgMgfdflGawzbga9SDOKNdYtrBdXGKvLQdryvZ2Vbi+xZ
r0VtPEzrOm+PTlFIWIx6j+3YLO18/LJKFzw1En6my2wphyfNKmvDY/Eo7f9K3vSfVruGq6JKgAwo
HFTK/1HYCFZis2kascgBBTmumCEe1VV3ccTNIIp3Hsr/9y75//LzgFCpSH00fjKyzn9dJZeQpfuM
fUKgsEkITHdpY9usinjIRAdUIU3+qQ74/3rbf4P4+H989P+JJnnGD7rtw/jzXwiU//hD/5TcOuq/
sy+3+OpZMhiwy1Al/VNxa7sYb6E4WuTGMqqFEfm/BbdQKFGHslrnz/yvfzUwusr+x78Z7r/fCZCG
0Gh80FUb2n9HcMu2+1/lFRBpBVIZFccrriSUoup/UN5tCjfnnUARD33foBLN6bxJmVQwxOg6ZoYB
BoxdmSQlIqWMS3rZoxDEaAB9VeJla+SZ6MfqTwWG77FK2UZpSflCO3VH15pKF44FfJcRxwqkaHsa
r0VR9t/dut8Dc3qSGfAlmX+5XYnNtVi8RExCzNey2YREVnJXhtcr0Yv1arx3DvFuXott8wnlAQkT
A00Gx3nSmJ+p6Sa/MeIop2IGL4h5zsSAZ80K0R+1Rlq5jfrNm3FU1W0a08s50VQRndZm2+K1451Q
Qu3xl2VYehjgHUeqXrdHjtP12K2ir3w7U4laGIT9XGfC8Nxc30NmX8MHmLLhaOWq8+nYy/fsSniP
iAhkDGzOHHHCpgD8CaDLXpnEVCeuDrX1xqX7PdQ1oli0Cp6xZo9btkNtNDc9D1CJxSYKhLzH0JJW
kjtkGFntGUUeiZYTarCLaBLFBePK5jnVHBIDOXPs2x/YMYaufnRY50P2qqYvpQKOVuD48BxZj/60
pF+kGlsP+X7VzDglc3oB8+ETEXnbEvklRfEpR4Yxil6To1dj78303UsnLG96A11rde6uN3w4wBRw
von+1wKGPptwibk4R2TRVj/yHG/E3jvKgYiqqyURyVo7QVlNfe5BYr8IKox3c5yOpWuFjQ4iKt1j
uzb4FAkAUre4snFiqQSgQXUzTyzS/tzL8Llw2YhB46Sz+sKnF2Yszrh50UIUY4oRdkGp0O6NXzl/
W9ZwrJ6fJ8zI8ehYPydJPnxn0jQQ+uCpcKx8tk7MSOotLpfsE37gewaQpPI6hceQxg+xmmqEdGiM
p4t6wSvEasRDgjjFbJqUcLE3ptU9/Zlf7oX+WzrqHWqXsHSsbYYs87My2grwFuNQ0GIeXReajImb
xmS0DYKhn4J60/qw0CknWGlt2SGxaud1UHGq0CEJj37gtusZmVbDzAcGOoMYdtX2LNa0rMwL5ez2
sJEUxub4ovrcOC/WdEOJmHrkyziUme4coWWROChrIPONYV2X3nyxF337REG53lU4x5xZn7W1Q5RY
pGFaCRQoR+cV24c6eZ9So/4A/mVlW3IQ/Vgc7kmbL3O1s0lF5L4FtZP3T5J/E8oSRxUDXsP0lNop
+Ubm/m23Vw9BQB2Y4E9QBWigTG05nfpC075FMqfHQgUMpoqJedqQPtJYrUE7ZmxNx5y4grEsnqXa
yZNutrhJFtf4Saxng6NmPa+A5XGlNDQC9W1JNcg4AvVLMnT21VWTNLISGVdENPiYZa4WQlec/KP6
1vT3zqfuhp8WfCX4aH5V3ksvVwS6wbhnch96Em9jaxaxkiTIBmmJNigtXdG0zFTYHK/VY4X1ko4V
ql5KEFTHU2XNzuiljD2LjSxWYrQ4crYjf9P1urjtR06eACVh8UhozI/U4Nep6dqGJX8BbbJR6EJy
krNfNesp25wjFvywqi67SJ7XpXiotvVEBR4yl3nfqtbyuho0P9khfl5kXznp1pjycFaCwn/PweQa
dnUaaQ4QDgEfzHK7vBJJt8fV1h3yexqEOxMq7ao/bLtLzwVx5Dd0Tea8aLzuYlR8rYd7ryrXBP3A
ZXYb/az07RCMxKowIqPdoD2uWW/4vK088bVHvGx9HXcZtlSXm86SVUDuOSimBmuvFAExZsj/nSau
KwsEvkqq4L5mJJG9KuMA0hWeLadBzmBz/5QqedYNyR6HrgakQvX4Ccnww25KmrCKIb7p0ISBOyJy
JQsUs8zPSmPvXj0NP0oQNpsC6Bw+1Rbc+9nC0cmXJh0HDpg5xMuS3ox62+IJFM7jLtJzW5YhIgrm
kq7jvMp8+KiLUl6E1T+v6qfS3g/EBBLVyHpGdbbTqopDgk0Fp8wVJq+P9JhrxrUfi1lacPjx4zH5
CLDkkQ9jT8WDOU/jqe54hdzyCzkFO1ac1r2ct4BQpPGLYOaK0ZT2bVSb8cUQhHDA1jrisStpTuZP
V0sa4JLWl0PKhqMwxB2nRv2U9rm/709Wm0kqklp5s7TD4rL7H78Hdx3eeTs4CNnTP6xCh5JX3FFS
2GjFYKUHa1gOqeom3G3dg2mYT/dg3KaWyRt4ijdGhMVxkAzOkAhBR5oN8ZGodwEB7EUtTz+yRTlj
Lw0T01g8MkHngEi/+cSua4kQ4OJNABvGOno1n4zRrJ/Yxh7gMlgwq0jEYsIdLZsO9b0cPzs1KXWP
O888ZAlxFjZOV7MCc2SlV3K9mcxht4aEui+mn+53ilg5xDlDqDgvId5Vg+OztnaDLMeiTmz35Gug
E7yhFQdHyo8Kyf+lKaqbQQMCoo/YBQydrMHaX6XsvrBWBN28MZzM8KquTOgjsHkPDUFZhm48boqB
O7Gstgjz3KEQAONaS/tmm3eE1oWWRG5IzgER8bPAL9sEsgBoJiOy1J4B9iGt0IAhdEX3JrUi1tIR
lNzQiWsrhf5i97oeMVPNiVkgBq5lf3rROG0BqGq+sjb6LVW75pIs5OWm+ByDIbGbmKxn+d4Z3X7I
sim0CQMaUyZFTEZjHQJzu0MwlfPkIlsqImMxQ3YZeWhPuYmsbXcfS5qCtl6iRrrzCXxI6KqQImF0
YL7X6oOuKDYrU6IIM9tT+gmZ1sJc3YY6jpOfWcOQJoe1byLEgIu3ljuhZKP6IYmcDjS9O+hECJSb
wZjA5mbSHflgmvkrQFKTsBt5VVwYmcRuMhEyLcdXZ6SHgNpkONsuR/ja+8OejHGzg1xxbMe31fEZ
ADe8b9m03OJVYMJ48JymijLzztPUHgnLKsOpoH4QbnKsyhxM98BpjILAY+Rd+uagviB3vNhWKYgU
1R7Ip0w9renci0wTyqxS/Wi1lQn3ygSx19QqXoytoUNXtytpJV+cvQ85nncnd2MHZuUR8iSG3Ykk
Ginm1wR1jF8v9RfoC+M4KLPl1XN2g/oSin0yzyk7JgALYmThixrxKLOk903VIc+sGrSPNKUvX9v+
nXcmpqdDglTpgdYvBaQkfK15lovYMosksLeJRy7Xf01gyQhE6p4HJMy+WS4iHKiw8LiBUao5fIVg
qf9CQbqgJJ1YipG7Sud7aNLsm6xt7VmBLMapzXSBnNGd1QfxFERKSxh5lD1wcEdli4ibJCl8deZo
gQOqZPVfG7ES+b5urO/TVz3qzCythB0y/UJkuGv2k6g0tpuzrUVN1TKt06U9x7aONteD4feFo9T0
CPtMDnlqjOd8VLcL0TWw4xYeq91ptDe3s38biT4cOjAyJLjlggqSOU3RqyuPiJKOL2qfGJlH7Mb2
2M39D6u7Cy9lWWlfpsUIz8rvyUpmKZ9yzVnjwoZV4uZHaL0vQmwXdvsKcouiewG6hd0QqeCfqWCu
0rdWc2G2sDOg1oqgJGgwZM/WQbUd4FhtGoywsdP/jqSf3KEu/XACu3LaZu17cIzfAFkB68n0jNwh
wBj2hRQExhxpPqHVDgJ9rtHGlfVtLNwayGqfIM5+jKlKln1Xm7HVtu/1vTexG9R65dAAF53GOUJV
/CtDM+mm636lSDwIamoBbNhPN5bgSWmfG0XVYAW5dchyufB0oZJLkT/YS8NxUxt/M2Q/HmuWeIUT
CyBHMckFs4j7fJpdI7sqsiaaSlSoEsrR9JFIxou13ZzceJ34uK+Wq/If+eWoP120A6aY/miJ1J4q
XMFss7b3vRh+9U5xIw33gdUxRipWBE+JYMHHNIfLS/Z5YAvW2bAbGj9hbX+3LuvredOs5WRQxTyB
p9sf02beQ21Ms7OVukZcMO32pQDN0bNvfZgWLeqW7jtxU5/90bXe7zzY7B9wSSo17vN02pfAJCrm
/jOMEG1We12mZPlEZIaUI1PmV/pGk/s1dxnNW9N3Tr7sKwoZ7WbNzfLHyGXlA0NcHnSpohjsNfY6
aZ/olywxJhk2COtCElYnKq9ZfiIB7A5FosNmQgl/royVENiC8mWWyrOsRv0IBzRq+8qNCG/wJkN+
26yJB4QPqED5CkDCvGeqQnrUTP5xPcsfJsLRSUnAXrLkZDECZqAGnx8wWieuuir2o5E6BwZwrKZo
TQKmSzn7oiIat7KKnUmfL2VB1OJcMIBX8bPNUD5hMdsySLuVYGdOzyaZtFjkw+8RVovXaFOAuWn3
JhumUle8EbKNmhVZVAdRclGv+6w9kFgP73EZDkT32CdyUqSnoy7W3YHSxJ3DVHRjYPXZwK5yuurV
Hjmwkl1j2UK0BD8aYknZ8ZHn8ugmpXsy7SWUi2F+oDl6sYA+H80JRaPqLNpxqbdf4CtL10uH5k+Z
9C9Wt0aiM7isESih2wvdlLBhRSnNh7x4pjE4FlOs6GjHyqOtVNe8QX+IXfknvFcL15v2kfVObGTz
Ay0qOzb2Yj2Rg1iFfIGKgMaSQUCzI+VZBSwCDQS4JtJLKRL7jBFZD2hBu2BqCNwhsCrM2ikDC7hb
Z7POGJoiMkD/CLzUQshREU0IeBTVmT29SJsBCqGr8eSYjd/u9bGxEVxbVDHLbq2nJFNgGipq8mHp
quJhQEZyK7paw0nL1nweR+Np3chn0+aUrf/o0lyqu3stJjrNsjVI+0y25wF5wZ+hKeyALOQ2WKWr
vbgN2RqgkegRkPwhgoZ8gj9Waitcqzp5cV2QBX5SAU5hejVfVggZr/U4jReCqTO2uumSRyWhtDc9
6WxS39Ao0E22h8Utm6NTmUtctnsSTCj52Eqwdf2N7CuEA6IfVFn+rJTOStiVm7y7mljgjo/zi+x3
55xqdn+0CC6WSI4iPcvQcU5Wdd628sOw5qdRdptfTZt2rbW5f+mEvMxGRtHLO+y5PZgtMpRKJ1TE
4p6tuTvNU7qwkLX2Y7m28qBs7cxiaCwAXjusUBYtf082Om69bbEesjP/Y7JbY+AMH1SsxlcKlZ0j
ns+bIoDOVcv0D7uqKDc7u5T4Llh5rXnztSbs3ROTPbhcKUKnk7B7CE9LrtGyT6pvQ4mJJm1K/M7E
mYSC0A2QeegHBS7CO568j2ylUGNe3sYLlVhgGbzcbOJgfnPT1FJ/RZdxhhPVANxhMMNGklTApL3q
O2+mqtknPJ5KgOinoOVXeJ9moSBytfM3UA4gJjqda7WprlP6Z7YNLiMWKGE7Oc0RBTwrCMGURCv1
N3WS8FaQdpPXabGDca3tqGrudRm4CDKAE74CMov/LfR4ch3dg4Y2gfLNbC6t1n4idZyjLbvLhzJU
9yyqjMO+yYvOdaMXLjJ+s4ZqYrsPra3WmETqX4i06qghGShUUwopcFcnZXANL58mpJlWfpULMJGk
eU7ANE9VGall+ipkkb1D1bnD1BRA53a9ADzJ9Wd1TZ8qLMXvzoxcylqq5T4FQ3wNtDogeFP502oK
pBHHekO0r8G9FkbYqiJKC+SFtR3tAGLvOIwtIKbwXOP8QKZfUOuk6Ys26491u6KOy8DcDdqNOjVD
BQsyXdrOezcwp1xz2mIjvcAZDYBboRyVzhMq+M9uWAko3o7c/A+ILXEj2pFFDrHUzXiAReDjW/KE
Q8LqXsb4YV4TIHcoyGz4Z5qu3kQH1MNamIDZTQGhmouCVxxi6QCvbUnv+gvwbz8Tc2V0OErkX3mV
pz8gLm/BMrBoZLSSRgPorhCEMpUFKy2v2m/akCo/kwrA9L5hFeEfTt2iiiBLlHeN+ehf2XLvjFN9
slBvoBhDp9MZRhYl5R/Cj4+0gVqQDhsd2AxfBrQrQYjvUzHHDGSav2aGUmNJUjaySpVGVWNGzag0
r3mfzv5aOGjaWLuEOTHZx003xofVWoXf5YZ2QEL4KmtmlM3Qzx/8iu2xNcxPZrz87aAegh61KsSm
bXNIcDhHuH+yv+T+3BqGEMhPucDETMAnn0jQMTBgv8lAYdzn10UyqFJ72oFyQmrTTuvCZI7RpkTL
GWVb82jwfTOh2m66YTMYzIb5QFzIoWzucagrkoJqE8TFjXOIB7bzrbviYV/K+avjOIQU075avYm1
p7kVQj5DU5TxvonuWS/5lt3N/Ki39QmkVfIw56QOZIuRHPBALMG0mPVtqnPyz5f78dnkB3NJfrSS
jSXPLyRa5TYlmX4WyHafxT6eRgGXkIjY44LEwEdr77tb2/sFqhAEnQozr7oJM20+9fMYWrzWb6zw
xS+5WEQto1OGzsew1Zzci60u/ePSULXvmIalIn8h9McCQA5SO4loT7g/dfe0VDsAtxpTXmq/Ncb6
zRFfYi9Ougcw3uwtwR1Ks7+w/RABDvP1udEJNMuxGaO+FWjDqYE6wD9WH/YEVcQWSU+xwiwY//lI
h7ktT13dnueBiLw1XWo6iWU8urVsj8tyqssc9CKqf7JdN29y1cojpomqiMPeSxOGTWVyyRyjDIRV
+JYy7MAcuy9gbV1YWyvWVIm+iO3Aid9wfkjonq2BaXWvJ/dWCJkFvyBw67m9VeM+euvSKFTo3fKm
JHLC9r+f0pnwRYR+6QOF4sB4uXzL7mnfxMBB6mL7+Dr0PDZKqVxIYO6jYXfifHa/9qVKnzDUH8BK
PXQoihBJ7Oet1H9mYnzSt+3bpcolhdsNmzo5dWxovKxhjAF/2/puEu156LXzyEjTVZEOW2MSEeVn
eMbwbU7CDdjgdj79+hAYg3obTR3F/6JGQCbzSLW1KixKarFZJ8Nh6Nmfql31KCycX0NnNH9qhy2G
vt1GGMu2vWxwtTUq9g17kCetrAxy1bzaS6IeEBJ24T5yPJll44Rt1196Ic2DVY4ccIvCCTG0ZJgm
epwSHCqSdn8kFUlh4mrkUbuo/ih+jKKVFxLjE79oF/Ie1qgSzM5t6tAXzH7yKc3w53cJDUzNNv2x
6vOzCoiIQRedTIHVEygxoo96eql08ZBQaq4tQ3LqqIkdDCbPsm0PMhlODZQ17nMmdyUnkzo9Y+zI
NBt12KBitREANAm4Ra+cGk9K19dnd3LRm+RMQDqc+Tl1sY52C0KAvp9MHHCgkYUdKfz/B2OP1c+Y
rgPGX3pUpizW9rcxir+E7DgeFotn7kssEDI9wH8L8kp0MbB0fzHenUxXv5mrlbQNThnS/OV/nUn5
kVAGIXnUzGMPMAAuvzb5w0zFQLDzUinPipXKg1F0x7HUNoTNSFBmKY7odIs7Z2xqL449EAHKjH0c
VQ12haCB0PLmILMiDUYtv/Z71Txyiqds29Qs1q05uVgM/2LcD7l6cDGZMHT6RN6TniaGODyGq/Em
6eC9zCjOdmvvftXtUeF07CHGsbvQXvy2K+MlzVmo8bFC93ICijStyYIyLaRHmuB4y7Rx9lmmATLf
MNc6PXn0WTZA72wOGaaFQKLr/VljvQw3Oa8hKvou1DV9jImT5pRb1v59WivUudlidi/qNk2vrFAv
spgeAXeLv7SXt67etes0LsDlrG4cKOWsrPiZ69axpXRCGe2hzU4vTWont022dkilOTAPsnYOqbUx
vD3f+kNyXxV0daXc5rR7EoP626y2KlwLQtYc4G1sCogJ6UyAY/2Z8eTO8TkdLHfkQIVj+FMx1QeR
oCnULg5CIhM44nHtYLgTNccCaC5Vlz5p/SWzbQ8Bf33qe7MdEM7fGM5yFkzMcHOQXWbW3TTdGCJZ
10R8t7FRMitdDOE7o0PosjQIb3/LCxkwGbtxJir+0OGPGtL0tdF5d9ZiJQtHm+cQr8QfwOzIXhKj
hAtr0rDO6M6mEi4qHsRBr5/viM6k11ZWvCnbBKV4KgtrCqQyv2Ds6zxjSkOZ1NE6o7aWqPBUd37c
6IFofYGDV7gd9yJh65Huvx3KNrD1vzWcThHnoEXM77qwPFHlwzaUpPMotfKwjRYirPzakeodmwvL
BFNpobkxLJsIz5idY9njl7GT/SFX5/7Qrib/fUZuRp646I0poryaU662uofEGT5A/hSetlmWj/Pg
FW9xBwoVz4oo8u0ZBXN5yGvYuIPbW6dsX/0evsG7anRpmHGhEbwzR614klN/mlv9eWTj63Hl6OHA
eA8kLjl52yQ0+v/6WibuA3LfxxKKoJ/NJAfREMkZaQUZ98FiuJBR1T3WFoPgD4lpce6TAc8KI6o9
25kkKIbisToxXhJVtwPIc3iSN152rK6MGPMAZ8WV7h6Se2vHNj0M5w1mPifdtAvhx99wORlZAIxF
6MNOxHYjOFmJCXlwz45ASSDqiqlDY7VM2aGlSDS9XCCL7slwjF10Y8cmodBh/ZSQHE9RnwZaXZVP
JLYrgdMV+hsL2HNa6pG9ooQWxRNXZjw4wuEhqVFCTymaSpSMCNdyd+D1x6BxoBfh18UYVTeq/KFb
k/5ipfXnjMf/iRQV1Jm16Qxh2fYFRrcU8WfuzgsOFekUIcH3ZKaggnxWivwR7btO0wANG2qp/pRg
Hfvqbfr3QSbq2VHqdya2MqBEVbBdCxgreZaxe1qyYN6zWwnLOkDL9FNXzAeN4mRpPvlmfZdMqcVq
srBY7pbTlA1tPr0VXG1QCEIVmDUrYCum0rzgNmclMJ0U0rFSt27x8ePxZEX6KJPqtg2rvHUTuWLg
ZT19XA+EMYRuZSE42L1CLX7Y3EvQWp+qfX10t7Is/WlcO39b0t+T8XOyO9bKeTkTnuMWbDd/W+YD
/ABvtkSE9fDZkUwHisI41bieYlcbci/r5qtjw3vIT3kpIkIqrlYhz+sES2cTI+nkW3rLW2DMWrdc
lZVg43/8lcvtjwtSbDZRS4HE8Qjb4kSalqckqTKO8tlHnY8jMPstCYpKbRiq80FLE25/Otda038k
bpcF0sUQ9j/ZO5PlyJEs2f5LrwspAAzj1uEDne4cnDNjAwkGIzAaBjMMBnx9H88skfe6RXrR+15W
VgaTZMANdq+qHl0onWC8m+M93VDcH1KwJgtuXi+eEChs+l4qzzrGVdsfGsExlglcpLgOPqU1P4Hp
Jfvu3dfG/KA8kj02Thp1bZkemh3Ry6dyTqNb0NAxLQHi1u/4fcxLKk5KIHK0/UNHAcbh71Wr7CK2
lbH/6PXEpCdSBrvG9q1t6AY2zNSeozUmwyTJLL0tzRxvgzn2+N9p8wbuZ0hS3yKx44Snwh/uzNjc
0OX8a/bFxYIcgWATqTs8cMcMOy4TBdSauu72gehZ3dBCpkLZbSOreBtCAqyhO1V3+IFvwx6QqyZh
8cfHqbprqFbGjwK2cyNa62MACbkJq5RI1sIwACAj24ZNwQrPqtfvpsrVVqtM7QXWhRf4BRKjjWrj
o+5bQV8cPuBjQbD73XMN/ooloFgpc1zrbvpbo6j9OigTFS78VY5RKT9LBxfL1cPPG7gN7pWH9eOA
Q5XHS1pvXl2EF4DtzV2pWTTuy4CB2wjBs9y6w33jDyBFyGs8Yp/Vn3UZ+gD4TPydTmUXbVbC0WdW
EPY+pXyGc7YfqVnuqpbvi9qrI5JkuvPDXJx0kUYCFSX1Xuhiag/OZEIU4bDahUuHmcevV6STJTjg
1qu+iR7NicAHa2Ot1M2hLelO3lAkMh/GYprvR9zVB5uHce+IIniABiY+Mveq5tpzdx/6kBRkqPxf
xhRnI5zpF6vcKiEigEdzuEibfk7j3AN2Ls/8trrz0LTih+0s9iPGbJrMrgliqmG57ADrKDOL4rmJ
kjJKpMlFLwMk5H7xn0Q0Ot+SWhCaSFug1Eu6cAXUhyiQaACMvOe0Dt5jf3jDRwB/Qqd7Krto9PMm
76vz2mNo39mxuVs8ngWeoPJHSZAcTfzRN/K5scz7JF13Y/w8PBDFsykOAW/t+sFTWrOIJPPOKUbL
hv2nyebsoSl7fsjJpOdYTdX9Ykc7wBUxq1ODB2efEnY9N/ar7oB1brWxCjr54Opi5dL0akw6Aao4
oZ3kaBE9kWsPqEgC09icSmc52QRMqN/T8WOb0ffd8kITVr4r2vn6YdMowTi6vj23rxM2ArhmXOwH
vB62JQrmj8JlyJ3MRFBs1kC4qlJcyMRHSaFIexZDeTMW2cTOziKOPXlUkTnMFRggSPdRrum85Hh8
N4vq+KY5pdEI3EKXaHRR8TvvNdlB7TjDDVZgdt+EC1nn/HPZ9re6zr3PyTcTXpEORcH3fk0yTEIJ
iTW6LmAIMGW3QWjhctfXKdmO6tt5QB4LFZteOeQzqb3eOk7VEr33agKO7veI1+Fi3VZVSCBLROuQ
eNJa7pWJB+AgKBlskpfNqrlHZ2tA2GZh8tmMg2pIj45u8yurOpJOVj+dQsoq951b1Ie6Ed7J6aaC
MqPFfl9X/5uX1Y9QkIMqZsgnQOjGDam74OdSZNFJ1U3Da25p7lj5Ea3gw3y2QIDfjRMNOrD6U/56
Y4v9g+e8WrPbg2tN++k8jV37XS6LvoE6hLcVDPHAu1qd6FLktKGOvL3rRAgEJk1HgBN59ewH4/hh
3B6WhNeNCwSLlPxn4pKCn7ZZl4Yvxg3mm2JUxQ1LrBJE7vDU1LO6QJ1zTj0f/KNxlvY4cFifqOhT
57jwsCD5flrthZbmDpK09Z1rHFyqGrMvItz2TQFSAKXPNoKXMiXum2VOzVOTuz3NT6ucdrU26UPu
Ne6eZikEi4o2BXvQvNwwkTB+1Q9Owd/80N25XKl3jNzhG61917thWBxnbL47GaTdRXU9vpYAF4wX
9s7z4sj86A9yQLhi6tmYYO0ATLA+Gmt4ACSYZ7FxRfazBt2dFE6Dh66au6NfevU7rjwSfQM5Azv0
v7VVqMTv+u7Odhx1ciyRv3r1OIdAcy2qkEeQphBKrjdCcvjkMrPp2GTD/BWOTffiYL68a1tyfFl7
h5WNv2/HhhCyivpxhSP8qWiD/T2QFSPPGwk0OIGdh9WDnU8fhY6aNQmsuEocMg3veTP+yf1lvE/r
1Sa5FptdqbDQ+TIon1yPemZRS2wjZiovU+0zXA6VLG/K0WEDkM1VenFnjiFt87G2y8Y589nSW5gj
IU0TbMGWOPCOgqh1hwueTP9GAxC6oyrj0xrC5a6JQ4xibE02KlDF0aYAY09GiAiXacY93TTjKZqV
xRUxz7f5RKUh/EWc4VZoLl2RTm9WX8gLX6k6MesFX34wKxvl6Ipmr5V0XvENlOwhpec/5FHwmIf6
3SuHOsnx327rIKeOqI3im3x0oieb/Zk6gJyoHnLSrXeyXNYfgxwRgatVfsZTWdFMJ+L7oMJZATRg
2GqN8UcFpb0XlZL3XdsGLMcU4W87YCMYDu1ZMmnwRpcUW5Ztineuyh9FVAMXjztwBakbslYY5SVN
LXOYM1nuS6dBU1ghRzi1Lk7QquPd3KfDrtQiMbwaknFc8rMGaJ14hhBIgJTGwVUh7WnP/YgrL3vo
i27+cY2cHrylJzqj9BB/TalJn2Xmqtc5m+ptSxab2izf/1NB4b9QJpw+aN/08w49rL5BZyAjwNMe
36AIXK9IUVRfFN92sY2arv6W61S8Wch2u9y6egxjeK5Wrt9KwDOJVdXhz3I0bXIdc3ap6qOMUFxr
zsLpoX/jzvnmZtI9LKKtEqiw/DO7C2A+cdbHhIxfVn8qwPSowlMktQLH5QKF/4pJt4vuihXIfuuK
eZuJafjTeI63X+yW06Rlc8cRyLcQ5ll3I5uieBgnE2wbUldbECasTR3sfDVW3AdG2ry4sdhNXatw
x/Apo/oSCLo7gF2PQ5ZuC9ixAjjXkYaTprudgoHz2tPCYSnQDt9DNPXAakBqnjoPJXRiN35crQBi
eYZpD8DF1UBHTEyMY3jbhX63J2KeHekQG8/eRI/pph/9CQlv8HbW3NkfKQk/yGQweGZ9EQp4lM1g
a/EEbSn/uvTRs0Pm8sGvyvVlCXx91vlckwHyvas7r5GXpfZwc06NcyrRH3ZDh0fPIy3HoVRb+zab
9cmZ5vyxKQS5NcBCm8mOyLOk5GeqWnVkkYyfnaTPwh6R2dpikcu2zdjO74Vrgk1H28JV8sMHRevd
tyiD6LIsofxlOvzhSUhWdl091ita2t+lP1NaWRNCPEA1p8mxaf4s89j0MHWaAU5LHbckVQKKgRFt
t15AtV4AEeVDF33zuPhj/8VKAP8MJsOsc4928audA5LSOKUWU5V/nKGVW8CVyx0NA73e0KDWX0IM
g9dnClAPBSvBfZk+6iKb2dKK7jkG5nDtJ6ns1xKpGQzlYMUvaH04bmHP0KCLtSYIaPekcTktfkvh
akVThr8+U4aUJ9UizXcnsCo4YWl/sRHOnxCEWBevLRHUobXei5EDt06XHMtJPeE/1dw1IxHcVzJD
JHAX9dueXfcVqMVIVq+OzoscuVQE7Xry8Rzc2Bo0GtF1/D02Ug+VThwjiOMFa5ayrS4WP+FtsC7D
FzVvAOasKNiPwthX79dEsYliCqEzxN9mkRh3NMlyCZKp2c1Y2AKUuIFndjIebxSSsrTZX4wRRIjt
/mkpuP/iGyr5afHabdcCYtRkRLCc5rxk7OrnNWu3WbuwHeWZAB9XuuMzEFVPbtpZ+5fIQkDTahlf
LXcIXmlmrA7TSry49vOBnYLpSMoujbnB0a5vvU41v0aPy2awDJLZUY+Hxl0rXgZ9/KrkGHyTzHyf
0n45ULTt7Gq+4DYbjT5xo8Pmb2naIAPCUhvmgvzJrnxrl0kWM3lI5F/E1C82MvI/8DBlZ8aP9smp
V8kKtLxeMY1cN1Zk4ksWVdalVTCu5hCbXla39RNR2B+08SH8rVzkQjqpdnzc46RNqSKkUKg4lxAr
niH5IHEq+yroa3JwiYcXnump9PeinsuPTAe39EMxNxZBefYBQ3xCe7o2cgzFb4xexsMZllGRacLl
uVSOhaN4cFwUeDahjxCIhxOGAetc12nNwlzo8qYA0XbPDn/92cu8ePWHznngjATj1AaB8+XEbvzL
ryP9hZlmOa5TGBxGFKVfvrbURzUwQFVjkz4Hw7rmJEnzTw1UbI+E4N6FEwyrTTgM46PkPf8uAXE8
mUZXOEMtDrOq8R9w/axJ1+XO0bNKm0PQ+TJilC/anUfoJkPDGWn4zSVdFAkf723uP8TxOJ3m0MM7
XfDPYhUFL6ungieZgnPekHdtzc7p2DpZhYN64POIbNY4rh+uCCqUdIWmErHHfgkqDrbtyEqTecW9
GsIM1I7hjs4Vbe+rdMhOToidEgejld650ioTuggyqDLKaOu+gb+3nRbP3rdlG97ZeTWOe09l1Yfl
pdU5xVF8kf0YPkKrwR4XW4yVNB5J5yWIV/rYAySHjd1dk7WM0zsxhtkzMPpoN7jKu52mQL+mGHSI
ByMpen090AgGw6fvRnzHAsvmFjIq21jiK8+iqJxNFOHZNeOVRNSHxaGf5XPkDg+ub6WncS4Ewcl0
PYFtl+8dUMYkp6giIRWoEw0pYDtnzJtMqXRxo6j8HMt+bJNhAR7TZ255o2wYUQCFyj3Mg/qmYg30
Uvtenoy+v0IGpNXCWKn/4AxWcWzwEJ+Wgi+95Iu7H1fM2bkOU+AlOUPhiqcVyBMVFy8ZN+hT54D6
k1q4r17ceeQpLPmYRX16Hru4fV56X363E+GkDXy3Api7g/KrMRTtvOhKGdY2uBRojPYPgWPpgcDu
guODV0Vg+/6ldLyR5Uph/yjhEpw9T/L2W0b7Icr8LNHKkg+gCprHHm7Xu4CbuNd4bc5xI4sHWD7V
LWo+S2hXwVgXjGq8NBDZs8imEcZ1o11T+eEDZXFEPhc3e+m5Vb13HQtt+nPS8wS0aV/2QfRdF375
6WFB/j03EGMyDDlJsAJdcVNP7uOaCBKICxnci0WHPwJV8+x7VUVWZiniErtLy+2M4PRrkcnVYnHL
mpg2I/dp8cHRIkKIIwvi9NOOy/qSicgcOlUWH2tASQqwNUBkvWjxOHjDqbTm8EY3V++Vt2YLm+bJ
3owWe0W74Bu3fKv8JXGvvvhRPZ6nzlFAXER3Swstr3/Ba/CKvCCN43hbYh0G53xDKTULjN8zIMUT
eJny1zzV2c5UCk+Q5/txwk2l4GjXManNVZRM2iOnypdUwuffcB1iAjELxI6X2U+njotvVVRP3PzM
jZ4pPZcoFL/wqOtTRXHSMS3CQOP04/PH6zWyaaqLp/xn1LfTIY+vpVw6avds7IbbiD1SwqmKYM2H
8k6TgkmaAZdjFRhxnAmt/OAen/+OMTm+uphh84MFdfDWjrJwAZ2G8HCNKMX4+2T2AlEKOX+gLvFG
hMaDos5/UYRehE44mwPTeXtH0rLYGrXOTKtjQM4mCMncSx9YTqVcXlrrsGMKCZ+dvkTSI3mWidn5
qd3Ye6OadLgxoyOSLCjyF6domfuN9tlaVmxl+jbHgNbRI5vE0IkeQwin38brFwXWsZGH2SwzE0N6
yyHvoqW76UOBAfKPFfXsRAaH0h/Xmgkb9QB8wdSYdVgSGU35d+GDHSP3Gu1d7NBoMnFzQ3ltRzhc
z1ytgXBAH4sQ2aHkVkd1napYoyy3MKKmX2nspq9Z7jdUPsSodiaM+m/lreHeh6G5d43iN2AvztNa
Q7XI3etOWBn18C9BrfqSeW58AOiAjuwHy5mOZPeMjOV+2UFvf05wmIkom/lhHd3yvctm89EO4CA3
ysbFcTbuSGcwdV27eSjMLoilIFHgxduwx6RM1oa6pR7UPVb4dufzngTB03TiS3CrOjfEIY70Dc/Z
5l+I2LGi7yi7GaFU3chODH/KFTsORmeOStl6OOs6C++JM4871wbPZY3puht70yQsVP5mJOmjxre9
7bTbstZafyv0/vsgbvBvznJG3xmbgItg5Ah0Vk/WLyPCaL2rkCeIDTZIxnLwOpRgdCDYvlyLzrY/
1jdLZXlnNV/H6AosXp0tzU05CCrqaGvjfAhN8b6GHWImzyESFvejC1eKu2goxi9nmd0nf6iqt2LA
oLyDbkkCXmBtLEU/nmWP8T7CULadGj4desiKZ2msj6Dm/jio2r2lwyW/bQulr9FyQ3pDehfK16Lb
BoTFNrQHs4ekk1/+JYaJadwLixu9OjS091a87/ww2guI9SB78PuWzisvJ5T54Rp5GNICQ5fyV2YM
qx9+ZVSibWunIjkhOrkum4ziJl5brvrB0dDsGFhoM+4WsR0X6XabfxVYaww9qMGh5E5zKPMcq4dm
yP0XuOUgggFNwzyGu8cyxV1sBUsFvKWcDwUDyWEkN/RPFvr/ssn/EcJ7/59rf3cDxIHuv/b+Xv/E
P7lkL/wrjlxBcY8jEDbskFzwP7lk4f6Fu9mJYy9wqeEJXKjz/y4Ccry/olhElPvC5nJJwhNm5u37
dy75L1pXPADxIf+HL0i6/29yyX50hZ3/vz6ZUKCFAvqljdd1PI+x+7+h7UvybvYQsNrLKqcNbyep
/Ee383uIvrmbKQKEQ4Y+WjcANrA24A4NuXmv1icxZqU3qvRc9dHndNIlEIUz+sjCaXTVqcDj/ilm
Xk63OB3YeZA3KYLttfCX5zDH3ncceihtt8ReiBDkpN+8Q0kK75Mhn3mzXSuZAPum493yF1Ywq+vI
b5Ip1Y9KVsAvdIWocyhrh0nrChXdFspma3EFlMB6ijrAvGjjxUX0YnhMsadbGz9gpQPxiGqzhC/i
syLs565i096pkxsPGSLjsvLZrDNb+Qfwop2D3bNkD0kKtOCessQUwkxVk2VH+MUxVnFuvtneSPDo
t8x/sf3QeFBiDpJ5HImeuAq3cFhSzGeharjPOJaSk7uZkYTih7IFJik3M5eqAFtKf43WBiWev808
DAq6TQDTEh9CGOYlwQbVBTOwsCvfoDeljx61jFW2PoclEsILBgiGbOyQlA9HX65dGDOeYLIN+HOm
kOoKzLJokWWMud8O9PzkWrJZwW9qTNbyaCbjg6XFJuoBoHhag9Il9zDxQ3V4WjQEElByophpMaFl
zqFMTkEurlqpSUY57MYJJ/bgPTu/lKRNMJb+cKyeaseNCfM+epyXnCg6S+QFp2Csmuk5q/m87Lwy
JPjkEzJtnlipiepOaOioh7CeZjQrsFfWNmiQ33GmjhitIkWTHu+0tfW3onBpTFyHqKX3L2VfHCbt
3MfFzeK745GbHjzgcaDCGXcT8hO5PN8l+pwpw9qQty9PVTbZ4tZdcru9YylcBJjFiuaFK4XGou5U
w2M2TfxJR/DMwWsNva226hCnKMDoRy71xtnq2RMsgPhSZ/6GyofCZ5C4icdogL8jCvMRwp6xsTzj
uOe5BbtT7AMbF8lxgmDvJkUwog5FkWZ1OGORdA8GZygVJ2WBr8HUkd9sZ18Z94fL0V1towIHG0vR
aexPsXEpFaVC2iV24qRZhz4Qq/Apdrq5uDGTrfGcUJ3EXDgpW6FaqNImeZYjf+wLnvVuX9UWiPSs
xgN5TGOaizGD6NUv76gO1QD1iiL1gg9e+m2TJSLIS3dXYrHIP6ZqChGK6mCoDwNrYY9i58ym8Nav
fctiEx3jH0gGU7XpA3CkWdz5fPin+xyLXZq0DUWwvxx2SICjsjx4tPupiRMBrmc34oxBRQ6kuneq
vgf+6WARd/C/X/q151JQmw58t9dq6wRUD2DezEoLGgGhSKzkWIbbxEc0u7iZX9MmYeULBZNZRVof
5jDL5BDe8vMYLf5NbGJAAqNTzCt1rX5+yYyoDvxXcR/oeKUUefTyiZxpL/WA0kRpKFktvLWh16Mu
wEQLmi1+TTydQRB0X0SdlxiwA7hJZBZsEQnL3fgWZRMrSMMzcsFmHj7lZZEHkMD44G8mR5MC8Npq
8okE+/QbSORADHYt4N6ynZaf2hZ2tYska9/NXGgg3j1XxWGjqqL+nRUxVtzKWqIvaA89bnO7t38E
A0Glbe+k0dHL/djgj4OmnqbE/ZOerReUiMXH6DwsOBbg4YHc37VxCouzrmAVQevM7ds1U2Qe+YTI
P8h59UkNynudmrrPj/Yq07x9p3NofiZ5wTmCz3v6DUoo9G8LockOZGXavRQ01d5DNO+5oLLWFwk3
/nHdGqdc7gMAadUOrQYTyHU1ER1yDjpYblOgLquSErtuPly9e0AYiz1vsnw9V5x5j00F82Yn1oYP
VOZOUwMNPXY+6SkwnBOUr13wRmUWeNMs9cqE1ecYETDlkwxkt0ZJJkNiZ9FmDXQ8tEkXY/kx2xCr
EtYgqYMOh4lk1zLBmojfO6y/HamKqwIWuqRFAWJGJNJBR2esIvo5vqaKc5XD7rWC4FJAUBjEHo9U
RbqMtAS+RV3a78qqKYgNFq7d7LxJ9CUzPDRwFOzfv11bWc1V29fNLVQxrKDUl/D2o26or3feEMbo
LtTyfMM7RWhxVTyiEpluGBVU6+LaPGBqFSTSatJTVwGP2DDvjFD5qkrc9W6TV8tGo5JPWEWAUqNV
KzG+4t4Yn9MVazF0pbp/5CPAz0r4ZcFhoazpKIuUHzsGPfi+0u3NBG+oFNo4Wo4VUIUsHk/BuF6j
2H5BjPoPXQRhdOTZ6IiJ0yBVbTpTT9dvclEY7WLay6+r36B+CysAuVhMcIm9WLlvdfcYSLz+q9Q2
EUH8Eq0EGp76pU2j96oqmIkjgy4xgBqe6r7LB3pXNQkRcg/Yq+ytLjmmE8yKyAL1HJZAQvESDrs2
HyjmXO16ofHMBkgoic5nMCQGJ0386TqZVwguP/n3lrdwGuKnpbRWnhEaxV9mewrvZ/gX2AXmvv/w
HUyrGC9MKChdd0EBrGqO/1gadNS2Yi94H9tz8YwlfXh0KfcgApbF63s8pN4PvtXps7TUelcQ6Z02
oWIwQEdTLwIvF4YSAcJ4Lz1ej5vx6t2+PmL4gojrM/VJ8Esop1GBVJrHmhCbFjac3kq0NB75cdbq
TW2kl+9madZzqmczJDRXZze8UQdshIDGUcuoCDvkgTfcNvwoRKBgkD/B453J2YFMOceVS4d3Hvnt
m0Y9vGe3AkxjXLvyKSo7/T2j2j1VuG28rWN3DtWReN169I+eu9+QW+mh9jBtJkT8sDBJWoWOvvBx
HtYzMz7zmS+hvoi6ffWBhN5CU1XUzGv42igBPov13KgPbmhAgJs4F784YImVGEDAbAHMdailZEA9
0JfS5CxXEOYTnhMQVg68rS7haZpvhiYtZDI7ujovonO5cEad/Svo84rgVzGrmLkrtgiuLgu97rIP
mpfVzkRzMjK7zoYy4s7TNC17ftjFgT7EebTQyqGm4NOGo9qy5GqD5pzzAf07nVpy2FujyplhHa/b
rXYF3DmmJCHaalbU66b29PQ5ul75USLg8WUl4vQmYksFeIALDHJwPMpxO1lM68kYrta3GqOrgOdJ
dN8r86resIxOh61siHrRyLFEr9f//rxDsc9r3Dyix40LojcdqMxN/SjmjdGPsBQzKyeiHoveuUG/
MnJfdWvwYAj2utvBNZQM5iUbK2z3LIvIOwMQsLgNFgc2ttzNOw8my5bci31jmpQQeqtp3oKskkZ7
ebWfzamns8Pic1m0OLHZSgMUgbYFXLMc/d8tP5L9PBuN67VmZfDWErys401KWj0+TLJkjgihrtrY
cukNfVHaY4+EWKnPKS4VK5HD0EF5cYgOQdtW73FfN7VgbxZler+s1jW4iWPSIrYRzF1h7vrZ7eoW
2SflArhUfORZpIEi9fdV1McXtcbRQ6ZQNKFXjuYpDTSNQ2z6SOw1TuAQ/OMa6Wwtt5WCk932SFen
A/7FuKcTAeuxjhGepg4oLrJ8d2oqkmw7mc/AkgKgw2SDyJf87PCx0LShouXBo+Dmy8XdFWwrQqDl
tpMq+zeN7P8m8P/wqEH7nyfwJP/5/f838V7/7X+mb1cwYzNlR8DrY2RYm/H2n+n72tB7LRuzYYjF
rn39I/8evvkzno+jlsGc/zcIrqSufw/f4V/M4hTP8c/iIBAUAf5vhm/+6H8dvt3rt+WFNChS7BfT
gfbf8HEtWUOvJ2s4WlXP9TVyUgBIik9rd4xSSMlRhfxib+pokNULFd75pSCUt1mjOOdemtLrRMHK
Gr/EGHA8RFfks30hBX6OdWyMfWqxsD25ZHlmkqlljBsRV2dKSG21rudoJYtur1WDoyF3Rs5s/DOO
azbZxOSBXpz5U7cZajZHcDLGoj35peL4P/pzRdYQKDujmSHkeeMRRYJKWfcV19bOm7HURm3zmBed
OjSSygXOb/tAtQ875tniquBmIuBi3Sxb2Ioc3ZL49D0qVGPfe34IYhpPv2uf8fVXH+vUxkBI68EJ
PmBR5D+zAVSXZYbr3r5v3EfsA3pHwiJu1T0WgZUG3PR1bPKFd69MQ8UIZK2+Y70LvsS2Cq1FPM2j
XNV9X3ET+FAqSLmYZnH2VHK4RooXoehMxbZ87Ouz3WJty5M0k+KhUXmESGotIwBoelSa7tugb/zu
e8su/SRibjFbSOhe9pzl8RXoZCmv+ezooVg4qXKRdMLM347NGnTdVqr9yvtw+TPUiwfcqB5FSNqv
q4MHb6lt8LukMjdo+pTA8NYd7yIG9vKBnAEhaEu77kOPDdS6gaptgWPOGtqCIjaCv0uak7hYoE7R
ZI/1KYx2LjHyl76I01tlkbSzlyi4sb2puDSk7ODLORRADAuqtC4J5hSpm4vnZQa0Sy1eiHZEd1iY
Nbxlupi1VeJIUt13GEZjsgHNLGOIvFBU2GHgSTAShDWRONs7tSKexynBnsTOZRnY0yDYCchx0yZe
u5jtiG0B3B8w7KYdv98M4+pm9GlV2BmvhXkBcCUHqu0Jkp6ZQxfMji6OwDqNRSDrg0mD6NFNh2C8
XYnq5rdYz/p0g91nxIeSYw/cp1HIwBiqqm+Oup39t2DucZ5aK/yr1ugD1z1YX7KHLrLDQdPhJZD5
vSWl3mMKCVoCcXiTRsHeeWPSFVATtni1n2qxPNNtVaodASUF/Lyd2Ax3y0MZhP6WWKKx7hnpxwtx
SqYUAwu2wrdTZ2+ofs2Nm7c+v6uGj8ROL9I6gC7qPPi2qn52W8KbmxzX27HrXe9i3LD7Ccch+MSp
yaItCkGfJ5oLFRcRG3caMKuM6N5a8w7jttXI65KgYuPFkgnBqdAVwTncB8M7voz8xSx4xaOK37Sa
8DBqtHM317J/HUYiU+Y7p6IAmAuvPC8PJYQ78qXw+xI+l/0w/eJUIKC1S5ceDtjGlBhcNYlnaUae
zw2bjpggNldYEzkH1kcDxuTcmbMV9DH3PPeUa88engGR4mwf8CATyWJWKwH9pYhHrYRXx+qm/dMp
6K5lR+oP4zJEHt7g89k2DYgGf9O10aSaXQNtHQc/mWeKjE5pNPZ45unrMZLxxzGDt1eNsuHoGTF7
e5z2DWMUCynAXutgVy9pZvNt3gmcF/P8xkhL6WTiAXfGL+V3eW0fWLYA6dtknUfkNpjING502Ez5
a5vVA4U0DTbN/KcXA1B4iwdEjs+VFrHqJQI/ZfajAyT8LsaqoO6CVK/FLsaPziKsxcUzPqrcUMVX
Ksy1WANnFEvlzCGJcz/4OaL/Qpir+vBGxoV3GGDSb9rWlj9y/nI3zPQWa8RS0OdRd7diqq3nCNE/
QaamDCKArEXGhHNhcX1oIC5f6G6lYfM2qoLoKYctuF2mNdipQqiaqYKg3CEebax5ZtafQmBGlcql
v9gSK/fSuZb7YoS6Q9KxcQ4GXfKNrUr4kA3EALgw2fHObbW9FUPGKjAPvWMz1FSOBBh/Z+VWNwCV
cKPjMD7a7KayTb8Y/8dE9CcZkBa3OHjWrR1refM3vjjmOLeosFmXl0oxkyZEQPDUlr7YpkB7IJy5
xj24jQ7VBppjTGZQlYfCzZ1X8LJPqz1g5iDKeNuN9p8AA9dLiAMXwnTk4blRShxjeive6qWEEgFa
hAipCL8AmPfqR55xEt+SuJ7677QWGvNu0RoHCYaEJTj0UL+xdsvLhO2nWD4LGURMpcwLuCRA/Hvp
nVG1l31XWKp/+kHgoigRQcnOqiHdSQFXaaVbPiBUTMw8MpgEXSDmcUZAOfEK3VxwsnQH9tlo4e0Y
NFgmIVFtPdYEDKVR2Cz7AoQQZSLsMO7qYtVUwFScpb1chisFcUFFY/kIrK60iFbK5XHwV2/diWa0
463RVKLBPIOOgCSNsWpvyRZLD41iCc7N/lCLLvrhj6u97WcPNqbNp/MiYWkRwq+Cp0Gtoc/+HYse
IO/GfNWWoNtBVN3P2VirnYx4lvapNVM2tfpL9WwAcQcJIevh50QkuqCdAVuy3pQQW1ZYFn6e36dV
NlOEJ4c+OqRgg06iDtyz7HyfeezKMaBEIP+zrF4GFus/2TuzHcmNNEu/SqOuhwJpNG6NrgbG9/Bw
D499uyFipXGncSeffj5PqaqV6oJ6dN83KgiqTI+gk0az/5zzHdLU59hOC8P0+sfG8X+30H/7Uw3r
/35DMijOqaCf+Lr/VLE8BCk/8J2zRES8hVbYf+yjXfMXx/KcAKyuL33XFuhbv22kbf8XybvTNB3f
Cdi5/HMbLYJfbIRLHxAu/qUf/+k//+Nj/Pfoq7z+VZtq/vDv/1bwTZYx3KS//42Z0bma+L9ELBeB
zQG4bgaWZ1uCCAOb+d+XJncVRHpGziG5kSE5GLb/NSlwBuY8HCRz1iWE5r0mXb0HJhjtjV69pJIJ
ko/71xSTWFs17oXSHRnjwX1zsFla5AK6qEsRFEIT+btDdrjunC6M1k1P4wMCTTRk5yhn06+1ko4m
tFJr4XGM5ixdCrxilaw/Heb2l/PYNcZTFYgyYpbYEtyjGufYSg8DodXdQLgkD2wFFGtzegZuBokN
rzRQjwvtBkhMbUie1Ij8G4W25MLYGM2iOg50yhElwxkXLLLWH9pD4Mf+vMNJuOxAYa1sHwAoca5+
AZ7c2vc8L0tHMyrCqnTtnVcUJ2wALcb6Kj+bRA1tk7vtXifosSvsVYjMGJ/qPaUUB+jEYNjmyPJW
GBnAF4ra3WKYwyGKPVk19iV8kmSbpeY5HKlb/BCgQXFSGUFh5bg+zuOkuVlQt4Xtm/E8HuKIYYyc
znhKOz9YLuExKH4jSfOA+Dz80xMVvbxucuu7M6ZjkjfDXaSpPqMsKLqq8gHnGue4+rGG3eLINjk2
/JXwUhmqWBehn/K5FEiok0gF64fMYKoB95fE6HUKO7EWioKEkW2WWOVu3HdYtZxHo64R64YomtWS
8BO5jARiA1Eof1N2zjQ8TpOl7roAV2GthkdiJLAMOcaR2q5McMG42y4dLtu1eSZD6RneaHVdFqDc
JkuLFcF6WPu1u7H65i0t0W4cqzG3zszgQARpQ51HV2+plGuxWFMDzBHSOtGL0znrVLDxxerYkakZ
WkdhFYvIcxmpPQwXbFWmB4/Mjrua4uqqcbwdHIY9455ZbbwowgtWziQL12QEMgrGOB4xYUx4Hyb+
cCSveFG3GBupICY0fpPB41d7DIpxTiqJKeDGYZ5arxxiYygVHEnRcfH7wnRdaJex3VKQ/tg2RnQB
+SN8DQQw2BjGx7LHBuKu4C+teazBGktzvhvpQmFbMQ7mqsu6eyucvROx5Ij8I/DMzxHIzgaAi1hQ
tStPOLo46p5nxlA4Mc92qxYE8KaQoz4PxF7BjHyTiNxWVrmPqvYwz8kqT4N3N7VHBl0euMY6oKU4
Dh+BK0bLYKClMXFCh1LM1uIWAn/a8DDFVQxUkhbPLc2LRv4leKI23NjwYDsoX+NyntM9SkexUWlR
3Ml5Pvs8x647zmOFwqhYf1JaGzXmJBOENASR3p8WOL6oDOX0gw4aSXMFRKXZG8LMb4va8+6QHw+u
qDgSh5Ux7bu6vyQHlHBugl25KDXuL3xHLmJUTGOmTWup9JZTY+tsQz8g0bi47XHBeabiMJTM9Zup
DeietmQjRcHNaIu1ZOS670SX3pgdNQKLpqmrY1SW2HsbcyquRYfjkSF9pYwt6BPrHSJflG68mknh
IsNoRUQimJaSTs5NYuTR95xAE7DqiVEkFaaUgKUu6c5IISkY2XcwMOSktaMLt32sqEQhHQKlDiQq
nES8qmvOEvHt4GVXiWgBC8+pOupUoZNFtn2fZqTDPMJzFNkJe5vHUb1KLH8wlqWOi3Rt0KZF+00Z
mDsNJk/OdIUFk4beUk3RRAqU0+4CPk2ybTkl4LGutT1sQHQHLH1tTQozV0g5VQ2ibhje2qwSS6bj
0YZrym0WQ7kse7SKeSz7SwPGOJ57Zrkca9yonlE2rXkPuiW/or+vegZSCj+oDqhG7EiZ0gNZ79zS
v7f9plM0beC6CclPRU0E9IjDzQOGL8KVgIKN3t+5ifbpEB7BDAb2M+trvW9irz8EzrCkFidtdhEU
T+8ciES1Mk2fYG5ljhz0apoF/FUOj3tTj2SsILQzyXWd7qBmr740jOHkBErjtkqyHDOqxF++xMEt
3R2BP/cmBVy5t5u4eOnTRD3MnQStoYV4sXH/42ln+K2qYZHX1QM3uL/oe++GOFNEi4O8cWtynYSr
9DEMnK9zexCFgPBzPcMEy6pC8ypLEtddBBEjKJbvcq6W0FI7ZzkARdmxAb/lFeXjqsy8VR1JxrVm
ld8XuaAkUPrUthimPkBCmLiDGfQu5rAmz5F0Yn4r6UrvqVOiOqxb0X2WLAgA8solm7IfSkARItYT
dgQObHXa96uKjb5eGhLY4aIyqBymsR55NUhqUucDvWP20RyrW4Sgud0MjSxYYWOa1p50YQZyFSf0
zS+KMwXAKLbZjJ1TkwvYZXGcci6Nre51tvrivqWB5CJuRXGatSgNur3sjlhiHeN1jantIDNWF/eh
Fyd8kWpm1QyA25U3xErAdps2OD40ySahiLRN3uDD5DlDbxqUtjLG1C6SmIUq5qQC+050Hz0tLHoj
YWEXS8665uOMVLC3C7cgepSw0+gtW+/bNr4KHA757twwUPMagqTY2Q5jHGG7HtRhZI5AjSa+Md4C
TmFwsmnalxS4B6EZnKlU+AVhfg0J1ZZrKsIzQEC5215C9R+ZE4F/CbToX7wIc+eB+caVVafJdZOR
JO+YdSRZ8VEk5irGNpItQ5UyrhSFbu/Z9ZvjwrXgI4UlGq/JFhFay3jOAeZJBDjZS/aisYN7Gxss
U7Uod3k7ZsUGZXBbgDGJD1rZtwyp/A72U670Omry4FqZfDmbOGS7ugizAZqkBdqacQAly4uYorx2
CZc6rMhUoU+u0M35PVIh63SF7d+utu1IKhMYrikRzkyQWPecbr0v2OY3FJq3GJJs0nIXsmJnha7a
tGIxTxBPHmXlEbqmDYSMTpD73puIB/NYdSOZT3o+oVIpzkAMFt1zmSa0SkoGOXBj7xjQCN0dMS3j
bIiPjWEzIp/obS+N4TuhtiZl7TQe47z0VxO30s5oTOARbFDoKGsLak0ap3RPPT5tBmsp/UpJdAAm
4O/RRAEBlP1TDXJ7UzHQIILPAwq0mdbbVRAXcjFyp62I4afQLquEB8WF6XzWbp/GFFzLcsKnYq2k
NK8bKzwUpYCzXTrhZZiLfmMA+qRSzu9S/L9VhwAbqdxkSpardqnCGCANKhJEHF3P88X5jLwfEiWM
pR/qXdsJus4xEcG4zqguJOaXpLaASFJ7x3DqB72cpwilzSgqcUU4sn9nMFyj+WfN0cxx9TLuXiVw
627UmFM45WPo2UPXvgSfJrZ8y2zacWseJzIDDDaMO2hgMckFWJx7ikNJaibYniPyJuxi1Qdh0R0D
8WJFw2Dz6AHhpcYi8e33ToTDrvNL65svttrhOXW3wWDccOQYwdsUcQHfqgyfqJAbkZHt4FVry+w3
amzifdQP/vDAyu13+1aF9AI6NZWQ+YB2xyua8mCzgiyUcPh97w0zfrDDLH8d5oGRKX77LdXaQOpo
oAL9ANfgTdnoha0JNpK4jlV9EJkicCst59sBpwqqKdH71Ogkc8EIbXk7j86UHRgrs1KCJXRnmtaS
7Bk3Tv6Z2V4/7fuZhO22GLo5gC5QGWsrNPD9V7jWgeKWXXpvuXMP3ZnO0Wzri7wrlgPKKvaUbHSx
2YrZcY4KV3S0LlNCcTsYJMUa2O040IikZXGFRQ6RFlsMgE7llgA/Br9pMWORJ7uDFsCi4Vl58VWw
MNI+FQUDdqopE0zESSiIaSukWy1bikOXhcHrGUY8DnPhj+570ueAQBRWro0a2PAN64hHjEQBaKd6
vgv6xqle68xjey11fcFCMDCiDAiTvM1Fa1G8HsNbobAZR0aXMywxO8gSkA5SfZPhoPtMPQVgCLw1
u9AplM59Kx16SNMOlyJd9Bnv3WmcjrmWsrnnNZKjc5tAbNdGmd1ZscjKPTCUM8hPjGTtcOzF00ic
s20+tTJREYehIkVRQRpW+YNZT82z61glFD4cOZBKexb2pM40Q0KzqU8AetPLMIyd9xzCgkf3dEsW
X2ZFu1ZDH6Fv5rpoN1j68EHU9XVdejzEtgreYhwoVEhX3s04a2rCJ7dt103EirLqOwjAC7tIURXY
GAt2nAGsoHWeUTHMoJXAysbk3UX9pclXvzUHSidCXqpqwaAnoQx6Dm13KWaK1IAGUwu5KKhLRU0a
UrnBE2a5r2PfaEmdpKZUwKxa+RjCtoXWnoEtWlOylU+4M13nJk9LXm0qGmP6ExWlrm7fRi7Ke3x+
UPM8/67pz8g2JSg1rJkM8paN7M+7pCjdFRiBrsI8Kt9HKuQA9Rux+eQaQ8Yxq1dFcDBlWl6nQeVk
2zgJCzZxREMKy4RQFCZOieWNgxqE2zaxeO+jppnPJKjgcFRWZTBoA+HS05BFbcXZP+LhC35g5Afx
dYraHr3Fat9r5GOwL3b4jaedrIU1uYjbyiy4W0Y2syRE7VNmDhSCj5Yu8Y5aXoXIo6LkilS+Hm6d
QWZLGD6zDYrMMcH9lyYdo22MJ/4IjDbWbEkh8S20akraB2GOFku7tyaJayOkotNhbh9uCHh1T2RK
61tEfLgm/Ywh0O5ZA57xeZnhvuBg17Cj97NzMKFBV8AdeURakLcy7THam/jgKjY1AOlHAb6amA3P
wNQ1WxpccHFOU5aOhNCxCFDM2Jqrc7H7UzK3Y74P+thILxrLNNnzAuRapSAACRAGAcefoR5tRtSD
a/nTaq5pBfZpzZ1WgHFdDnwyxhqB488dLoze9MYdg5OqPaqZ49l1g46ZrIwgEfW+45z1ERX1QMWg
MoGBCOo3FlhJ2peA2Ai4mc5wL2Fi4ljkbmWnniXGzaQoImTgbbi8CKdbt+ZY1eHAXYUSs1KSxPKK
xmn3gkFMc11n1BtR5Aia33CLZ8/u4JxVILSwj9h3NaGZ1yyihLT1Mx8aDWd0XqV2mIB6UFQbL3Cm
9vHSR/lfoeWKc6jIZJeTl2tg3c3eDKb5FEu+BzXSYqvgVQZ0TK5CloMVZotJXXl2ItudsAxrusuq
TH4rm6H/ZUqIA1B5YqS7KNaeYk7V94QsuM2JxLiRW1yTgCBAvaTazWkjeChjEbwzqc2xorLPT1/7
Ia8Otea5O3mVAb2DQm1ihjh7u50M/bVpD+GKIdZdUpV3+AafksD5JPhhPg2ZxzNp6fuRklQUvPoa
q/SBefXNYEa73CdS6ofJdCKo3IJzI/VneM4xrKgS9H2IimH02OKEADm4133+zp71zUj0TdBUt7Ww
vnIrOeAK9JYp9KGyGd+EoupEeu0FhZzU2+EdaZuM7Cb6MUSIJ8PmaQSCc1375Y1v5S9OLe9i0zgN
WJEOZRQqJmo2mxlVnvKxOTG4uRxgeoIcm99gwb+UCD1gNmNnk1eQGUaWahzpzod2U/GZWRmHgjYg
/VRHbyNuorJID0ZAkS6sT5gYHuYrwiwksRqqFkxxvmGQ11MO09jksF3ndkKoJr438xpq68ymk7v9
a7C5S6xe4AUtH+uGAxH+a/BDtBY2Z+JaFONwp9aGYw4EASJgMXcTbREPQVHNel1UU8eP4Ll0FD+k
s63X2AIPvJ+vIDDzjrPPBj4QWY4G0DC7t8x0jqVVXAyFu/YTJh4k+DeTxZGCVqIVct+u0mZzAbgG
hUUkFFSPl0ZTXNls4YlguXglsdymZMrcTB2QYPMjKHSTjUF5MvuMbYnbvmSjPW/SOu42KVrzhUjO
1OWxOrHfapYG0wCSUsM672i3Mtv2IZi869oKylMF4LfkIGWyPuEXD0b9oFvnW2SufWBh8/dDzyk3
GgZ9iVVivrLc8YqtFnoYgEa/xj7t4H1K3PCL1AzEgXB+s13rxXJTzHBZelHGRnxoyui6H8FqU6nb
t5O8RWJAuUK9XVRmF+zp3K6QiBFnZcG7CeHKJMfmg3NJ6e4VjY4vZDI9B8rYVBU/IG//BftWWoR6
Qj2zgUCqAQtRd1ZbzniBU/qW3J634gwZcvPp+IBFidIH+/ydhxxR4a28h2iUCyE5B04xVxNmOjC3
BOIw5sMWk3Fxsozkbs4zBkgYjk5B2k/vjfQv3Ch87Oz5FSbQPqfKfmun04lhgl7YpX2LFRxfWYUT
Hi/HNi848VWWsyNkYR2UBRJ/yh1ARg0Z2yju5xP++2o3eKhOZQ61BPT/2mT1XmYib+74mGrtzzwe
5/M0Wrr1pjM2v5brgeatKg/CTW7u3AZaZ1OLYyGG7uQzS1t0VXpfuxAYk/Cloz5gFfAGZ7fBXMAM
vzKmMGlgHrFMEaWN45brCtsl6YIbXBjFnsxfwW4kUzWibdw152x5hKxvO8/RZI4bBiCnVvmvdqgv
S8t5LT14SHRMBOd9EeHXAH6tX9gvjZHXSziaVz7USah8zSFy0/Y1UH26xoN2oTO5NxGeFmpK2+AE
ZICCdo7bIlzHWipj13RR5uwY8zMnLUiRFB92AZjpsw6sYTurNDjEFTmUBnV2oSslbrCJ2PfunMyH
vojEsq7Mp4BT1hqptqS5vTRWcP0StRyaadgNWdY8jdhcF0U/eWsvrr0NSYfptgnVvLeBQ/J4jjT2
Tcz+TVF770CFIH+Dp+srtkUqqXjT9KO+w5GSb2oJWZ3+IjhIQ3oRFdraeAnVtm0V3wLR3tPIe+/n
8w1q6D18IkLgnfYu+5qGtmTqdrgKTkKKLbu5IyziemnyWNH4g9zoBJMLkRoeM2eHe8IRcJqx8y6K
WFiXmk3KzgdqzizykgfXXaQM5mij1k+1OScXKWzyXU5sgpNLAkG48vK1Fc87O2+PhPKzJUzIU5eY
D4AoADhQvi2Znl2mqtJfxswuAGgBJbGcnVZ+TYtsga1nUuNFEXQXpJD3DXbxu6iCNxNFiVWfzdwX
kcsBEjRn81w5BRPDObkiqrVLVE7KhM7ndQ1h7hD3rfsS6+xD+nAnSHTCWffbh9ka1D1KEJ3Fuko3
g1/vyWzU20g197WXFzQJiX3NbLPCVc6YPC+eREypzdiV75ERvVeossCjBziaY7sKsuE75SEpUxQ2
wHQlcrpkpZ05NHKatBlvcCLlb01Fz6PUNaC9I9At+GdBTJr1ZzIYr97UXme4Mx3WkYtYZp8ccHjB
Q4gUOqd/Tz2TdV/CGQKNoTlAR92DKyv3JaLVdsO9xw9P+RvV63D1fNN7n/3B+Rwc6o1G7zWMi6eO
C+pbFj+z1sRQpupCpu7FmIbHPpy/hElbck6G0V+Rq6dRF2BedIEehgG7g0UP1Zv+51hT+azHKQZq
VpQR7Tp1uMc91j3aZvectMj4hHIfYWm9cDr5xl1wSiE0bzR4PPaFE5kjOrsiiOMWs5FVoRjY8Hfe
+S6+1j7kq6vr+U1KFqAu0d619tINUYxjb9NqjxwlxVuW+FiNQ9Mew03kt3DnSo0/gzlmTJK18yCi
1hxv45HoChA6/GWM27zTcEarVz6nBYEofSAY7a/HFqpqbXjQJILymfZm9xjwLX86Zti8WQZ9aXMz
NBiKvcnnqc6S5uQgQxnojXT8wc4wgyt2XIW9m4F/kbCR9ZjTx8ElILEU1o+jjhhhJPAFJhArfVRU
WFN8b37wbRNqJsB9C7hxZIA5Wo64r3JefFlfnnqGChHXmAApZQ30abfJbT/r0Vl3Vt0lG05Sg7rN
DQHS3WlRa/Dn+qTt8uI7ZXh/NPH6fAn3nO5r6W0YsU1kvcmK4MFs1HazT2vo2iRjhtFJj/x2njop
LWNnDzEdOCyjLWJ7aWtvGZrBLCXIT4g9dmgy9l/xUB2xwjFpBXDsVhkBgurcGZLAFqcweoMXyt8M
scnQvddNdWX4zhGEpPERc69dWxhowb00q1pM/SYYQibNcLjK2dyjEIdUBxifLDdXxWyvM68FSUdk
/TyRxntXqmUR0pzMACEgn9C34tMRwEt5dORqLHX5rDnZLKZuOOnwHDOAjEsOJPC3lZ1X7L+5w9pq
IwKiQ4glNTjLMf/GozQbyaHl6CxcDps47tlT2CT8oGuAZ6/6uWE3UDQ2AQkjE+bS8ag3I38mok0F
qOgZwmb6nhgFmTNkZxztikTlunOzpS/D1f+aGOCcf/79b8L905bgdYNkw8jt92bgH3/kVzcwiVsL
5QvvrnP2DEiBs/e3LK75ixcAffY9XzIDxyz2TxcDD8gv7BkELmLX8YTgz/7TyGAI7xcb9wM+YWm5
pkXPzV8xBFv2z2lcByXHDDyaPvhhWNzM4A+GYJuJmKjG0FhEZrTVVXUvR9hMy6IvjGlLVnxe8NR7
a6QVuei6pDjxkokvh0Snzxm+u9dR+NOHoWoqRCB9g2HwU0CZTHBOPUdhjh1xQ0IWohWD2CeQtyvY
iO++K+wNoD0eLghIVL+s855Bcevc81nOFhPxBcilTeeG3aorgkuARc9dra8pLXXhMsGWk6MY16LP
GdiHwK3GWj7mhqvXykymbBW1bW6uQ2Pqu62Nl1ndI6uEcC4sDgWxbLPyblRFBvDZwl8HAT/z78o8
U2sYppiPoLODahhMfRUVYJxxJLTXnFYJxIhpzMXWD4eeM1vv6OhRoJuiKNOjzrqu6ylet9hHaaHR
ujtbZvueuWMc0bhhGwHwFeCelsPjC82PoADr4BFGkj60bmjwu+KP6p86aRPocxMYQDHv5mxR4TYp
1oI8JrioqotwZTjDUTUpjAmG3N6CCQ8HZ2GTylxXRhjdzwzcuysaaLqtwI+Mlglj44jSPj4KWDfk
7tyc85i15bNvOgfkplciDbDHJbxhGs1O4PU4cOusQQbyLVbISNCtggvD7LAj4rrdaWJ9wxBCk6LX
uFM4sidGoh7h5kF78jJw6OBJmcSbyWVbp/fa0xEyaH0HSLfacACYbzzrHEUxgCmwpztCcE+2dRwE
iFk5o4oV5yWzgsmCefHJr40gf1BmLnxsi8SS4O1GQTutWN5sVJ6/vpqdqq/irq2/vtrjW/UfZzfX
R1lN52+q/c+f/xXn0G9mr3OH+E//si7auJ1uuq96uv1qKMD5h8no/P/8//2P//b142+5n6qvv//t
o+yK9vy3RXH5k3FKsn78SV7hLf+qy//+J35dpSz3F/pMWXII5XssBi6LxK+r1NlP5bvED9BaBarV
Oaz/D2KA/Yvp2zavJRAD5HEEP8BvoQXrF5esj29Cw/yNJ/BX1ihcW7+zWnm2aQuQOrZnkacITJSF
n61WhHKs0MZc1Juwnc+O1ksE9n5NXm7a/O6a/Obz+r2vi2X1X3wSH8TVEIElz2vlx9ttXERnE9j/
aa0hgeyUEYD0SZYp6nXR0kw63nLPfHcDQJO/Aix+Mpb9/gN/bmj/9Vdzpe26nulhKPvR4P67D5wp
r0OUSVZK0QtRtwyBlkk7Tt+TT6ABliQKG+uTZDBXB8bjn/+y/+qyuhjbPMgOcCK8P1zWkB1YqViP
CxMoyupsHZu20mpa9KgyjbL/4dL+q0/zeV/ZthS2A87s50s7KhAksqIqyfKBZRohUahVNFCruhiq
Tve/eir/0nX1OU7w5mWEL88ZnN9/kbE1qaFkyFx7Sb6VYjZWbeo9S7xzFyHZCtTYxL5OBf/482v6
88v0x/cp+TKlwwSTUYT9h5dpTwdplfrlqncB1sych2hTcRkS2R+Y7HFFGCQu//oneoSDhIuwzk7h
D9dVFH5T+6A4eUEMgGVaKKkBMselUwl1Z+HUX4lo6I5//qGuPP8i/2V/5BdD1jTxPgqbf/r2GSTy
+wvs2U4pRyoF+paBHYTAmtcm3/x5985K8jl4Ijyqksr0Hf0ZDu1XrXIvcPqZ98ZoUug2eA1eEQbB
0y21XoxCC3ybX1Y79w84vhisMZXBxETroSkWGdb8g900aDOp1RXvQ+25sHdKIa+NwK3HLbhGK4fI
SyyV6QtNWTiOzvWejq/xK7hj2Hso2fSJSmAHt9DYqM/w/aS4wWblwOOqMydcZ1FFNhQkvL1KmYZZ
uBQ9m7mDxFC8HusmBK2YemREDdgszbLXVllech6iIh4B/YxCFK3jnLEjeZCC9imnJOlxn0vS+sqG
p7Ycx4QtBE4FRn3MjWCLZPX4nNRGzIvegsHlzLJxb5A9nM2AjYjTjXJTSbPUfE46FYFe2bYu4nUX
egLj3BT3VDyJjNL5gpjSI3PuNNnAiphfe2a3cFEkK/piSCr7paSJqdxQCMaZAa5n+hq5LmtMLbm3
VoGmmZWsrCy2QYMPjmi/SwVv4mcaMKToobcRVm2vnGkUQOMaXxLGd9sv7HbttG79IPm0S4vRC8mO
ZF7DVnXxrSV9uEtK2ctHW0UFbQxjRLkguR3EJ0aXzfSSlGfdZZh6x3qmqrQRFAHTpUrnSxpxIKsH
FIhyjcehUI9p3pxrZnlV0Ns+tlVU3cx5ahqXE0wXZ1yqrklwdqS9TPWz8cPa3f6wedMAQukTon4H
X+yqYPipT+yqVL3IZSmTjWrz2Fll+FjNJbRbd2AZ/GFanxgvpbemA2Nqn5vDJI9K9eyUGtsPMK/D
3DAYlLC/yaODhW3ceFY516NYYJhqKUdVv5r0oU0504uI4mw6+F4tsgOmpGaAX3E2+xMu1wNVOJgf
mFPVbttDSKBTR7pXFob76AN5uLTupE92duPjApLUBWm0DShnahyeZ1OUWDQDs9YrgQgRvvB8UV2Q
dqYgbuGx9SIhXHrfHU2zepEApgrgJswDj2Pgd4xsWy+l28Ed+vvc00QYSCXjA0TfaCEJuHJ6VnhD
7ydsMQSAKmpXll41K5+Jd2HcRf4wPFd2rG87yUt6ac2Nolcl6NE0/IwhTubV7osdNeGWkPy58rwr
8d8yiZQEZPJAXuFG6Mgb0osGrn6GCgnUpXRpLPDHkqcvmaw75VrzA7FYzhnWaL1BLc5ebFaRDy2C
EZg6PxOJew7611GhzHeEjeAznUKyASJ0+iXG0a7dMKbuPfJuU8jQM3eNG7LZ7GTxGtofkceBiyaf
Qt4VHdM/xkoB1zOnd+Y+tlr28RQl4RCgJzH9toU6l+BI33nzWiTGZeQY1EnJ3pzyV0rvHOI8nhO6
ZnHRyyJ5sUiZ8DcSafsEIM8eWLvJrGhOYVYTKImwnRa58zIHAOeWuktVsIDkSwXcjyrwymS2tnRb
/mehGhUy4Iur/JEsf4wRGz4wcCAtKuYieLH8BSZiJlJgMWdsusxxSSaJlC8uyIXVrOnfKPeUyOO6
ZeQW3xtQNHxESDV3yzrunecKCzPQAeVF7qoO6aldNNRk3bZxBHZNwYnkfpcyf236pAGNnuLW3UhQ
QFigPWVQTWfPkAfzpqD6DTVO50cfKRjckKE64OZWNB3DJodTaAovum3SLoXYwK914XvASU8x50O0
miagjW3Fn0N1i0UxTdcVrsj4wrbgGO7HHFveYpajN+wlkE93C8SU6sCRk1C4KvsqgFZnEChYMC+P
jzZVcuF9MATGvCFWnWE+AtDan9uhSbAX2q1BohlTxn03NABT4JXVE51u7pitY0wmLWqO4QNiaUyp
oq+zJB08ROBfo4My6cylSX0Osq3nlU532SaIKQvO05n6RPLooaJqOhIWXuzL6cLSuiILY0+Dvk6r
tpKXrLkg7BnzUS8vcEYQOk2NpvoIpgq9j3XNWIdsBYeaBnfTLC4nWeEv4vea5+em8zE7YsuMJl4n
eETaW0ZDnTj1nhM1az9GG9myScHf6zbCnPbUGCXZBkocusYyGmhLencL0VtrFgLZAA7vJme46Ife
xovfNzlH9RisROnjlt9VLH0kwHrxEHVx860qpW6HIY4vW4gSw6IrDeOT6CF1BH4+Qnq2Sk5zyajw
DuNHOD95xIwwH9WRN4HZ4aM2qeMYw4JEfU0Pn5OTRyCUKxfNnOJGBR9MUrINSzogrFh6H72vK70k
X9Rsrbg1nDUWrPaFU7d8jN0CvdUYav+jmYqS9Sdu9PugeJWvCfbBPpD4i/NdZPqk8wZE7kc3m0KO
8Ai1PoaYJByfgeaNgLSJ/17aCSAlvu9hzi4qaFjNaZqzec/bP8biFWKwHVduUneHoCub+TiA0bfu
7FH5j000ItpCAvPndaM8bP1kXXsM0RgJ2tXgxEN51zsmWtosRUAbMcNHLCmAnvJ975F6OOKuQmXo
tNPmT/Rrzu4zizcQ5xRiUryAtosbfqAM5DOi2PxZz23w5rSucRUNVsE32brWlV3I7JmktjvtzryL
cjnXGDURgvB3bdqopKV2dMdWw5bKfZT7kBqRZcmLaWZE0aozc81yqp1klcdIzOMzEPOczpcV7jIY
XFcL+DbEWl4JTk/HmIMYX2zP5meB8c14pRReHJvMSlo2eErSYIf+Q0Nl6M6fcs6bQ5mqXBx1QbiS
iiFFyy12AZAqOL39+mkwutbYNHFju++jPwXFlvh0mO1CYuvYxbuZijfDbXS7b/x0TPej4bNwssHQ
IT55gho0GUt6AhrSos6lrmHQ38eO8rtDnY69usRjxTKzkOR2bXThCLtjothK0NYV8WC0pcGpaCGG
JOXO07F8lqxVIbXEVOUu7VQ22WoyvQJpEKFdsVFrMAF6TO6XCPbVOzUDE4QgT0xsSIOJRtber9d0
jJMgJT+SBhtrmCbChz/CDwnsLyTMsbMnYwX7FHj24Ma4dOh/lrVYep4dhd+JjUN8K0gLxSszBvX9
RNt8hVMq4PL5HwEGtGyNS7B9ZJ5YvhuBAwQqYpJdE8LEv7VEtzbfysic5n3RtB6xA6XEdz9mOEDI
rL40uiDACLTJHm7jPIYgKpi3wF0rYo5OLdmPzUgedzt7vmtQCtuoqyJOk1eIBcUTYa3aY6pmd+6K
ah/e2n4fxa9TP9K3ExKCkcwW7eqKwKf/TU1CdhMYFvIW4fn6RYspkUsKt+B4uLKV+WEW2DjgnrAB
ZP0lsUN1NDTm/8femWxXjXRZ+F1qrlyKCLXT27oH29gGJlomAfVNqJeevr6wXVVwyYKVNa5/8Oci
E/vqSqGI0+zz7byZed07B+NiKUYk1yktgP44tnXFjE+IKTNBRCefV0DoTwWzHNWWqfP0Kw5oo8OU
lsZnsrRN2UxrONd1roPnIQn1fehoCwrW0NlnvQAwve9RbL9P8T2jn9O19tlq19QBUlq7vTFytL4k
k6vPx6YCccVECXP8Fqk9ojcs2p8H2lLvnUm6lrOlszRqCwd5KzlXXR50O4bkVU3IpRmDEWlbPqxV
St87JGL09x7JBSZCnu4YGXFk+T7C9adi5r9TQFjL6alZdPXkFFF+Q0QmqgOBaHwdtVn7afExTz+o
VORXruqLDyD1V5QezuQuWxqIQEsls2CcppMVf2a7Us0+VGPycaJ72+MQ3foIVJlk3XQy8p5ENnS3
3bSuH/o455AEZN2nDIsCVKOLschLeDpuQmcerTMcl0R9aCKIRmAYSLcus2QGY+VhZBRsuzQcQmT+
geMcIw7yW+aB0nrrOJyMpXQAOAxK9iG8IpxBtw6h04d+GkgDQgLqG6RKgHsEYqJqW6miv5JegCyq
i7J5+f/+BYXHl/6F+G1h8H74+vMApjR//615Efzl0rV0fceGPYL9Mv/ltSwoxV8B5TiXrgXFQo9J
yP8uC0r5l5TUXYjgZCDhUvOf3sqC4V8Or3hgaA1SwBr1/1XrwjVUlJ+KEMRwyvfc0BF8oKdOWxcO
hGQ4Dt7Hrl0H7wOWehpPw1hnmd3i14mm4ltsY0OR7HpcI5r2s9NDAln2OFoiPFh4W2zjABEdUJyH
WMHrEhkZxoMOzLfw2DkrFqWcEaqXFNL1gj8RfUbM5LOEzgXiAVoz3Rnq12Hd1ilBwA66l9chmIQF
7O2wmkRbzv5uXOYHK62wtlhqyB60jr1SJMd47gLvC0ox5lkOQb2wMdPxV27unzHSqcad7gofjJun
wPZZMVbD22rG3IGdiHSvPtIXriekEpLpigNzgkWMC08M7wf5PvMMF7lnxUOx7yOA6gy9sOsB+zXP
8sLSzDh/RQoX2Ne127rDYVmWVFCdR/2SHqgtlMjI1oDIWA8zPhk1jACETxkyRALvoay3htjUYyPo
2iBcAqSS6ErJcgJ3Yo8iAcjy5rt6oamplUS13tgq9uGsDbRMb7w4rtGLQapBRrq+MNr0K7CtEobe
htQekpvvcGCc910W5N9xVapQhaYv7Df7hQNnEd8hDn3hwwUKVBxSWAT0NApGCk1wvxl+Y9Bm0xrE
HBXGAJWXAc/xuNzhgdnBXl2CnM1B1GXVoK7nF3KdfqHYSbyusGbBBoKErLL6A8jTCZ4cIRKRLMgB
aHj4dtHn7Q0jryFfByvNAoadNyScy/249BVFg44iVII70Nc4UhWW6FGtgi3OlGi/q1zFw4XrTfZT
YI82/XTop8ibXQSwCk5m6d/WCfPrVEEM64/WLdELR4ehAFawx1G5vdABBVADgCljtYZP4oUgaHHC
I556IQsWK81GqPExs7JAsmdN4l6+0AjRLxSgCZMXTqHX5DBltjKw1LyDUJN+nUB1TUffgxZin4+I
y9Qz7lFafbQb2teoIqAHxeSVqzPK84owWGXHMZ+iidpMW8vNUKxTTbjeKLlDqQhnBYVdtG/XoI63
wM65KBTwTbGtHRcvTplGRbtdyrBZjnlgkY1TD0jeD8LtvjrU5+LNmgXIC+MwiArk5ajniKYY4AXL
OsbveWPnR1Ytt3GyO8MfWTJjHstAJdJLPHK2MpH8R0pSWHrBt+zCQzio5hMBj+72kN8iKEEjgLk4
a/vP1Afse5+5rc+rPfmPjW6ZHh1nVV0VYOLEWYBlznQ1JAk8xK6RabDpXDucdoxNzg5vSMZiM8LZ
aeO2Et1qyGTVutN2EKYXfo+udRNMXn3uIM0iOrbn8S4ow/ZjAf4Do05q12Lb+AtXXUW4P6D69sZP
mtolnpP2Ukxnje0s9VW7ktIyB1cEn+fE7rFv7RwVze96G5PgLTUBACrEsRDHYfQFMB57D+7rga0K
ondWS7e/r+lCF9dYldWIR3HtJOSLm8q1xo30MgeQLriJDGKfS0t6ferz0ErurD7s55QMGRs3OLCS
wcVh086Odq5j2Awc3p1sI0qVkdTpFh8ZNz7KkGxIsEpzG3W5M9miPZ+5HeVuGmvA6mkptHdpxZbT
n+dQarrrZUgCkDu4GfoXk1NXAW5xoUYbZvk1ZAfGWduA+nAwVrQtC2+s47+pVSfj5zmMWuC+UzQ0
2y6shfWEB0QGbndXNNQ4vA00zWUyY8d+I77QPwiwrqkyK5aMfMWqtbMzBla8+GG1O/cdDhDoWOCL
OA+GylhcMVjpKELxsW2PTTHMtld+lGBkjcLJqhQDhAkJQGLfQ79K3MC5lAPS0C2Vjv4Je06gOLCq
m+GuSj3RnCcJWcoGa1CK9WUy4qPGrHRVUiNIZ2pwL1AeP+kHLFpj6k57YiVb3cUwkrCODqMe6XHn
wtgfogG3AXxTZny/GwqkmqmTm4jKULCrHFs+BzaSxkMZDahjpZ2UjGsb0FDhrTjuIY5kSdqpW2OB
S2Feb7uJ+u81k/sALTM6Hr2Z1IeOTcOZ4FOJlcO0c8Hdb2hLyHdIo6PlyChuOR27JYneR3WaGAfg
elrOyWNsYl6v1986z2s+MsJP4w5Vvn9NGM9cMGeTWRq2fVG+sJgQ6YTZ2ZpHK3zAqVvt8xR2NDBj
zl2JIxmbysG3ai8+JPTLjbtnMy7JAW+l8RnXl+ZrHM5Bfm21UnsHqu3U86Is9LqtYbKJzehNeCAV
lCTpY0eOfTEtdYare80BQNpVGqBUpyzSQq1r4DM9/RTa7lPg4qLmx+IyVfiE4AXrTp8ZlcehneZc
UhyiqgGLwPFNZp2MKH4omDUpNlKSIW3HZ+qUGd9VM/7Ncj1D9dlNWFw27mfGoKGdbIrcb/SeLm3f
bOcaYieSRKyq7sgH4EmYFt5xBEFVI2yLZqxiUHeu27advPsAYDbmBLOdfPWiApUXGfRyIYuoChhH
lbhzqKYZ2xsMhNqLWEV3VDPxvQvLqbgJQzMyHlhL9VwOXfNhsqj/7+cRuCaQAZlWgFzdmDWWvrC+
ELQzgNe8MMAigwNzXshgnc5E9q5I8rVmlAU/LhwL4+SWnUR9Ukx0pWcOBapvLk+ZG1pmSn5EJuUM
DxXjGcPR8rK62tLiT+RFMFJJPVb+qPVZ1fuohfOQEiHhgHbFvvfAZlm3s4thxNcUcqKEM9f7FCQm
O1xJhlIJ32yO77VyKNVbibD/BiYbgV0shoHTptblsGeKxL+TIyk0g2H0CDn4kvaDNwn7a+sMA+Z7
SWxklbZa/0ZfLthm3bLMtkFXgEBO/Mp/zmcFLoA4DlxzSJv80u7dnCdMAQo5FlHMtJfw9M/dkhux
8SqHuihzHuN1EsNe5rk19kPLPBhTsnVIUBFTmYc7vzaCKRUdL/G+GsmetjHZKOA7seov4BsNWsCG
aROKGqpvq5Ina6zqO5F4IEUwVXQydrl6vIbI7tubdESMs/Hcdez2ad/rfldxwp7DBS6/j7SqrgCF
MjQEsvsjpBynOS7oII9eYQ855eB10vDD41ae98zEfIOphhZ4dnX0aKcTFUA3ZARRtxkToJpp6nmP
xDORn2b02+MHTK1yv9pC8Kz8o0xbJK1WQa6gXpUa/2uj97Rjj3ZWkaKEXuBIFAjypP0JOshNLb4U
htqQM3kSTcE8vbC729Q3ZMBOj634t5/p+MimQon0AdgMfBrSkh+a9pKMaQwYm9+gXykvHdUExzW3
Zqrr88q8GTf7991Wsqyf0xw+j/qtQAbBByIX+PnzXNy/ORRQlyLXvPU4bxFlymEvsjXcx1Y/7dAN
jDuJTmqviBHf/f7TweycfjryNA9oTqCIo0+BkWuulz4ROdFz7dn7kBm+7Syrr7//kFN1APnbC0cH
8wkPQmVwQtPJMFkAS8bQizU63rZhcoE6MHMt2HeO9fP/5bM8eM9MlCN/MEvqh8cXiaxjUJWm2UDQ
tetxhn4Cp21fDS1ljz9058Uv65MvRgsVTFHoYEtsn/TJmWuliAxehJyG3cdb/Iq4tbTXs1brHgVw
Me0bou4d5gr6ApFn8MUKfGq1iu742CAx5dxxnuZZ989NUS0XK4CI5Q8X+esT5hqR/XheAMqIN+rn
GzLGMd5bEzc/q4N6P4xpcYZJXPQqAPl/zNV/hLyQ/7vy6oiErCqezRvxquMyRRnzI681FkuIv0z9
QiKXQnxlQ5P6ryKL5cu/UFrYAt3Vf8tA38RXgfrL9RWqIXJ0tCaOzcLrXu1a3PAvn+6dqbM4AQUS
999or37ee1zJW4I21fwe5B7sbGbt/PCy1F6/hLabTdd6htlCKhfMaPqcfkh9/Cq7WFnGCTPFBR65
0hRE5xODQfoxCkbqdz/ctvev4pIftVLGgeaHnchcC7ugj0pV2MJDc3JyLb6LPVbo+AKyfOzJbI+X
R9JftD1FzYe+9BvvWuV1h0AdkpE/FMcYD5fsKSX3+QBilVQx7FGon1tBiLKVaVEV3HZWla7nv7/O
X25ZgNDF44E6HGfsZUbz9cMtG2fbj2ZXFdfkKOStAhDAfE0hV01PVDHSZVcKcBhHAIXA7EYBMHXX
oeGpn/79Zfhocxz0c6yh0yenFo3hZ1AU14wpp9UXCkrYSEgFo3Gj6LAz7zPBnqAyVMUNAlvm6fqL
uJ/r4Mvvr+PlgPgfqZArSS9ecGnQJhwKhqcat4jRZukEU3hR5oYwfOFhKIatRT+UoX3ZpPEqgZnk
ZGSeRgoEAz3Jm/NMehH+5JW9XP37ywnMaUpmJ6ld/CJEC92YWX6FtW8pfRRAsUpAHo7A0RMoZ2BA
nQPFnhzWBV4ikKB2LlwMmGXYZNX5bd1lajn7d5dECKOE62CKJF1qRP7pwrbcDDuNdMJrGksnXMn8
shixWVdul8c4C3eisgpKe9Q3+W+4paAQGXSvC//gpG1YWVvZtj2Ww7+/LLNOf3xuLrPQSBMlHheK
efQXCdgP6xjYbIq7mfLPBw/AyrKrY23cj7AsYgqDmWi/gaRbME1P0ji4ZfadkQ8LfdO/ugqFnR+7
olQeLzZ+UWZ3/PFtaoBMLEMN+qPE7yU/YFCrUWmJNS4g/8fezZywpunvJlZw1MFQxX9aLz+HJi4X
YIyvbFeCilW81ye7DoWEyWeoqD0ILGH66zlYcfsrl8X9itwNQE2isq5/T97Bv/bzuX8EIdBgsF4V
iA37EvUHNQOo10eb7WAhPrfn9ROjG/O6/f2d+jnUcKmnu54jHI4SNJY8MbMv/fC8/KDoaqoJ/SFu
LC844ERAP0cysd9dVwQa95XfjPO/XboU8akmoc2TPutXmUGFHz+0LxSdqykZDgOjMsHNaK+p9wCy
03LfOQktpAM3oI7vxwDqOFOcVVRca/wMDay/hN/9h8ViWhU/rlnuAZsMoVZI3k3M/EtsJ7Mpn1TR
HVbPDt8F9YC6AaOdrDxfy1lwJMzJeOs1a4vlYKIFlLFsuDVuAB7Jur9+mkrU7t9CK/OuZWcX1h5D
Faz1JGQ3zMmmRs3bkeEMtPwxGoQ/7NjSBPI/vXEIgOmq8CUIhmnJniy1XllrK22xnkcLM47RZ78F
mNVeuXYXuhq8jZWi85G2dvL0xh8yWhdb1MMN/dXF82keI/qadPbddmbX3lZUNbJlO1nwS+R2JAtl
L5GgvHBs7X3Le05mioL7lhIGrqBj7+v8mcR8NK9zaNX5czTCFH7uhybug93vl+o/PCZBuZV8hpCY
VOok4kQp6Exh3bW4lQ3BeJvDFMaxFkdJBZZw7uXjunjMkWNQktbfJ1q8PSMagfvt91fxsnf8cL/N
amG35d0OWMN8z5PLoNtsW5p99ZAyWHExMyZ5OwCCwfQlBqRAyxc+LPbVRg1xVaR9Fl+6gGWw356j
eT6W2oqc75iQdlP9h/vzImk/uTJq1TZRn+06HA8nu15CoyJjpqg5JNIdIWp2zGRu40Jnw074SVPu
LLdf1BFXpGrY5lEy6B3yC/pABZ0p/4Pj1BETuSUwt3tssXP3HcVWN3/HOwy17Pd38eVaTq6VrZk8
h3DTNzn4z1vA0C4FMkNkNA3KzYfeH/yEAkuL9iARXZNflAJwWkS0Kga4apOLodci4jOKoFo8+Ysq
gfpFinlOOKTTYenoLPsYNs306URJq1ivEA/mzOrOe7CNzzlV/xkRWDNC9LN1uNc05UDOu6N3gY9a
D4hobGYruw6RbeD+2c6xvkfIi3rGwydgOmBbzU8JvAT6P2SWZr2c3AmSV5//8X9sPyeRX0z80jaB
2wFYgdR4S/kOL7Oib7X7XvHw9Dl2IOmVb1vlw++fwT9+cGDk34ol7Zns4qddmJ5KCfJsOPRw2OF5
uNC8XKwRjW9YpYcLJ7UjLAY70fd/qA78w5sc0P5Hao/83KEs8vMn+5XsI7my/4PvdOd7YNk+Y+dt
+W0tqz785C9+DCZwbnKxKwl91u2CED7/w+vyD1+fzZLWoMeQiE0i9fNFQKmKHdPqOWA9DQuWnqUY
0GSIDJstV8TTLQYCwS5XeRz/4cz9p0+ms+OaM9fm3p/s2ELPjNXS/jwItIneQTPJSUGNd3qbUkLH
4b6nQF/vmwCP298/cmFKIieLzdSCuOmc9YwPnpy8tfF9mpewozQ5lHDQvG42+Y8IL9pmKI+hbWVi
t0op60OMS3Fx7EZE3VvCgqi7rG2bm/P7K/qne0FhLCQxoyMgTp9C1tVNWVGvZx+oK/cqD8LmW0GJ
5Qp+odV8G8FGXqzBnAx/ePoncSq7OBkqszcIF2yGKU/P/LWp7KZ1OfNdp5gg1s1V8KFtZPdhajTg
l3zSdBnbWFIOBnBsZfvff+3TtPTl81EzMAPBMiB+P3nr0xUhj1yb7pAvPRBSTHT1uB/RCvpoSdd8
K2z8lYtNJhvEODpwrXeQSfJLZHjrdKHYh96NPS4BmwgOfLcRSzd6h99f4q9PxtweZk+N/IJ/nFzh
0AYDQ4EJVwjlnP5u7gXLx3UWEN7CSHQfgWYpehu4G/zh0fzTvSFVF4ib2R+YUTl5Mx2g/OCjVliA
9Fk/DEjKl13GyxRtPVF6Bb2pasbQr1fU97PCu4ThVV0xOyNvbQAdA/19gbfolYti8FkOYxT84fA6
TU7NwzPBK1dGZE9+enJ4oWpdV2eK9AFwUf73qJKsBU5TUb1fZEmfMXVl9inlwd+pRWTnRRxU41aJ
ctV/uFW/bqRoJaTvC/z0uJzTU1Rist00ODQd4pAWC2u5DNIWRZu0zgGSiHS3TK49A6nKgE1dxDJK
AEwh1b/7/VIRJzGouSEuaZZJ+MxqOd1WQAwt4HssfRi8ei13OofEwkx7AR0IHcIY7PwuGr/UEBn8
jWWP0acKH6HosBRFdZ3PQP9w1M2rh6kU/vCnLc88jJ+3vJdiqiIjZFqRnPDnfR6vsEGX7qoPL3Kg
fTIGxZUFmfBG46x4SWhRPgx9Vj1YdQAI0rV6HOBjMKNHUU+MR8JpTf+w54lfNh9Sw1AoxugcSk/2
6eYz22PdzCO3C7CZAp0BjfMhClEp7qjnxxCM5sA5Uthm5Hkq5utoxUJm62FgBOO1rLOAEK7n9o1s
znCaZp8uETMDzNTkdYKcpyztwzDApPjTdf9yenBQIvUxT5oJcBLHn28lTYQu4zwoDs7kNYqpbdBj
6QNoeGwx2EsXNP/z3Mxfe4U+9rllLjJ5X6lmbj/Buuwtes3KQl3wh8X361URh1OZd+kCMFp2Wjpz
mqqxlGesh+y69vHi6Aq8dDeWZNb4nYyKAN+qobMsTveFuPCxqFd/vEOaA0F/74P9hU48O05V3//+
wuTP427k1hRUOWlt9ndss5hp/fl2VR48RVRy0d61Kmat0TI7ksonw/M5jenZH13nDFJpsk6b0Z/L
/Lmy5US1ZomxZjsMjcu/yuyGfCrL7fyGn5vds0YAJrlCYz85F4tDagEJhl7PfOaEtOi+Uq7XfJTu
Atjgfzi0fjkRMHuimsKBiYDO4236+fssa5hSvGW6ew349Yc6Hez6ErZr1O7zYKI7sokipCRbXAHr
6vL3N5M5Wn77D+8xakLhm0qKYJshYLBP7mbEILtiM8kYjqPvEb6b845ZSbwurZl/ZORYAI1nK5zG
+XOqRscfz6EAr4iilxUAgacnr/80vWSsGbNK2ffEGSfWiRgSU40aUmQ1NMFtBGDZmd308Txgwc0g
VXMmc/buxxnuVvZdgaArPsR2vbqfMs15zISKGr37DvleFnABtl6CrShJxaL70rBU+q3dxNX6qBY+
od6FeeHwaLo1C6NwX+KoY/Ny5z2/Fl17m1nAf/1w4a9MuI3p5mAXgy7Coz1kOT9u3ElJrdkvzUdH
7pryp6Bihg7QNgBHFpMgrxrw9oXJztJJyoocvkkCk5HPTFBRlVNR3HXpMc6shsVCBb/y5rty9L1p
pk1vj8vnoeyW/knU8SKqC8ejjMYmTteYX4V6RUcK5KuFcgQdX2g0MOzkjrOdEomeY1vqSpnkMrHy
DuIZ7uJc+DCG5r81udd5Ny2Dhubfkd5B+wpK5vvW89zpVz8+wFhd5+Id3E1vUrdWqGJpHzON6Vd9
3ngO0BSoAo7buOb5pGR2lwg0ecPe22Iker55u9pUs5DEYV1nn5pnNg/0rjceeTdgX5Sf6foIf448
eotlt0DLjbKx4+1EByT4yiyjYqovgexS4XDTcOysbeRKUtNDPGQCEZ6oB8XCS6jJcOtn8HPcc9ty
Mm5sIme8iEhper7xmPTZ+kjJoOMNz70m+x7GWcZzat7effg3PPQcMBS3JKq0eYHf/lQvKzK6Mz9d
Sr69J3VYP8pYFu5d0KlifURP3vY3oRfF3z1aA91DEaxT85yOlT2DJmfqCbhkq6Fd7LRYE2dAzB0m
PMsht8yHzknIMbX1IsQJSCW0dSuYD+VrIV01T6sd8Kl/FkVluw+epOxzaFIocuA1sEd/hHWdccnF
65UjA13qZ79Gsp1t2iwn5Lht5GTl4dF4PHdIe4YVWsJOzH7AW9HXttmnHQxK+MJBEGsPYcmahupc
TkxwwFyb0C+FF/iahH1xLcGBqg1M2RaRf1kWRX259MKrU2BL/tS9H5kdhSyepsgdbeRJ4zpfYSTf
B9GGGueqM9QviNSOMSBNdgXocioE2o3pmfuBGYu2fhStGDEw6JECuJsOZiwERF+utfq81pa5ZLhX
MUEvTe01X42CaMK4iWSJ73jwdVrzajED7Y53dtEgfNxULtLQxybokYNu6emyDpATmb/maBYPlRrH
rUXzPgAwxhKEx+PxLwU2hUyZpB7sSeum8MM6vVsxCOYupZXnO2dZFKPu2mPBXbHY3Gg0/8jHueJ2
dlaYZ99f3zLVj+aHHJJn3lu5htmY3q9qEuDUKas2+TMsYXjEsNXThXeFLcY8dDybWrOt1S1rFc8v
lX0UzN7rM3SbzsiU8OqqlvniugjPMmdOo7tqlCXF0ZwTj+nLBk7CN/SJGcZxcxyb9wLpDXtnTBkT
8X/KePsot005mtNuigMrgDVHtfQ21FmbPiIuNUhXTXk8YKyQWuqycRST0ffsgGN4Jxa18l8Ap61Z
ho1fLesr5nwWqJZvz2l1G9oxuE6PuDNsGS3jwH/9wmmS+xDA3FRM4fWw9Jr+X+E0w99+P8fDU5vH
qS92rppoDHYFNmX2BivnZq32AuRAs3di1tBXdMzauhat8ck60DYM2tu+C4vszGtm/Mjx2BjqGdbY
al3m/RCPyS4oMlWe0TVvQoxhRkEvK4ryPtu3hWVN1sZtUmCjDsIZLhgsKyXpt1dCRS4P6q2iyv2r
pLVBHBzPD+nq1x50xgRXoHwH+sa8RxOzTsulDnXPH6I6Ns2VIfbNURmMgVgYvUvb/BldvFmGoF60
ex7nnQvAKoqsMrzrtdPxoxR+Z54p/QjTRwLZknNDGZ6rwXRFFcVxcFwtOnqK5r5m0B4FQHrFgq30
eTu3KOaEYKSc+txUB8GFH1oBLzRqVLq+W0alzB7XdL3kmGPOl+hsV4UMSVFFfT3YCC7ceTwmjeri
jjJlK5L3BQLr6cu64saN5/JrrOSIyGzXb2d5XmQRAWZlTeY9SpZF8ft59019+u34BaVlAoW3Q4L5
KsQw21bAL8KF5yXwYjLOnFdoRDU/5vee2cTLoTbvhL0KcxZneHzwRgENMOdnFeGIBk63jzJzq1Dt
mVfq9dSrFSLlYUt/N0rlfzXFPCsx+6bvGUDHBls66WNk0DXANd3XplxRTS+/uZfmjQrr2ayH2F1M
o68CTcu9zAqbIIYJn5hf5VYFz2nbQimnpeahEI3vFjtai/YBDzcNQniy8xpgtahzYKyt0028lTqw
YnZb5zUupT8OBoyiB7O+y4756jxQF1nEn+tLdGAtG8RsOTU/4NMc4QxBvEaTcQtgzsQU4vXoy/3S
rBviGvPqwe73EDmNiNTNDvT6CX6OO6QL6Yyig70v08IcoG5c5rl9BMfexGSGXm2OpxLWg+4fcPq2
muKxbQezWYVRionp50RG5q7rlVHSGD/tucCkgTx8XaZW3AyG+cPeOPZmmasa/Q6+P9VMXedQq6rk
ryxjLnjo4KjMtyCixjAKnnzvOUilR7WK94zMlm0GgV2rVryLKzfnVtSMPNsWitDJ4rdXxp6R2C/d
pGJ8uVNV4pvPTxBSRp9TM3NYPL6FBdAa0v5L0y3B8LBYSvEyOoj1TaEaNiLWNWVvtuE08VNz0Y1j
YkKm/s3R4yVQn9Mb6OYc++nAaFd71i9ezuN4iz1S2db8fc0AF1+yZBg9ru+nVnvjXRvomIc5hmUV
YSRUmF8YtTgZYpU7MHkiItQE1kxotQHlID066mwYtQM2QKrQrAocEEyzONXKXNrbr/BLgt36vG2Y
1UxvXPxp+JsLDp28IpaG5CE3omYMN9jVKtPteF2/rueqY/SF9Rza5i16E4Q0kA+4LFUq4gAF69J8
HGoIfmVO6YN2iatBfH1vu6TFoIoIHwSgWSHma2ZF23frbsqGXF4WyHRTSA0weOxybynLj2+I++v0
0R+ttgKMGwX6m49CN9ri+WM7/REBc1N9dJrCpq+vszyIAXqBQW7GMzE3Bd+4LFy8BFqHyHOX0erJ
n7LE1i3ixjJd0bgkmjJnjYUpltvv6xy1Mt4sNbDNHXbrawsGtc0lYdioeTLqOulz0g5Uqm6NR+Za
L9aIUynGiknxMMeL5B8Y/+L4vl3QzgwzmNAI3jCjNSOiSbSqE39YEIwsGmQ5C+o9v5e5AcwGC4R2
aZ+MfbvViVwRJnNvcl9c9WNQZ81dgCjHLg6hXYxuj+F3PgfDsRnrSLDZpbF7KwQFq/6MIWjz+Xbs
BXO214ik+ZNTiMY5i/IlL619KeVQgnYbUzs4Q20WdOtFAMCwUnQDMREW+7Vr8zTaamd1wLvSBY0W
zsgqq7MzPEhs48KrKyQAKKNnHGqga6ikstrrlsFRNr6J5W12vAxi7l30GjW/bdlNKkNkMcQ2VsFO
7Hlmj6edA+l23wfZkj13XeMCfS0jTNrQAJMOlfdZuTCbzeZcxJgUuZ0bPjFAE/Bkp4Exp34zhKso
l+teFJO3cS3fLsqtMGxrexv46dQHT8EqWDdeGrUdDLhYpO61dAcTrpZ1a9I29XrIZbBkeB2ZS134
Cur1r1R27KCu7crV6osdTWeTlJGAdGwZr7mp21bmdzmdTc+1BeI73mUVtOr5fRTNTndg0SKZ3bBQ
CCbXl/QE0PzLuVDwM5dDo8xZrxbKIrimKZPpSic2p7fHtjaAj0BbXs8HCr9Qdm/etgtawHgh7IcG
EpGiGcC+L+ZtTRczaa+6spN9ekeeGI1iA1wmq1qgOqnJV1p/NFv70kFPWfZZUJoD2A+YrP7OfuWz
szP4ivPx52jxvKLfeXX+EpNGpbktb/oU26tJsxQzYdyxYBp8zoxutPmGYTOM3FNZNaZVnZVWU2FW
MDhZm58xF5AswRHMaTMzjWNX+lb1Skue9cBtY9dg1cA/zSXnqmhmevJvx3jlZTN75OJiWMp9eU1j
LFhBQm9QPALEBQcCQ5YOUc/OZsNq4MLWJFz5KQYsHOdMvm7L0JdzEqTXwLmPQ0o2LdxT9sgKfSz7
Wfm65fVJERLPvB2ueKihlN4ws2QZnERcUlHZ1FGwsoab18gn7SOz56nFNqGCxFuITRURvDkB46g0
6WBNt8YkFIskRSwTZUoNAlwQJ10wpAMHRNAJE2jZWq5tvS/A5ieXU4M3gvy8WOE8rUeXGwzznxUS
hPe2o3sYeRXS3vgbg2x9hDPJovOzNU3AemzHDOg6htisnxIL6EQ7yzamRCHaM0p0efCNMoH9QddQ
GD4nkzI6qCTmMR6dckybc8z2ouWxifJy2q7eqtZjzNTa+oHQamXiuatDd04vFsqPOt21eb3mQGcz
y/4koxLzRug7ksFynYdT3G1iMXQtWJQpH2qmz/XqZZu0UGlwRt3bSjnIcDzK9309O88iKmZ5blVM
UH/JeinoJqy1f6zUDMPoAhzL6J2v/WjB96AjF71jEN28l4yEgfA/zpoA73u0jlkc7rwuwDLKQZyD
UWxW5I17ttTsWD22z41dqR3HJASea5OaRUcbZ+eqokbGnSN4ZCy1Oyj6jaK4chPdrV/eMq63KJsw
wEQ9r0WC13zFUow+s80NCVllHDYE8L4iea92fj3ADt1iDuyzKLvXRJ2ZLFbL6/qfX2Mo+fpW4VpF
uXGiesTyYFqf0tBrys3EjAk13+Lct1fCd0cTVmsbJvR4xPlc258oGzRf9LikPh0Wxzz3w6qCZlpg
yA5lI5kag3DJpg3bM1p2ST++hSMmtMZRzOwWXb624GkpkWXvcE1PhmZTWnZdXvjj6uG0sMSz2TKo
6Zo8iJlEyceHDlP86FTw4DLJTMRk/fcG/IUmBB0E2CykADzhGlZ5E/HO5Okg4u/sSwVb19osItzn
ek4ZPyMrm4oPvFJe4m2QOrb2xBAeShFwx0s53fAAm+kmzutgxUqBQQ74AozWr3imArPpvinmTrpv
xBJD9gWwjc4e0wyIEhQUUF7Zlz6zBDCz3kfFlHNeeC12lgMjYdzfdJmMwmut1mr53GAkzfXOVd14
37CTIp4+grgZ+XvOYptN0Iadw5/qZrQZsX0tHvn08vHf7ioUjhlsj8bcjkrPNhspJqEFsZFOXf4w
QqX3bnoVmZNgFpiZUUV83cN44wLKEzC4FBEOzAiR75bcjcJsI9yWWaz3mlYkDwwjOHMODbYquZzi
NZxvbWWyjQhEAttXKACcPLqW5KUAqdyVDnT8t0PaFJ247TA8+OkchtP66E1y8Nrj4tpoBCmaBo28
qtzaLL5U21AY2J2JqHEU6DCVTI/aa7qOD/tP9s5juXIky7a/UtZzpEE5xOANGuIKajLIoJjASAYD
WisHvv4tMKNfJVlREZY96jZ7aZlWVplB4grA3c85e6/NZK+G4WIb05gFloCEWp3IH9IlmsDgfuDm
L9w89aoVLq7QEV+2Gyx/9gAI+qJjAnKSIlppJc9PVGEpwcikDctwdIZpUu8JIKDjjqKxsS7Ateh8
bE7BGes2NrVxuv2xpxJm+948nRF6LmFkR83yEpG2ro0hGLJ5+9BiErqb3cxchLfNkXv7mKJE4vGm
s8xTjlUsXvrGZwvcdk0M0gsstMwwaQYTTKiXfBgqxpeNHJTLYqxC6RqR0vMDI1CY0x9tAIax20mD
BkTO4tD96OXRh+UbG4YNqgRf6r1YjKeop6QoieYEtkdZ6UgCRdtJcgPjN7aWvd0aEwBYJF4Ry0nX
i3nrDsU9HbFDqjcz34s2GJbY8klx9ujA0rLtfyqn5jXRzGuFWXEPJSVfXYeAg7ewUcDZp0qSMClW
8Gryf5SkEpQAZBJPhGf7y58dtTSfbKIzGqtuLoqBft/bmuKC4+ylyfXCTPR5ygCROGRh3L9PFP6W
teC2Lvn7I5j1Hbb6T2rr/q2+AIPa//IPnaevKLbq78PnP/WBAPs/A/mK2Obf+w7+c33rXp7T7CPd
gR/503cg1D8AZCKWBL1hfgBTm+YfIGDRMW2af0fHkfD/2A4m2AcXfSUcVqZGiGaYG/1wHZC8jU4Y
GAQEAayIEKP+ju3g44TINgQyRwvNDNJSGNkoYz/Op9ZEhYowJmrI/Ck9KG2kPBIxV/7OUfBxDPZ+
GdR1CC5NzHqMwrZh+F8ks5XL1rgyJQ3p8NjHhXzV0KoILsJkNd8vhvlt1ufmMHU6VOW+Wq6sLG4O
MtfyZ+hgwzkpdXEGXCIlowvfJ5SkYeLRitrfqBQ+DpnfX6ZAQyGYMzMWhRP78WWm2Ip6Pa908Gpm
v5d1AvGmXN34dBzkW0x74jx1SB4dBHGtf7llrv6cyX3wXGyfwD9HdT8urfOVGwwgBWroj5euMm1O
FyfXQyJHipu56Id7+lRqmBrE1K6jvfVph+i5ZLMgNEUd7uss6e9RL/bnpdWFGkL2469f0k9uDZQk
JrcaL8oiA/7jK8oSDb3JCOtq6fRReEzp8l1hl+Xr37+MiwQexb1O7uqGPvnrrdGilSvNfqAaScoO
TyvhkEKQSv3fuArPi43NFX+NweP516vUFNAtGBMZpsXq+kXSKDtHjV5+fZGf3OUIA9GIbQN/y7S2
qftf7nKMvLPj5ulC1RAZ57jVlmDZXKN6b8WBsbKhFa5Z/GbC/FHPwo2zWV9UxGAoawSP8WeBgdFH
1TBFOvS8+anJ6/RqhamMJbyKn/Sa3hVu1XLXlzAjXWClX3/9lv/lJtmuzgqCFhCoPXq0j295XYlQ
gFyoh9ZUXGFUta+od8ebX1+EKodf8+HpgFBk8+txEb4bpT6tH3FDUkWd9LRUamUJZpHM55ADshOy
sQpytUiFeYxcSheTnOHzbjbi/aqXJmvMCmOa46ery+GpgSKY+61KdrFnTsb8FG+D1CIS82mCLe9k
dNIM5VYOp56gmBAsBWiA3Fmy6wpXcOxFjEAfo3aC5qrkKvncJc58onunNJyEhXaWuFmwBxPTmzvE
umnYDYZ+2iOZu5akLvlZ0lmPOTXaPstcewN2Zd9tcFq3nHGW3TTOU7DwNS9+zqIcZjQhT9AYV+dF
l1m04hdA/k0H/bct3khPbd5GkTGIkQSwkGW6hLMa1aEutOiCqoGQAKLk7FN1LtwTuoMFwFf6s99W
syBSip8+STDn3PU8/2RvKenS+028ue/5pEq4eo32OFrZHFZDdT/ZtMWgp8JVbiBOnWVUQswjhtEb
7XiLil361WtQSu2YSjS0ZkipdItlukdFumw5yy526wIAKQE1hCT20/oca4vCjK3v4Q+WJhHCjZmu
YTdTly7Ezz4wqHXCok1BkGXY0YLUkgfHQqZWIrL2CuQMR5KGiKsaCDCwTSXfd7VQ2hODr5A+k3xI
6m4KLaMz96KR8aFhEffYpbVjB8/gSIY1ks3ZmY6jOZLPyQu9aRb1KeHLucIzwATccIPaUoarLIOr
BZDMCge1ng61mauBPnNCnaIvy6jcxBAAjq2qkoxm0wYd692a9tXZKLRncyIFKlLhLULAMw94dhhT
xfl4NkgTEK1AvZgTPQV6WZ5kFLuh0tb9kz0OB8OisdiM3EENLLWK6G+cKP44p/cF6Ud9rp6O2O/H
kpFYbIorwuRuMlin4RrTMnDr2L2yOqc81oq5IWOKUyifF1qVId2hIjjgI3tysgMEttfBKM56ZfwK
mKQjk2A4idTqQTTGdHRiPrHCgouplQLTM8mt3pxEFK6WTjhCrpGWwFR4DNNuWcNJ9jLUwN6KtfGA
PmdebepfamG6B6XL1ANwsjjIzXXcobnz8M5cO4tgjl2ZfZAnxqXqZBec+/WgU80yzGwgxg2jDeqa
LusvzAgoUq9hqHdgRo+Vvt7QedePgKggYHQ59EKr32NfmrZsgymsMJWdgE9SvC3vnKmUDfeEDiUZ
a8hD6a74ggbsoa8NmMbzoTXh8qlqfXDS6qGaYB/XUlxma3UNZ8S5c4mlvYKc7T5OY7seod9eksPq
XsGSXXygcpznYUiEejd9QwzgLYbNyxbNlRXLfZWn36Jx3UbMHePfqOmDSRGdT3DqHVTts1rI4pQx
YUNh+ES/B76ovjwTt7PlLThkODUHrdcmUtuweDjAe/ThywAKj0ygtQsnzH6BYprlK5XLntyu07il
6ZoTZqSRzH6vEHKr0LEIUUusQVEoB3O214teKuSIIA0tKibFnoHR7nLh0OfRlzB87ipgMyq3FtME
Bdhr/xJhI/BKK9mjg3gi2PoSVui9kybtuWUXw04pex7QbRFcxFEXwMPpj2f7JSWfvLXdfa4RbNFY
eHzkck39e9TaVeyYdKDzADvO41RcSbV26PsagvWADO/EZQHv7X3fDSe0WV8w2JyM9miciHhcTVxh
z1OrMEcyiUpt+Iopq4jCxuaZA7seXftiJAspxG0OxrEDOW4alfligYnidbjaMVWTu6rPHpZZKX5z
kMO08y97FXEy+mYm4QSASv7TXlX0pLW09FdDQkjgrxTj3FQ7nWRhHgqaBpAaDapUajvREXsy4oM6
zN1ijUcX1k1KlAeNObKOdCibchiSmzTFguEBOdPioCjr+mWGfPgcFZyn8Z4RVzJPw3zLXKr/HpsM
oOi9K4p66It2IdIe1uzTkrrJC91T0Ik92mkOWBXtUEQ5ojl3s6F8NkxNGUNZWeK1Wjh+p02B9ZCC
XAMeZTvld7tQED4QNwYeqnaAVMJEaNpgE7cTPhXbvbKbUlm+cPsBqVHU7koVccPqTaNb7BYiPq/q
GucaTpmWvN6IHp6nlXpfnqT9hFNlWYG/MryXPY6bEe5iDJPsBkUZMlen16fmKJnZPicKSFXDHq31
mdmDjNmARLpeJ6oRjSGTpUYNaodaK3CZ59nEV87Ewsccy3rGB5Vtg32L6tcI/HazgyKkK8FMy2b2
zGgoLx0zkxmJqqW4Y2xVAHdGK3xFgpPB7iKmng8TLCvk50J3z5Q86W3KFykJmESAh6smgnkZtMMM
kor4n+nGwPtbBmnRmQg2dBsECjVYSUGhQklBG96V56meTaSgW/BF8OmBxT0xVHt2w86YLemXakp0
WNNU2FDnKsvvJd2OJEhRheWBMqC9DeCxrIkXxSWhnngyy+XUtaVLTqAYooNtxWRu62oOocQeTWmR
udq6y2Hjs8R0pAvY5phNGqjXdhR/E3aF6GJDlgmfSM7aRdgLSgaFAUt9ORVEwoFbbujyFBUHhaQ0
AY60pSpDWoJNyRY+MfvEvFVaB/6ZnsCG6tYpE4+2DUedbePCWpUyP7NF50TSK82q104KwFJVijRB
dtGR2wJVxtTLZQrgRKXHbNInBhrOpGzhuW10rzAGNUixxyoS0hYxTzIIFl0gCw3H4Ji5GiclLCxG
OJRyhPuisjzX2MS/zFOb50HCzkBrUMzQZWzug+tWT8jkiPO4NDyZJzA3GpHnBrC8XgubbgWsqqux
Kn1E0h2LO8AYjXxNB7r4AjzwC1Kq4SHRNOUadLp84FfG+MSSLH8dKdye26Ug4RY8LojRkYDYSUnF
eFh0m46gGmfT5WK0FQy3le6Xr42dSxy1ZdqPcasLh4x6F6j8NNuEM7OIpqSgDistqXKyhtN0nCVf
F5Kx1z4VLHRKNA5sk9DkkrAU6LK4Xydxk8Z2h9ZQqTlMpVCB3B3LuW0FtPqye4WEaEIF025MqS/X
6cyJ5+wZF3YP+h/pHIc0TaZMLNpe+apFDh/EgkRuCgsN0J9Xl8lA4GFc6ye4hob80taIbZCxAgJ2
O2afVaCWDPa2Oar9dh4SIOSOS6NOAbZ73rkqcOpmHpDYMX52nmajgmnIs9K3NITz6bKOc4jcdurm
Yt8PpD34ZoTo1OtywwXIj5PhVLNWfTzJkhEs7bii4gBNU2d03EZVHjmkOM/C7OTdAvnL2qGvUYml
mitjAFHuiK/lgh9/N8Gyyveg8lcWsBGYjT5YNLMr1NnfCvQCoVS6pT2VKKUuZiQi9/SFdevE5e5I
Q/pwJvQ3oSbFiaQnCTEdVRSFQ4oVkNypUs6HSutccgTWDnx+U5nLpZz1vveJJI2uW9BAWKzVCaTQ
VPHMeNVkr6W/dEWnkgauEAxW8eV9Y301dRKqKCGDQYNx5/Vuan5BOhfjAyRm82qdtTW9RGCttftc
WNHFJKTp+EaRp/ik9UwlmrXiLEqWNV3GEMu3eeuK1LwtZkOBIFej/g4SwBONJ+x2Rv+7dC9MjlJw
S7HVFp66DOs1FUf2EMVJU3j1JIxL00RnHGirBuWcW+RI05RConUy+FjuPNNCQWbdVX6/LVaEjDta
62sY6b/aBPzGPIwmyHtJ3dWRMzrTpYegNr8kdaOUZMNv2gG70fsAw0pMXLki3ZuqXg3DbyzwFKT7
WfrZXDTtNbSJ5LUxlebLtFDE+JFT9c+RqahHeAgmc0wVOIUvK/rlfsc7e1RkQtyHPWRtG2h90dwt
OhqAcNKKbcCI5Tw5Ls2mGQBTLsSeBnP0qrfSfFOZKcyeYSjT1eDUyhvyNqhwuS5cA7VwPEMMjdk5
GUaIJ5XI+iFsyRa/x2OQgPFV26kOuw4SGP3gaK3PSq2znvDgNDeQIjYvigAg7VmL05KvaBIa6cW2
S1PcJt/ijlU6JURyZvLgg1ZnHZsNxFp7gmHzu4ICAjhiih7oiNLRvgRdm113aoIDWxc1ebJVpTJm
afIRmtZExAvEaI4ym454Khgm93IXzyreCCZgbExYURGw2Wlyh4A+5phl5cUQsoaAQNQH3DnHpFcm
K8jHxmn8fHWI3FwbWkkeXZY1JFFsvmX+CF0HQVl9M7OOcWNtdY2rO7d6NM83gzVCwmQGXl7Ng4uW
msG+bXumrZCdMFuUUEGaFsVLMrkbPL1UceZ2fdd/zcGnXRpZZhp+Z9caRWuVTEiK3DkhRIVB1rXe
5TZyESlJYUYzAsS0iJFm8W+S5aWZdPJjS3vN7wcGKAvDkoEdXYGLFHvKNBXtvoJon9ziIzE5+WfJ
o0IEgsTnokynJdgTcTqrTnuR07i4QXsBJ0XXgdxT/jB59IsRfvQOfTgRFoMsmMbEbkT2XTqY6ACc
uAdmjSnZ3aXWPEiuCxIJ20uEuF5vsmcpgZ4TA0wEzD1FUtpj7JXregdLT6+OIgWFjnc3epz0GgK5
wYZEMAsb5BLSuRy+NJmA4EiK4GDdOyABHPjvjNFm0sGnxYP0N9OOkHbX7wZNjx7EAGjllOCP+boY
Re6ENgeI0SMtc2CO3g4TtzSHuL2x6dFDhqvto2FPqbtbUGq45ww8VgW03SYBJpSUYAuL3JzzfhSr
COI1kSnLPi7/ncG/2K8lfZ5dpcv2S5fF2GXbdE7ebPIndI6cuELgD+JxhVLCAMePlG6Mw83o85bk
LQuInrfYfTi9ZCdJXA7NpTnkPey6Ku2i4Nd9p0+mI3prW2IXWCks9O85ZZ+askiopK3H8RD2sFNv
Gfi7WxoN+nlYck2xq1tTu8Vyop1l5kIkSzN0IVPdsfX1auJx2UR6x9adJHIvpUGwSjQqzHaGSwah
alL7lqWM+99f898a0fzb0cqHbL3/bbl7kKz/8vVtuX4/OE/brOn//MeX9K3rnv9x9lZXb38lQL3/
2H8hoNQ/dJvnEQ8Z2Cb9nWz0J2db0Yw/DMYfeP0ZudDM3AxmPxBQ7h8ufwG72KY3RPdR8P2YxVh/
uOhECOBjYmC7WNP+FgLqY+HIGIgmqopPhwmA2F7fp14q4/CqjFbnOBau9ryQmQQqdhiHF81M6r/V
23+/lOaKDTMHBIee9fZS/tKp7jWNTa/lvhRm79O0ZoIqBuc3pfDH3vB/XQQDkg2WiPTTT++HkBhc
HKk82nYz74RO4ExjD78bnPzkQ2N0gI+NGhUxyOcGtBwNB9TnfOTDHb5ZoiCFWzfma2m20W+GWJ/f
Du49W5hwepmYwS91P1m5rEql/zWD3WT6w94YYxBgI6373yw6P78M7lDWSQfb2KdPbbBml8yb5phG
g3E7Jl3kk0czHP7yaPxk3LT9kn/203kfKpM4dhfXggtiwvv6+P1zSh1h85oHURLCxakDhZLRE5gd
5LyqI9Tn303W/vVdWaDqaVJp4CcInf005dF7FyWybaA/A7I5VIvqw9dzwr//rni0bTJABCZx8WmY
aQ/0uRh0HKaU454OQNNTZ87mHAExXSPi+c039bMP8Z+XA8rx8UNE57xOq6IdcACIHXh44Q9NOVwm
62juWEfa61+/u3cqzacvjQ2JnEWDjxA34afx0ooJDDFOdSiWuXqqWzV9acYVNLiZkwDj52QxIvgp
nfxKWpi6Aj3qXDiPcuzu6LzHa4D1EbVoXBX2Y1OSFRQgTAGbKzeOsEljKOLUNqT3KFjpUjR90h/G
OlenZ5IphHJNJq7Otfu+1X7ztX1+hAXxkUw8GW1YmBU19VPDDOxvZKbteEDcK/a2O3fnCNFNcgOi
9DeMqX/9xtjMBWs8k2jG559NxJEFaR+O1oF2t4rIObZ95jTT21LX9B2HFc7Wr7+yn70zLqOi8nTA
R3y+6+nAAWaJu0OFqJN5w7TsaXHNB8hU+e2vr/SvzxfvbIuX5s5nIGJ9uhcRMDIPG9uDta4YSKpa
IVo1nfy/fZFtGWcHZNtgU/j0RSGXs5Ysqg8Gjag9J3Sk29jPd7++yE8+M4FXGrqKAeUKXObHp0o3
UkUbbXw/Q01JIRtY8nE8exlOu9/4Y396JS4gVI3JD9qEj1cSIO4NRdaHDNfDWYbZekeubxMWMwOJ
X7+nn3w7CC0s5qQWNzqr7scrtYuqS3wTNH4UCq6SGMDUTsbf7Ok/ezvMf4nRgxED3urT2yElsVV7
Oz/MRFR6s2AiQnOGfaQazav/xtvhfEJTQ7dN5/PbmcEdUWkUBwLOln094+7rzNL+zc32cZi+bVHb
O6GthhmWx139dB9Y6lqbxsCYyiZ4CzvBeWOPzflc6tYNWWrLN8TJzdOv39dPLwl+k1OEIVSUKh+/
pkSNBS7K7JCvbQKaKql26qyVB6tbqsOyDPSzFYVIjl9flPMWv/bjus6BFJUFh1K2LcQJHy9rM/GL
0eTve1R7TjhZs/pKl9MiI4iHbQ6ibSCdIbzTPXdsBgIZu+yFXocgDtaA7RVynFUvmrqaL9FLrgu5
aXV3YoGcfKCsySrfYQnCX8frBy1h9kAQCm11wiTvXWbNnZtiemiEY1/3iW6SCGp34xV96SndYWJl
tGillYNCs1VVOyjWbqixE+no0bAETMmzyLCD3OipqTAN46Yxffoy0aXeadl3+pJtf4KK3RAEcyk1
mbS4p3eU3iqd8Xw+qOugjx6Jbuq5ioPRDvuWD8O3tRJii77arac5YxmHPTLWENmqTI8TJfEF3qTo
0TIWzDeltuViyDz63pqiN/cyH5YHqm97CNAaOxMvJ4vflIrYmAiDFoMsAbF6F8falAcpyYJnTo17
1dPtaAJbXknCteKtZ31wEcxOZIB2bgdf297Cbu3c0WiGLizipF0tc0DPg/iLwiRqxCdGPtV9EvZo
wEb2aj5MaqLxR/qp/J70S37RsZzhBDTQiLct8Zh+nEYo6pc4b32loh4044kYrqInhUKNtWYNoRBK
PJWDmXlIS5dvytJgn4mIfSHlNSkjxVOzoj0dFk2Ffz/XRJ9FDCdpwMNypPPtQunA2ieSIoBsvdyM
pjU+unM+vEQ8YH1AgA66wRavzW222PVNghiYUcRM5J9xaGHYpcGgz1pCdF4qnLPJztLssPRlfr1i
yTXO12RWQov+d73vHJrwaNRtZ9817a2l1EV0cBb2vAZfpbqj6U4zqZn6cZ9gy5n8lmftxsE40/kG
9pcTMmDzr4tw1qciLrVzR8r4nqO/RNWh4IwOOebDz+uYctzG+AsNZs2t/VAuwAcDmx0dqfIyUM40
dqcQEZwhBOKGHPqXJYrtKZCJVqSBQW+SNLJMfOuHlOxgl1DH1ScvuylPszLnES8FCcQeepPie9z0
LGt9Ueh2wJgseaazW2sEkokovWuUnk97FfTpvHnA8hCYCDW+iLk0EK5SUA5Ub4ZdM7ZfMrT36lzh
h0li2n6tUNdzguuYwrTlIo+gDloZjAQuSCZXnbLnPBQruP8T5athl7EWRKNt5WBLWtiXcTcs684h
avdpa4rxIKnjsk9Y0/owgUZSMKFBLn+9Rpqi0s61unuLnLv6YMmaFsmyFM7XAmV542FIX82dy1g+
Qb+Tu18XmuZNYLQp+ev0IM0GD1ucD6QqF+VdY/NThDRo8Anw75pYqpKkfM3lkn4pAK714TLzoF80
NlhVjJolzD50/ji1emzT3lo2ALVx5rbwHPguEP+VYGr9ychZSlJRRa9Wn8aYt5IsnbwtZqXYNVav
G3i8C3LhbAt/VmDWunxF7zJIbPUo4P2OYBSCOaIYSXmbiGL+KqfGFG6AV7rGp19MQxadRYzlR7rY
iW55OG215NzS++HPHfj/917+Y0Ph/3sF7M1bM74U6es/6u//GJK3f7BKxvVfezDbj//ZgtGcP6g8
LQ5cHCQ56m8cqD87MOC5NQ5jmrsRvtB5bdvkjwaM8QfgO/oyzEdNmE3GpnH70YFRxB8qehXNtVGV
OmAu3b+jhuVo/mEvpt5WXbqs5KnxK3EtfW6M6ApHuKxrdpYFv8tAuh6DN1wM40y2a1udTR0qSA/P
UV6EM3Y9+Ii67B6ARKS9bxk6bV53VByT+SFPfUA2Dvr7eKUtwVSHGLFg3Bqmm0Kj/LKUtIE8uUBE
CZEtpF91pAJoE9l8lrDW56QMjDyJvmOhVbvdoo3mbW8Ta8bCb4/ng1EzU1vxWxiH0aHXs7dpGE2h
KQnp4PlcYwKiSBL8ihTBLY/j1GvLvWMz+DjRlkHp0KHUhKe1qYYvS6sJd2FYZKV+gx8j9/A+RaS4
pWsTwJzlWc0gZjXeiiWKKVBaxxMBFSUJpkkl0nMw3xxGLH1sOm/VFnrB06jkLyWtuCfVmnTVl4Yg
jDrrHPcrsZHpQ8syvuxi6Q4XuVMhcnLcQvteozhhump3xK25JjqtWc6IhOu0Lq4SEpTq0Gh0dCIG
YrM0XE2lJmNu1gYCOGqiWnyBXuY2JYYRb5WWLmZgGYzsoWXk6xcSdC1YrZWIduvMMCCcO95MwERQ
sUJDpqOzV5ux25PDMjz16VSQcWFVm5zR6i6qkYCWAPMRIynqabfZGOz56Jsq8yYvtYrsmUNCd0NU
Tkp7PR2s2u8K6r3AXpHqV8a0Al5BxIyIS0srPdASZ5S+UbmdtutUuy2ZpLNIMzWzsuxGdtNg3awl
eeUHRrZTf0RpZjfHHstc6jMFzJMQHYyLuI7Ydi0k0iqCV9tMleb3TZ93PrNq5kPTpMtmL6zUXEIR
D6uyZ6CvDmc59LzhjCxT9skER6AMNKtjWEnHtGpPwBkrDzCvlewF7aPOpsLraINRAVnmUelS/+OA
mZJDnBkAQkqJD87H7r3ilhsgN/ulYajj2ZIlru73ZPjgwJVI9sK2gXJAt2RG7WhPWY4fvJlSzcEO
3sbKbV3PlgCh2OTkji1Kn510+azc41NjrU9SenMeXv04PUsb2po36Yi25U4UOhMi2RCF81giNWz8
hAU/vS2UZM7O8yrqTyTz8/I0TQd9uohl4c6XHcFa87GdZe/swFSQNDiNuRE9DLqbm9953UpNulPq
aEHPDSR2/bLAhbNhZjTXYt4iqGKVWeEu4SCYhjTSxBgQLTSkRy1zGhzPdTKuAenbbXEhutJ2Louq
Y4ybVFIxTow1RluhRJSl+8RdxHcwx2SLwBpmJqsSz4yTKc96I+zSsqh37cT5isw77E8HaQw4A12j
SGoQPKXszuNoUiu/IIOrvNAle+AuirVB/0aEIBt8qaIJuHLx26r+KPEH70SrZvEWVWhz7FMLwoAS
9EoDUsHBSphNb/9VJ6UiPYCta8tzvZj77DCrXV9f6GCf7INksUiOKDeL5lAgyRfItpQyOumSaXL2
1dqQqZb1ojV9e9Q4b9CXKhXoIEmiBXVvopcBlMvcmtCzvPKaFIZygODD+YqrmpfDt88PVXbvnESy
mloOMHX2yJCt+86RWXxHLKk1AaP5+p4TFVcveyxIgZJMnC4gRqgo2LSyM32EOw3xXJyEmmCyCDfn
HkKhAHNpQ9lGqFh2piKHS10MGv5MxpYXMArVb5wd6vaAOarpWL/R7Hr1bKdviBvtixzUc8VxZKzv
E4qs74O6qtGhN83u+yIV8T3TNSL28rbOhEe8NCrPEtTKPWhSbEICN8y3qNa5fcif4yFlFit7vHnv
ol6AtcJr1oXTuUqwUUIGzOLz/BJzl0k8lUGKtJI4d2Mkq5FSaTY92nJktXfUeONurSL5dSY4vT3T
yjS/BS+Q5PtZdLNyRFUma58NQ+FsF5nGA53u3FAOkDrxIZDhrSmZj8q0PkN9oOreQA3EmTjjZvMT
tZzuSsiOb+m8SV8td1xuJgQaHYo0NZ79OBrV2yQR4mhFtFx3GLgj92CCLjqf0OF868YCe9+i0Tni
4DX0lQfyg1TZyBzr2oMoS9jse+6s9p5Bm/ROfTHOo655QhBSW7/n1U6GvmXXvufYmoAozsr3dNuR
3N/rjuaBuceqjk7Xfs/CrRZp2JisDKM6bd/zcgup6reABwDpWO+JuusWrhu95+xWlttTOrzn76pK
ud42WtpfY2Wz7rP3pF7DJbQ3jlLye6Mtyjd/T/VtwR0/kdpF1m/+nvvbzC3Sbfs9D9jaooFXtcvP
LBUhxA4NbPc4bCHCs7vlCRtbtDC0qOq+weRxXxWK/gBFjQziaIsjHq0tmdiqyeYFKjVGdjhF8dSG
+hZkrL1nGhvv+caIfGks5lvscZdlNYZgc1FUxfSRHlMH6HZLF2GCmRWHzYomKMgt8h6ovAz7mx5V
tbqTszVdT3bV3zIyRmnAASjnZJ40HLgzZ3aYrqZDd1D7BPEyZQrbW0OOH7FuqkYBq+kjWktZm4lX
yrS7GbA5v+SjY1RBYkmHjdkwWvSgE1mxXlPWEd3qzAYRNWipdm/OVfdaVO9BxZ2ZXtGXQcmNH7cv
EaOk8sbGOPWix0t6V6SM/4PKAaaBCB2hbOggvzH2BgFdF3Vh8MkyrO+DRidXjhpYdE9Oqrov6yiK
Wz2uxamWSONr7RYjVmTm8cjddJTZZZEmrtfUCPTZQGXa7iwQcNTgTMbuW9bhFlBcvH3JaD0PcOc6
/J0OwsVA3zYO8sKm/jW1aQ74uqzd1Mfw6EqvIJjSPJD2Qnw2cJSCaEl1kF+UtGig6hRlhr7NzKar
Vp9MMrM50LwJMcbLCbL55LGK57H0ACnoEypwJecguCxIc8RAheSNqpO80lMA4rXJY66o1tXNfUgD
iCQNVG5YjKWDvhJFERy9uMA2IYFr1BSrXXmCrgblrJyb1Qk0tc5DrW0i8BSFm13VDdX+rmh5ZH11
207RC4lGUtVXM3DWjRubMV3zQPCkkgTFBa5mN7fUiYRFZnKXl5OMqPHi1t6JrtDzwKB1d67EVZ3v
NLOeb0y3sosQH0Z0hTk/6UO3WmPTc2qrR4TDSQXtMb7hB0WJje8IV2S5iUyxJOhKxstBWkaUt6nM
lxXHggnD57CcE2Xamd5AzjB/jPjX1FuSFs55O61VseuhRMGtKBc6K003V8/k07Xl0RyNuQ22ZtLs
ta5jPzWgIr4C2RiVAPtFtQnF62oMJGFdISEBdRGUjPxmH2ALSmxID8tbNozzRZmNI1JqK11u4Dz1
r0bhVgMBxHJ6sGu4K6ifjBLEi0vXaTs0c05NLcQPnmxQOwZ2b5VXXa+kr45ZikfNyST+as4MZpCz
wHLOhq3YhDISRPNx+5v6ac1Z8zouy3xFL9HSAmMGqpp+gc3jOib+85E8+olDl2ol31TSN11CKqf1
TlOT+m7t49kMok5kiYejGcGGCiTtG9SJLcF4mdmEcAmRPCQh8MLCWEZGg6mTL09ZaReVlzgV3PdK
Sy0QnYIs+3hkW6O7gX6N9hjITcy3YAVaNEcJ5zXIO56zlBzoozg2XxspasDNop4ehrY3Im/JtOZ1
HroIpGubIy/uBvjRYccGp3mrwmiSZDnHSUC6AL0GwLOwojFsVoj4GSLrphd98tLBy31a1jm+cjBT
rNf0vkvgMesMjySJar7RUXVHjutiqK4Xd4jg76VVo7G7oUGkx2FGZ6A4K7COo6We9MKZclLUJYJP
oLzdGDhCj68NSxUC9FpdZL42z9lr2kj1LdGXovdoUzFxK0iFPhsUKOHcmCQHY3Qw5vOBRnqxs4y8
/5JZS/pKmCJFyRLRqbCabryXzOJf9EkqJICyO3+tx05vfXUc8i89PbTVdyu2Cmw/Gz8Hbw3ypIxb
B7Vr4l6blatfIP5zHiHJyX4Tv2pir2NYf7SNBbWJrNsiDlYlJs96wp5y37arzH1kmcnL/2XvPJrj
RtIt+l9mjwl4s4UpQ+9FcoMQRQo2gYRNAL/+naL6TUt6M93x9rPRTKglVbEKSHzm3nODlp4h1IBn
WFG2BmjpwauOX8VQFG8YBMo3wDzjc1b1W4GA1PArMKVOeWH0GR0hv93csW2Ur7Q39Rw1MEiuHShZ
z0FZQuWLG8Cj0zOMswyTlEX7BnlT9MiqbVE9VkvgPursqd70YMaaRsyf8wyhLtNogE0ueyKVtnKX
2fl0B6kNy1VDuXO5KiG+b2pZvixztr15C3moCR398AHsoUNlQL7Qmdc0yxh29VyOoQ+UJQ+zwSZ7
Ug36/FyDg3zV4c96kUflBwCDwGZ/5xtw/UOsWgicYd+lWQJc2X1ElN2rKxJUXQm6sA78s0mMiLFW
RSkKRTXPEp191Tt9GJPdzcrs8jbfCs2LTLSRpwNMzLu82agHReHyG5jJM1pPszYI1CEkkoJhbL/Y
zkS1Lg3cAckAL+DbUM1Gv7eHvLqmKEY5DfWRzxjxq24lMPDa7d5WdFNhkBFPxOkDOwCPCJC32OTY
JuKz2Lhxc1emrHJbZLnnPFTdJO02n+jrqSVUzO8oFBMBqzG9DLZmgIBbjbZ/h+1zOP0hhvIvizmW
1FLaMGnGfIrIrLdIEaGVJta2ZeaXAvrITSb91XT48MiB/LGw/e9E7R8Gy6f/PFELv+b916L5eYZ2
+gt/OsqZT3nQhMnjNP0AIcCPGRpec/ZlTLUcdGssui0GZX/M0Ez3nyf3q4ewCIb/yW3+rxma6RBx
R/gUDk6DwSgCjf/PDO3/+F8oymwM1Gg9MGv+m7Uqmayld2JsuQw5djy1vxNtXUBl9r0LAeSA4qj2
kBLO264JUvFu52LbVeVi71NgQa9m3mc7fU1RpFjK/psd6W+7NoL8eHMmtReGd/4HTv+vuzZHNuT0
UObFmtx4IhS4+86CHnt3UpNhFCKISL9qNmHY4TDOAjFrzVBGFhKDQlpels6Uv9KW2Dd+J9/cgglM
aivrPiVvGNm/VPYTJCy0LUCQXqy+oFrre5bpUV/ZjAAXlD2gaAGcDN6s7VdvLPRoLTTSjEvXJdlv
zNIgLogavIc80yZDWlJvuFXB5AMquh3Ksr2Etp7bSF69mdAHibTV0CEgh6ar1u+o1GB0NZVYrHAO
Vvd1ZdRxosWU+t8oGz6jDP5cWv74IMmicokT5gWYzv76QfojZFYtp0fuPBJShZmYiiJnIX9BAfgD
tX45C3a0xp5nQ2INJL37ey+/4yEWAvTatd592u9w5BQ0tUG5HDssURM2c5itO4BwEXnsMQdRiGv7
YLfa5U9307/RP/26kP/j3SPZc2gZkdR8+o1/0r9tnHRtVuJGZcNXxNk44Jpi/rL/61c5XUy/f0Yg
5hFKIEgi4+23tT9J7gWe9rqPvbWxE83hK23S20lcYKN/3Ty1hVhc/3affJIB/fKqXAoUfKjVkMWh
JvxtnUyy+lBKHggxwzxwCrbQL5QgWjYEObd8JWbB+uAuoR8LgMTc2oKDBPSwjna+FeLCKQi8ry3b
vJnsk3VV5Ll2gbip/FIy9XvM19qKu15V+8VdHRPhNtX7X39qn6qY338AzjYWAb5p4HP57QfgWNkc
dqL4Jet5iXtLjdFp0xxt23jyA7vtrp8sN4IT7u1cfap3xWpxz+nSi6gyliMloYocLa8TcE44SUw5
HDZLq2KhHH+/1v0ZBeKtgCERCUY1saAYuDRamgrlBdbelfrduK3NdVVmkAidfPybH/BXmQEXHyKa
U5IyVRnFN8fkr7eOM2uUkhPdRznbTKr7/kiyEk9X0/5umC7R54wK//oj/VVh8OMVye1hP4JL1GPL
8esr1pXWprPgFWXfP6wdjdQ6YbattLOW8Vny1y/2W2DOj1fDrk9EEFlfDs+UX1+NwBzGhXbfxagQ
oxrnwE7qhReRzK3FJcm7u46GIGxv9IPrV3ZcLN//+g18HuK/XECMTjmW+GkROCCY++1smtCM42fN
OrJ6gmyPo88+qyeRHoHrplE6OGmcryaetKZnmdJ1QdSCrWUr60n4w/2M6mj2jvocYAH3sLJb48M2
V2tiU3BHWjXiWIXbHbsVln9LwE9t/Fzxr7lWjGNgID5Mdx7EcmsjtmeXbmg3guwOijHHSdQcZHdD
qfkPcz41+zqVVeKVPUTigDPUwZnAihVTyaNR1KxNODty5aioJyjvuIx1+4Tr9sRRp25HU2adGvvl
hyzqvzXXP06Rkv+55oo/RPut/zqyx/z7hSb/0o9izDLQjTsweizOKh8+ofm/xZhh/hN5AmJzhqiu
Q6nGQf1HMeb88wQiIRgM+I9rnO6TfxVjJyE6RZhOyOMpC+NzQ/qJV8o+2j8ebDCR/mNsOxf96Tj5
824gaZqID7SBLLUNTlPujF9vx5kgHUqegIoe2UoaBxk8kHCYilW23wEOs/0YaF4aZrGCYmdlQJli
mjbNFyzbYCQMV2WIZhgPjSGiqSpleuDmx3kMTnCcAKNsnIptK/Yo670bqL7dV3easvu8woVMTjrN
UKJSJsqs/+qcgijF/hDS8+lHx6lKD40G486wNBh540FEEc1tq4oLOyvRBczBhGloWkFZaXbTW+xW
6vpxYNqFq91i/QaHH/FUZM3Lpu1Wch3z44QhGippTmsTZRj5vuUITl740Ef/vK3cirgTxjnvaU9w
Pd6/Nr+c9LLIQkjcNfZB4MhnrYW/OWTYsMHz91lYJc1K9xiqvksfC6tovgHx2SZoRAAnwrVgVBvq
A0PfoVWIcjSbfSL9pta8TvaG0nYZDHOvj+a4sfDFDt6zpaV5c0Z1ryEKwjY7BoidGk91XzoGzhLw
RtnpocGEhl9HqzktbQy4gUHnrIjuxMaayCTvbQo7ZsrPqjEZL9mU0TPr6aJ+9e1WGPFs9rwOUbb2
91WvtmthrqelS2Vnd0utbfaBubn87mm+xpO+KnCqdHLTmoOW6sW2C7C7NuyYJ59YSNtuF2RovWNS
n33yY81yutcXQsFC3dV0BsiV84okgw66JG7jyZkh5u3xJzHSSIfhW0UVOYa6t+jnW1+XH1afzU+z
xeqHKyPdmG4ZrnmbQ1B+96a5M8KigKRC0cy5S3M5G2M8SWstk21uTwXvNOG0Nma0pLf5mHYDk7bG
1tKjUD7rFfTQqhgvYd3pRmiLjCmYQDONvg4X6w4UgLT2s3C0V7aL6xV0Q54Ne0M2eYPeT2ZrWKcj
G0iLlKiTbXbVx0uGE+S1QKjHhwhGJfWIGstQVM+eKvo6ZGA0+Lfp4HVLzjfR9PoFKpuxQWGNcim9
YrLVpcms40xgeN2x8G8Y5Fk7kMKVOrJgrmyd8peN4Otq2vycSIGMIgEHaJXnJJ8E84WeFymhpX3A
5F7izp14x91UJUHdtF7UdZXZnklfm4eonF3Lj8ZKYz/gpnWlX2oN9dqzReRIRp7BaXOWupPtREPv
b4RTpHmtP8517YIsbcw8fcXlXoinqXNNGI/56spzEJql84wXNajPG8WTBzfq1EmG7BkI9TtQNQRf
L7SZ9p0umHBG5Lim3V7Hy6aupJy8+VwC1+ripZo8GoUUQAInweQrK1HDqvR7u2OUxD6RqA8Axml/
XfIl8jJEXJVFiCHCeak1tWW4rDpjYAtYuG/CFjKP0UE07kvGNB/xQ6nqJwViUaHD6jGfZadlOGTo
lQh1d0BLjA1Fj4SqjfFoNMP4Yc/o5i+VV60N8lxaSGSR7aJdB5ruI7fjmBl3fZpb09c1t7d7GMDe
GHHuluRa1IEsLo1O2CkaKpTzd1hsGRPXgAhuPUD+1S4P0vnWRT5f871Dl45o3MmrTEdHXRSpq9T3
zNzGnZnO3M1FXTLHLyy+UmLUFdPSFFrkPYKbUtw7ZVHcYZQ1l6hibg6aVPfBCvdzNuPnHJ0t3aGV
cW6RkwzfNuI6n+0ql+wnSn3aKWdRb1VG51BSlfRC4tUnUeaFbRCObFCdojxYFbKomOFCr0LyXngn
zHw8LelVUQ+3AR47GZKGWOkhnMWRJNm14MPSmNay+UsheXEPdus11wBKzIIaDChSZ4vL3GSfHmtk
XVAHZqbXxMFUt9ej7wS47UPZBet3U+ai2pfsN5mQZynBQrNfCwb4beHLPcjJ+gwOPwZxPk87vaqa
sXpkstr0lPkmh26Q6u5NXbke8+l6sYqIdDX6giwvCobNs/VSQ8/nv7mGfLHdkiArtUKnDFu3Hro7
BtbywtnwwEQGiXkLX6DZnHQ8Wx7ENbfzk9Gx+0yMmaVLOOFmYk1TevfszfsBgVxprJeGzKqrQpJM
2TLO9KgLs40N5jiofWdw4R1ca6ZcTFEB6qFjTOIBZSI7hmKZGOX1PHPgk3tEvUS2MUsyGay53VtA
QYEVlKe3WgEXgRxUIl3c2U6Goi0FX0FcENMYNvmppNeuUquuk1n4620u6vWlG07W1LwqnTpm1sj2
Bqmunp35VgrQtReDxJpqLQ529HzyHhcLwGxkrtg7QwuIbR5x5VqHVhsCHs94adlRWpMSCdzAkV+1
Vmcbq49YdkGOBVFjFmQ8jwiI3AMzcCAhhdTnJhab0gz2koMrY/al3n5xGAjFYykxAresMEN0ksFd
besgMWtkpm81T+aGBJiS4wxfXHszmEaaRmwMrEcCiy0/BNo1XHNN6K+4A4Yh9gna2cKBT+ONisbR
dsoblxcAnuINQ42X80Q2FR8xkpTTZWxpD/lg589b1QXvLKsUcwvKAxcBS8abcOD0j8xnhc5jM/eP
pdvzfkii6pwLve/4CidjQiDs6a44UQfUxnW/iAWnfWA2ZDQYmnPvc8+oWG8M0AdaJvscrUM3iAt2
KZmIemFoH1U20NLKUZX2Lhs1edwyX5kAlAzEkL4yguc5KNvraakcEfmgiDndg7a/NllHnbI/tKZI
zKWcbqCrduN+kVZbRMtIccU+IWsC1sa1gAqUcTYh3k67xMrbibgkzRDIeuZGLxJbWvzxtNjoQ5uW
1CzwsoBHdpinc7BeVV5fqID81cNwWu7Gim3Xtt+yLW2umHavL3NviXnvMNP7bvV0hiGWZX9JnE6l
4mJYfBdhK0PrC0gn8p2ZsfalSs3sIVsz6Yb+qII3yYrQDjkj1w+BDXqKNy7Ml5RwMrFTm2Zd9Ok0
0E6tNrs+frM4wJzavlr9BIvRrDUbU39qEdqx+ToajQEk8NNkAJEIV0BCV/U8YSYuAOgXEaA8Z2J3
2pfn1tKNJsHGXXqmO3NnJR3Sq9uGcvZdZUKygioGcT/0dfcawH99z8YF9oo+e+yXltkqXjuVIW8Q
Rd88TszzP1q5yptSYd5DoKMHD70XVGedUhNTxQbrm2+o/htP5f4WjDEW7bk1vJn6R5ZPGIuN7yY0
rfug7bYDbNyWd9xp5uuMLuGOCXzTkw1RA1lZc9SY+LxPcd1DFryx68i+rF7tfPWmjCX0Mg3N2yl8
vY6mag0uRsulvkrzNMcrHvQsi7hSLhcEOnbU5mWNoJcpi4gauN49KhqUiCdFjH+hvFXAbMhAv8cB
ExLBWthj8tl1qo+QyHgWiTaTfMg0FPHwmReme9ni3/RMYSdIHj0gDHvbgvuVsJUi8oZtPSLjR2JQ
+hXCB5lBi0aUhXaHlKY2i7TN8iiYrAFGQmnXTp+wlNe+mNXMSqJzi5p2WfQMkcE1O2rXr3L8gA7R
v6IRH5rIRQJfJipnrBPa5qh9SRehvrmIaR5KTgzUYeOonSABm/e4llXPdnErYbYFAD8O25ZaFAt1
C6MJFILGrGBkysWec5y9sJJ5IUnr0/v2IJ3NBpqsAA9GhdFXTdIwFwgOY9lbFMxdCc9n86inIzK9
XM761pZllK62L0LqY+0hHdJRAWqy5Rl/JUWkSQwOifP5qqE3IBMsNGAEWAnbndW+XMhFEYc+2JjU
dRr+pNDG4Yeq2x4MUhJmWZBTRMWOh03AFEdRycN9Jk7mY1lId0hSRb0LD7+3KVnXgCeL5lol+UhD
A/TL+mQYjbP+umiKDnAGxeRyOkA3DP3UG/1I6rxoUqjFeuZ7ljeMSp0XABZWBmKA/ZimBfVzipPD
DL0tGP2ENVL+lMN68ncehMjtnN6yFTEdmL2Bak/Vx6az6+QtGXoZyaEbsx23y3RI22BykhTV2Qr2
mwAsQBS6OfBs1GUb+4tNAylTcmMjURvYnJAquPnOXhhwxjN5VhaHr0A7Q1KEKQ8+aSR51DqjTnRU
1XjQbCbOmt3g1OThmeDJ+WpQ5IPRcQwh98NKClNoGKPP2sJeSUBwx4Wug90ool9b60y0X9vUXxEK
P3R77P3i0lvK2dyVmW9AuAFaDVPC4SiLx2n10IHMi1HswGxQb3qARYakIjcuCyV6Afe+tliUxpaW
0ZIyDS6yQ2u1PKaW1GXSqVroF3uxVWnBFpfIs3i2oFUfR7/2USA2FS1CObNhJmEJGSTisTSYYocn
C9YIa2maPcXM8ICgp63OsHvg4bFqWXFkVDBr4lpKTtk5c5yrYGMqF6M60e5IZvHG/dAjTQhhklWn
wK92XSKcSfxolQqC95JgIdwb3qkfNnRTpjtJt1EDNHSH9axKSSI41PY4P3Z1NWl76UrCw9pgMM0z
YEtB9qgTtKUnEv8PyRHk2VLA5g5xwGuN8gqJko4iZyPwp4u9pcfJG2Q8hpABFEG772ourV3vzgUa
nRnGzC4DgUnr96kvHGrkvDEtYZfGswN0MeqneTaIE6wnfy+AvKRnuTXkdD2CHIJD3XllfjS9PPMO
GQ/m9ipVmDgOG3wntI8iLYoDz/8i4/4+6SMDtODjUX7qJodPDeWIDZfW/FNbSSIdX7PpgOC/ocxW
DKvdoDPfU8vD9CRdvRFXiCC2JtJxj3csgNnYhUYNMGdffuo75afWkzdYtfAks95Ktk896DiR94JI
fEhlnJ0ko6WuNmMPtasJ4rHVAusMsS21z7i1jn890avXV5pXjFu8EL/BSJEIzOIYOKs9xSf7UpGA
pkPBan+qWWeTq/92QKhdEIxTpUCZ/JJINy0AKbonjTX1SGZEGM0Myex6fzdb06COIFk9PGdy1Wc4
5O0kzg3OiPo2aGVfPKReV4M+KdJZvcwOaP6GVfu2eXdoodP8AhErgl4MayBnZnZgX1Y59+WZ4qom
D8yUjrOzgiJNH6YfGuHGJ0Iy3KYOIScZXHNPm87kJOGCQmC8MJqFhU8u7HSBneQkQv4hSP4UJ9PD
S5IMhTvmB7O0pZGY9YiYOai3vIuHvDCGxHWboHyrZKs9+54Q3ZkEWYNCyvTbJV75iMUOPOQ4XvQW
KZ88UYtV249rBnh16yYl964l6DJ9eyuZRn1KsVnhwtDsSgVD2S4NcG3mhlo5QUEkC2xpi4s7sxLT
cOQBP3GlOX3v3nWWnZd3k9cgB4eXIsWe0D6CgBxVIBmff8jHP6Xk7aes3AoW6wIw3bSSYXESngPp
Q6U3o1y4K0/KdNVkDtKnQdZTtH6K1/tPIXv7KWp3ZT1c+SelOymugsXAXE+v/oj6YFsGBL3mp0B+
+RTLN7zjNiFznpIwb7nWFSyr+8LQU7QdGxvceDXrjm/mpMN39TaASaMM5PmMHxuQ/QwEQf9UXuNH
xaecH+gr6MdPkb+D4PLI6A2lECJbN4vWoRQvmMBaYokVPoFia8W602h0n4seH0EwNyuOBPdkL0gR
NLwauP7f1k/7QVf6hD6kn7aEei7mM/JRACtVJp8zp+XJxFB9GhqWT3MD5ktirE0RBK+1NmJ/2PDx
FvSBJ1sEk3dwZCCGhndufowTgXcyUcyfhor+01yxnnwWECdn7BNuj/aYCn6hFK1mgLZMw7JqKi+5
mZoey+a8jOqqBu461fui7QcKKSKDRoFuuclxZLga6W4AgaRL37ZPJwPN/MhVoq6YbpXZAwIySoub
3nBb62rQDDiGWTwJu5K7KhBy3OkuYGAQa042yHuS2rY6dBgouYmTlpX6NvmbCdwTv3qbsV3odeI9
8bN1tJHNtOjNgwEBsUt8a3GnuCO4iP0oes6CDDiyP1LsDfYE1i7ELCptbWe7KaPOfIa9tENorE08
AYLaPdSelYJe7SBvn9ELzltiVzRwbEwmpuJ7u4Gr0u/L0duMr3O9BvMdEQaCXW+eOjZftpt5d02l
r8vHMNspFWpPQrW5nSuMAO2ewYBOCyO6zOHJQ4Occ1ywf/enb3mQz+pSlz2dXW95+mwA62GFzf4T
Kx1uMqVMs0I0h/Wue0vLfk1fR9OtpocK3hHDy4JwPrSVU+syGAO9NowlvJ8mcOxnCup8eHCyzS+j
Dddy/g7dSuWowqh93XtPBhTfAcpM2Gj2GBQmM0ykuNcZl0Z7xwMJ91tIPJ6UMY/JMbG3ujsrrWx9
7HMDZOrsW+1Yhj6iWv0UcQz8GCG0rdnbgda/w65japMT8cWJY9pubnc2adOYkxq8zIgBl7z+QDnR
fci2MJ4QNzHpAVALItTqbMrDAjmw5HBdSonKtsI4QYzfph1P1gPim7TRu/BgGAFlRMPahkr6KXQY
olWhv1uNv+wJ5zAwsGeSOtmgD+cU0+R6TwZwQRrY0CkAltsEOhM9Yk4N21U+VVHXGCKGy15BJ1yN
U1xTwDSJ8ZDePQeGzN+1snYCZkmVdi/zNmhZBki2YSsTJtRvFTc2Bt82v5lN/qUoVdp4yZgIKIDq
lMav7VgkDDQX56YxW5hwjP99lIQZwdphlav6vfWb5WnYAqXB4/RBCsxgy0GwKvIjubXT4rvBFJQf
gRgQIjh6nFARE0zUVGwvsiEcW3/+1lkjaDCmZSeSZzoaRlISm/iMbBDbk1/P5l2pxmWOyUgxvtGm
ZbvCq6u7qllyBWMn1/C5uN0jdoZSkHDj4EkdR3OgdzBPuxVjJvs91qWf7RSkuTzkaqYbXyyjQ4Ar
N++VIB5HIvQ1+4/Zm9wx7ki3v109fcwSf/O4zGZ9k4eK6/+OmAUfQyYj9jubBqXFC13mHyMl4h3j
ED6deezV/RisgFg51FIwk9rg3GjEQja8OWINURlyJ+MMR7yzk70/raHbEAV7QkmqL4LdLj2GtLfL
wCvwhfbLRoFJvg6VKLFPdI0KXpcdC7vQq6QgPE6AH+39rxqEtlNKmkQXlNXjx2xlRZwyJIpXfMju
BcYYHt8o3VN6dAbRPMqKtdFCgdbwxaYaXuOuzZj2K21VD2jHg/xI1Bh2t1QUix+bBk/cyNY8dbkE
GvGCY2mXH/RRhcOn2/oXoioxLTfgWlnAoxGK+kZqyxEHu98B6K+L706j44Qrx4Z1jSMd5iu2VVIn
l8rQt7iUuseZUhPphlYH/GiiMSUxkp7TLz+DVtZSIuNkC9sqqGkw9Qocf8fZSJJRpxkPWVbPetiW
OLF2AVy0FBEfSq5QapgMoJ4N2ICY0LAOAldCyyl7eJxclK57nypLf/JJOdt2YrPyW6vXO66i8pTp
i+y4eK843BmHKH9EsdTOtOOMMWz9rJey+xYs3fJocCfZEHiN4UpOAqGp57baLcrVomAu3q6ocwe0
PdFUm+lDT8rlxMDWMtbI6jWa+S5gCXJFSejfyqWdbHKda/5miigajjxzX++wucLV46nu8ueA0EUy
/mbLPWwIpeTOh7w1RDphQYxy3FVUETFfkzjS+5n3dG7eGTLhzE4Gu3SWWE+lwJ+ysJeDJFwaxEdD
9Ifw2ll9+QJRcPxedrOoQl3U87tnb6K6c8dhDGJTPw2AGcOwCPIxiN+NEOC1c9drrKsxcBYv7Oyx
fIbtp98q+q9xb0sbCsjA+7vAsRF4oZrS7QlijoEoIDct1FtzI7/jFEfppSsTk+MA53gJkUHkd7MY
2q+4STuSofRueEJkmi2hLuv22+dK+r/L+X9Yfy2IxBD6Ufyshzz9+T88xQb7dAfRk8u23HDAkvxr
BW/Y/wQj4uPkpTX7gW771wpeR7rGb7MZ9zzKH7bzf3iK+Tu6BRsLqSTaJ6JW/19UtxOl7qf9O4JL
S7cwLVsWQjPMAicRws+stU1qiPANxUVeLG5oZY9aj5gkY10YusH6pE5DoaC8qGYaS1Ed2X0WjKLk
1RqUf8M3+U0G9OOdBD6KGOSZxGmclGM/qd4m+kpS3wpxlCwcQV7CXjTt4oU8Q+NvBEf/9ofmM+Tc
Mok30gHj/fJSHeEMaJ+5s0dwuahlmFCbF8w1rINFqbOTBHMS66XoUk/8hw2kZOKyFN5RVRUHYgqD
vxEl/SbFO/3oQHGQVeiujbr7dz4SWdrtGuh6TdkEXztzgmflC5oRaR9zV3nshivKKN19/ElB8occ
4+dYn9OP+af24vO7/+Vlf5N6MXvh6KRaPqquxfDnOExwK9CfKEJu//qV/s13+/MrfRrbf/5uDWbC
VW/Uxxx4Lmr/fVoiaJ82CMbF3/5U+ulK+fPn4io2Tc/XSZzhw+Tr1X/7udhA9/rgtNVRq1M9TL3K
ixVVekzIH88r58lEowDK8ztMb6fVkqw6k7ltnuaCz4jU871Y9ty2u9SnF+chgokrO45qX7PYSgRq
qau8XTZ2iSYZefiC0rWNla61dwB0jJupQS8yaPYbJpbrDtQrD1PjOeXL5xuE8moaB1IgHivyc3eD
OzyitmI0Ok9LIvKe+szB8sNo4YUDgr0s43sHugBOro3NtOlfpeVKmI6Vtk/9aDNaZUPyYg7aFaVS
e7Za+YNOF71zyvmLNuO0WwsvQS1zb2wmSlY/yy/bJbgMkDMPQrCgIxxZZI4KjaU6MyZihwzlH0oD
zKlcCMTsyffkATM9oj1JKTSFSshsNO4DS57D/q2uVQU7x2IkWa8QcaecgXqPyIPs8h1G8w/cae8d
ZqSwG+r9aKOaJjo5mrT8hZJwt83TrlXwWHPqo95aEr+Qj7oSz6y9T3BhA+fOvh2+seSnPNWK9EBI
bHuka2XQpA9kcA0BORnmgXPieV7H66IyPyrq3qgnuRkoLAz+tF0jPGA01uitmbBOB9kUaDqU9QgF
ec+F8qalVL9DB/9/QpnStkD0uxM1pdtvVOWxmKiQxAkF27sZEtQpe2YLqO9ncibDnkYl7Ac6QOx0
930PcLwpuqsho9z0Ucckc0X9qw/pjQlgm5RN/kDrPnksakPKW8LKC+E/jZM7JOZaEomEw1WkFK+E
bOw9PO2nsJcx5kOvaM69muR4JpWL77B8s/wnzdzeEK4EX6gaH53NWMDpuGxgBOvU0hqihgxqn1lE
KL0FlSmKPNe+Rbq0YIFakqY7ll73jSzoFdMYu5jb2oA8l2dh7uVU3nluYV0ezzQgL2zBi/PcYDrs
kXm9+RTxmnnLhIJd5eBdC8QlqM6J/mDEqc+jyV0jEoB9d1tpoLw+rRmX+gCZ/MnNWHek8ozTGWEU
+pyOcIfyC1KB88G4N4PmmC3voFAuaoQEcqn3rI3l5MSY5jH/vulkUkIKPPppf2lasL/rVxbbEdkj
IYOqQ2bcZxzorbKJkKZA1lgToC9fvOfFOJ0AhBCxThMT0vZ6Sihd/QVylSO/LByvPkZ09g9B1t4U
zc414I66Z2Ko9kCgTe3Sd8rQnfaWXV1NdXNBsDJ0IUIy9pl/lxXV0SJohRJcH/tIX16zYT8xKO+I
1Jk6FsHzrqUg27pXx1+/2vlXOQFMGqJJbUxxWKG/jyjSauMmMx63nBSRBXAAl615AxSb/7tEgSYP
bh6r7L08ySry78vmhRntz/jOZDPO2UoK7Xw0550vzxZx11hwmQMDVSetELW2cCLQNbY7XjW9kxCi
zqq7JCyKyNm835mWm2jBcz691mSTWwzYzf4sZYdbfDllpgzL3WLjzKSZKtDLtOxja7yhjBDzKunb
EzSiPm7rvdbFramfQ4EI04rmobPPcLrGWs0uiWVAlXEJz2LXDjPZrTnF8jdHbAn8Gy6jvbaZMZLt
nS/ya3Oeo7LhEyZFhi1ecvosBdSoQrm7fiTygHkvzHJKZYsHSRAT/BtW5Q43453ToRnP7qXXJrPv
x66Ue6WbMeKBHaX9Tq4z2KQsbNJnYWzJRDJRUCa2u+2MXJytwRAaBfLj3o3wJp/75teiP5+KPC6Z
6k+BfjHmxqHT+yeUSxGGw0uCWl96lLGNqyeOfkHM5h6E0ik4I4ROHhHyg6kgmWhzh1475AXeT+1m
KxPHdu/sNggVdCxR4lEggIhkEIyAXzd17zK44Uy5BGHCUXhdmq+GgWMf2dzAhd9Wd8hjroKeAep1
hhJmy745rb8L3D62yYkoIbE0CyEZDM1nRRJpejXW0x5TsRM6vYObaiCftDu97c4hEpkCly+sBExk
9fWB2cxRMVjckbz82vSI6Iu0JFPCsYYdE9kmZqP0rGcoAMRogE3K1101z+DvNrDeHBrbahi7RbRP
os++d2K8VFm+nRW1umfiHZwjxSEIt67EmZw9YBsPYPe/W+bM2DC2A3evwexgttGft+xfl9HfSyZY
IGHqj3TjAGIffcUz69wumZ3MvXHAJ3NrdhXD7/rCGDqsonr2N2YJqD3/p6ggBxA3rOvZPP5QyPPf
fyphmMI7I8Q47TB2BLMUa3dXQhBjRHVPj4ewhT1iNY1l3OuskCMqFMeOW1/XzwNXdXvGVOJ8XTpF
x7801/7KqFd0Rxy+O2MYeFbOCYm9X9eRiTYPiHx4J+rXRm7P6RMSgQWq3XroNPcLfAI2Pdy3hnyX
tc/Ys6QuGBGlPECSr6Ou0Zar9ER/jVrz0i6PwaoxQDKVd+MS5PGVT8frXjZ5TeBXUowtsw5UXGLA
3W8Pmsk6cbvYoIUX2ZeMZXyUTQpJE0tUi+k+Xg0bxWZpdDj2gy9bg9WelAk/tFykcuqp2oaonaej
S2rEW8tol3n9fG+QmX2OS6a78QUvwwDKvcn/h73zSJIbW7P0Vtp6jjTIC2DQg3IHXIaL0GICC0FC
a3EB7KjW0RvrD8x8WXw0y3qVsyqznqYlgx5O4Irzn/OduklOpGXTtTqg90Tz0tcTNdNHNCXlMymP
jSzqE7flMzSA9LYTjuJNU/4irUDngSZArrKaoGvmq3J2aalnaQ2ZoKsSqbGfyw/yVb6WZIvvpHqU
RmT61tRM2TqxVeDyU5xGSKEoJao+XbB/IaXmbb1uZNT4VoS7q+jd4Gg3BRxBqhuY67op/UBlzb47
ZCqQwvkN/4rVElsNip2UirVW0G5Xrt4eil6dbstOe4bJYq37BoXDrJQTPVw8r054pme49MPI/bIb
rJyKlSNu14zgR50rWDJxLMmLGMiLnJwDBy/TqwPYI06DlJ6HrMgsIaxNDO/2lH/t8tJoLtTgVF5d
lNux6D4TtzqzDt6Ms/U4zdqhUM29gYPTn/L8DdH5qYkIzioMIHE8TCSgRbs3gF/AV9brLT3gvadx
aD2pIsE9QkvRivlc8wZBg6Ytl/ppbxgrWIWQ3hBnXNl/dmk53BeG+2zmuoI5iI2yMl9CAh+rvAuv
aafdjFZmYH0b3ul1RzVuq+Q4lnhM7CG4zGG3NnOOIchGIPStrdpT1Rc1hEpjjUrRTmcSpnSFRwnC
8xI7UAdjeHGAC4IaDhwxeTNJYnzgU+oeWn5le2WznqQ+zuFsNZh62/uRTgUMBvLabW+xQ9AzxQ3v
k54GdjTdzuW3TDdOginH/VxpCo8CnEgv4YlRLdKBhyTdanX0mbpN7JKJCB/6rq/eC7V7t8bqEpHI
xxzl7oWVhrukVkj4oqrzW/UmiZ+3QrI+MN8yppW0uvLcaP34bI/aoRt0+5pqCFu0YMxeNRPrw5++
VrJjWjPMomNmVU17JnbxoQhAoDi7MeOqoJgnDFwvZqikMQ5v7HyEiCFjDcRoHPONYGxz4oLEqQlX
oBKEvc/Qe53VJ7OB8LJsaLO7xbSFLs4cUec14sXetznG4vLQutUJ9i1NBxtIS5nvGsecd9+1vmvJ
Zox5OPhOP4x+q8i0WLv186B94CkEarKhQwo6XrEFN+HDjMSm9mDiN51T7bkyvJiuqKGsqN6zsaqh
jMbXGiRoGRrHdq6vOqVTmn0jq+d6OIoJ/CenCFN/d+RVnesNZUwb16KHoY3f0463v2s9q//sZWGv
OGZv0S8fal7Yom9vMATQc2ekXqh/xHNxgHnEUCAyw2VnLBh9V2LX4uKuI4OqCcxFKtTxXRmrtd+m
5kZ1l5pJ1Xdj1HTcHnn20stveXtkypxQKkgVeM0Qa1Gq1f4YOsQrC+HXQh6YL+zon3e3y5mKY7QH
RRbxdM+siuNrnhBXzvNjF2c703zKNRtx2dyYy+AnwDlWmxy9s8QXc95587zNpgebJaJPLkllHknu
YCt4IKfwYTjf+vEmKRj+ZLWZbRlDM7WJknMznqi8vFfG2vaFS2e5TcInwjaLSO+cxpYNNdTpegvy
b6AoDRZMKVeWNM5NoR1NDCl/XxF8+Ned3P+1Toi/au5e9Mk/+73/e3Ry/wDw/3Wa5+7//nvPEv7P
EeqF2f9Hhtr6zUEFAv7swmM2mf/+QzO0rN8YzGsohhAKDRPO+p+xHUVXf3MooGVWhaJngQpEg/xD
NKTW5DcDFDIRGJNDo7PkLn/J6fxnuZ1FzfxZYdH5SEJFlaQPWiVLp/+iGuoOw6KkDRpQWGmknG2Z
SphfY9Hib+EiZW+MCemMZEOeBNhq3QE6kT4p8qg1OPxJuIgZoycnnnmrDCV0AQ52brvXRl2hc7Xu
kuzAc8tVTGdUoeIKlPMdvYaZ7bVoaBRANRH3osZWiEBGLouvicLEuT23my8oB66Bw6I37gL8c1Be
gHg1nPjdVnB76NudGUqjXw9G9dL2ovxkZmB/EN8pv/7+s/8/rcbEIo34148tDUZlU7Y/C93LH/j9
oaUwniwZSqYNxoPIvvZn1sw0flvy9jpeYxKeRNt5nP8QuhXAmgZlAYsCTiDYNFxEyn88tGTUTGog
eKBdFTWAaOrfeWh/CV46GodQXgAC7SavB60fvwQvm7rFQpRyUq3CvhErVbGmXac5810/x+qd0dEF
GcieGniT+rhPtYClGWDEuNcLjv5+0qjzviyKVwoGl+0ybIgPuJQpeTDuIN5Fs0AzkZCPrkHb5Bwv
rcg+FZjCAWGSLcKv14b9g7Ss4CmjTp2JPxyut6op8puSh6/3cFBw1Ofk7oW2OZ4Y6bvLPC+oTiRk
5pcpss37nsEel/629OI8esTmXT4r0kC9VbMK27CKk38LC2AM16V0/NSRARSMsvgc3UYov6/tf5ne
05cv7CedlS+U1gCAqELghGTRWVaJn65EkUtPQ5ZPFnzcTHuYQcMcLNMBQLNUjd+WlBR+dbjg2c1M
LgZyQUGt64A4A9pQ+sxZTX6f6wxra9Ch8ecB/kH8uPF9o1NL55WFOVCdl8F6TknV/IsP/8+K9PIw
kIED2cWogeucuUxlfv7sxMswuU2FtTJAEfrStYJtoU+jL5TY8WvGn95PL8r192/lZ619AWL8+mX9
01+4fKCfviwjUKPIlhmoFeEwvca2nwNyhk5k9ObtZKabxmZ+bo7OAe/IRomKm2zOztCdD00wPRO/
8TEV00Qnd//5B1uW6l/+EVnLLcfh3UOj/zWQrzftKHngLUB+HJnmIC8PhP6Cv4U0+P3rFhqXXjYt
S1jL1vTzb18pRI9tu+JRwZ160zRas7TO/asKiF/3peVfVQgbhIjJNV2F0P/Pf41hpDOQLlcgpzkK
SlVpKjDStSA8YtoNnqI+0nC96PX0rIqGe5AloI1BVUreUy3kbm6by4SLCkPgukhbFFriQoFl9U3T
s9bg4Qw0n3IazJajQ0lmkJqkDijwXEfVsKt0t7/Q9MlFJslCiv5QSl7qKhKHCbRQu7aCzA9jHe9X
XfSyXdEhXCDRMhUZ1UHP8KyM894oDBhSf38j+q+dsP6nbVe8RH+9W/1b9vFexO8/71b8/79vVpyH
QFAYmoq3ihuvtryuf5Ce3d90RgsQENiRXIO6hT83K1P/TQDMcFSdiSwLHvvRP/Yqw4UcTYsTHgIU
oh+z3L9xvvplMMcsmB9PXxfrkqlTPbtoUT+tFXVP5gN7EWXMSTTckiXD+A6TVvHLrBqL35+Ov17G
f2Cj/2MJwKTlMn5cqpboneHz/3qaqxEgTHLX0bprSvMFj3z8odo1s5ys7cuTo5h9t5EO8ToqVXX5
0RqLRQcQ1nCmYY+haV4AAoPbZCWXMZhCnvKIEmhCdFVyywWYNvuoE8BkAsPNj63Z0VKRF5XcD726
XEZdC9juiAX8JQ1CDJUmJNVxNQi9odo1QIlY0c2ZP1nRkgrUmsS4TUVTXl2ZD3wW1mpoXyR712aX
mQu50IlfmoCOSWlnFXm82cmdNZYNgCYYeViC1AZPE+nTQH9zUcHr9TTZ0VOL/KetVQ2PDefTnCpl
y8ISup6VzsiB/9lgs+CJQeltgKa2Y5AfS0mwNCxsPNm0lJvDOtMKJPtOQsVE1zKRQnCl1NdhoKfP
X5xXw7fETmvhd9rcvbHEWBdSL7OxwdpvvThwrPATQSakQTDTpSBvUtRPqqTkdqcAjRtWcxpOtwTD
i9wrJr3izF0p9atuumzzLtxIj4U+s1dYhFrCkVyaccZww3vDX0cYQ48051nH42kAMOvyD1rnY7kp
zaljjli3JBNakBW4ukJXW4wnlFWZndVScTpr/S0jM6GQ54Yxtjb62FFowTUHdSuxYmLDAbx15Kll
BOQ0k/vAMTCqeF4ca6bUqQIaC0JIvGFENJlwdbr5ToRD0dfZjMPQF+nEdbmgx/Y6yW74SBrZm4jt
c0djJc5iQLpmOzBchB31yMKPuglaAqs3vLho24VETTnwyOmxqyRWbqswkavZ/YfLQHSY1B3Jxppi
5pKeW3pDN4UoUdmwzDXf8HaVhW/qQI5TVNLsxmkiQOd644gv2jTRqqZsUh/IhaJwIFEy48EM3qo7
DY6IT1XAQI5VWim92lPEzdrA56z7WWrLtzAaxxoSLd0HkAEadWn7tonym/BdLWCqEvR5PlEeuQfC
OVE2YOvKh0PYO2LahE9/eeqgQ7ZdHPEvGwVJ56XOxD7EKIvwSU+l5r0BFa5mrAqvbcPeY2a+npoM
zihYc65kZ/UCAcMlp0D+Gv2rsugd9YfZqEvCOnGrYwOCd0lYMEX8oXxQfnf7BE++5Bx34TqmPFjG
KKluiqPW9qFMMG4pKfogrqhOrrKmTaHTNjoi4EPbNQZgx7huQKEbTnrCC0u/cqqMzjkfCyXyKc6s
v0C/AfDVAq0nXIcVafIbsgDvFfdhTFFqWNp+5MjsTU70exKkh7mESBLbIYbU0PgmDYuBQlJNdrsZ
K8jP2zki2nBwOdE9RJmsJG4OvMwbK667z4xjebfuh1w1Tt3UUmUC+pIJe9ZEfbgy2pmhrCkyGm6F
0nQUcDT6pRP29GTHLdCAbCjuQpcumrWKGHm1XKI4OOodYuJAiilQ//8bdTftv/7P/7bY4v56p15/
K7rmPftf//a9iT/fiz8JJz9v3ctP+GPvtn8zheBiyCBG6Nw82KH/2LvN31AmnMXKpBk/8CR/7t3c
Myl1WHxFOsdP01bZ8P+4Z+rcTgm9gkIxLR2PH9WWf2PvZodetuef91M+AJchtm9sptQtLuatn7fv
vmWq3jWLgT7PwwWyY7UArbuqaH1FWci7jfomWqOC6e/2b+bMfLeWortUVBc/k7gcL024II5JYhZL
cN19wuf+wSsLe3xm7fEIGImtzTnEywMZL3quaoHNSqaDRQuw9+MnjnU8ejQ/f0y0JnpT20W4FWwH
NvgIJHI/mUW1V/tqfAqtqrupLSO9A9po3QhtwtLglHD3FZY/8oJNcimrWTwGUTRRX5LYa7J5X+ak
8RNbSwe3biX2ruoG4yQFemqs8Wfxxhe+G2TFKStarw0yqgfjPL3EVv+VYKw/2xkTbpEZ+h7Lqroz
svYLkwVE/YKWwrLLbTwvNrfbEbt5ZIXFluVuYLmMQTp3Vfs9VuKPIYctvfxJRfIT1dSwHoCyftXc
mI5D5WbIwHxkKfnLx4WAzopn7+I4tXfgOz/skC+QBoT0gr16NtY/fo2osMWuAuv+/ONTOmSALjhC
barVqy9J8NtmyOXhMde8uO3pKBotsStUV/NCpbO+mwk3crc32aAiXXaXXsvVHciv9GK5AWEuOM8e
qQIG+rb1nX9V9get4ZdQl/UeE4qmofma6aOh8jUneQQMpBvkJib4dsZiYO9gfqaXKWgCv68n/Dcm
QQz6qxP7PAud34RNdgcqSj32Pd7e9SSylGE4+IwdMTMsHwh7BdZ3WwJbj/SvvOdnSuoFjJWwAGiQ
guIfr56IxTSljfGBLzehpWc3jzk4jGqB3MNP/KjpaTzPhvwiL/DRLBu5XlvlfvlaSWLZO9fkVy7A
BXhGnYPgoAZgwPTs2VUovjvO1Hy3gPHsCYPbNEYC7set8mVgwTubVjqdJ6VhiFFCo4ic4ZzCorjS
yok0CNifNHD7BEr/qjGrGFALS31vO/R4r6CWZfdN3dl+Ekn7osR1etS6IN7ag4Qw5PSa86SmWgOT
vFEvVjc5ftUaeK4RW31oXCWkfUOWG+p3FcZN0jrXBDl8tRqD4yKt0tjg5p6t981rnI5yLUwav1xq
UNb06g1eRJ6fYS34n68Zl/6usIsx8Cy9DHZ27xhfhrqQyLupJAUL1LH0c0jHnlHO7akLKyizpdN9
S6SFZg+HKyF57AK6b4jewqNrL5IH3iltgD6M4PBCzAZ9lGYqbmtVGs8VoJK7xMTy0IRMy1aZMUXv
4cCLMM+iOTpsXDt6IeTdFNrJmae+f24iRWNIA09ynfY4tQHQhOcWAMXBnqW60fJYrkRbct4INcEw
CobiWaFb784lBsqj1bnXHkHNq0HrrIVa6yfS3PM5rEg8ykA3KI1YyuxjFa8Ny0a0bpqhBNPqDrtI
hckBHiJ0trGBFcKWiTh3ojcuahHIe5VyXnJ0mHQIIoQEPnIMVqTIxElShfGBeyfmyJxZ+x5oVm+L
9k5jqZRLfMk6ZDTXAO52zyI2FHKjCwi+bh/oPjCkz8Cq8Q01MFCfGTkvIJyNMfBKYBe1PD3Wzb2C
rZ+0Ex1vg2I+lZxQrlGvaWfQfvFjCpD6oBfY+9q2QslOddK7CqFQ9Ku6SzELMVryXTJJe63SHlus
+s9uZlvPfSVInxAqnDsZPdhxUSI1UWrMDaT2Zricu3imlGclCwxXZtEGT5auROsYhPguIEp/7UXU
75qcDA4NaxyqJc1Ua5lU6ZEojXISBEXugCi5a3zpA+NLlQO0JSQ5PYBu86ZC5CQA5sTZF9Hab6AW
ylWkjDsjYgYFSSq+79vY3fUkZigC492nIExJILaM+PqgnornNin0vcbVA8bumO44cdo+lXXNme8f
OqaJwL6GHX+JJrxTTu3Uj6Gs55UYNesQlWp4DcNRAQPSOR74+vF1NGwcZXNAuSm3RcZuIXnnEazU
mMKiifQayEsDkFMt9QbJ0w7f5x4LH9I/wo5ed546Ky/pHMych5tS4VUZiRLPJGVOJI5pmMX3uAcH
I7wmBv3C3BMrhdQG+jXy0fWBpe5Cs+L1DrrhczD7U5M444qWH1hPinXMKLeAmJcNe1VM7o7oyAg1
obTKY5bn1J/0U3OiS4N/DrwSRLWrwdCOETrrcdIjfElao/NAaVZ9F6lVtONQIte5Ok6w1gO5b1Qi
8s2g5r4iHfmpTDhealk9tAx6901Z5Y9t5c5PgNgcbCOhurwSxpkoMJPCypz0Q6cVaHYiFNzdBO6D
2zhup501K9aeUHdBpVg57wxiPL6uY30VhCgpyaGsQZ+17ExiP1w5ETHxnA+C78thbVVLXgjqr/bN
YB+YxxoHMQTuRScY74904CxZj2jPfpfs9QiUtBKGd1nfT4sZxz0S502/eslsmJ4/ppJl8RAQfMA1
ost1Zej5t1CbipPIKSAA6cZTnJgLKxN0Sp6197R2xi7OF6iZ+RLBh7+Vu5jzaKdbs+C3O2C8+tEp
hHKr5iIJVjyp9kHwF6KGD/XFrVL1K0HgQGAg3q+L8RV3nXlUJwBW3LX6gtlxnN9SX1jeTCGLGvRN
EiMBeKnGIv/GnJbpcKPRFaUD5b90ZX07Use5hfyDE8Ksb2O7LPgD4Kaxfeo7i5+/sRQKMZQRW9pQ
4ICQVC+kiSKBBeeXKrKeUnL2V0UNBq/pBqBSdTisI/IbJhuuORv5iXcVlaPmIW4d8yBtdMK8qvIL
Mc5ra7ABxLn+APHfE/n8wQkWpu8YRxukgzc30HhMO8fwK3KSvLQk4TTCimu68O6N2Ka8qQHZXVqj
esgnjJAc05S16nbtEz2K9pGVpvA1aWgbojIgzKt0+JiHsXzDTErEMHDi5jJb2rinQMe8tAUWIOYS
7l1cue4WlBwUDjeav+O2PjRSxedjtcGl1mPlbBUOXV+1Hm4GIsheXrPPCekY26SmJouLWbPTS6Xx
sXQZfiSNabPoSJuKS/+nETuFn0X2VOMKHBl4d+2jYHM75WA+GBROGpFAvSddC59dl7w1VFs7uajx
BxXqo4Nt+RMLTbYpOPiuLbovfOBAlTdBaNnSwVhvYsceN0Y5dhtncGxY9sAfhnQkpG51GclKozwY
VneKZonnqc+E36KfH5KkyLdlmZ8yqoBWdSO6rTu0Bc4o1gkHrNCj0eXP3B+lP2vwOxFHlL3IOyqu
LCymMexM38mEuU4yoyF1ZAUoIvKWWD+mRepD6L8wF5KBnXpKzRJHKwiGhEKZNrOZAwmYOlqDYLId
Y8KsR2gwxLZM2e8cgBDbakpibHO1+jVFqdgmdKeu1Jb0N79T4IVxPx8tPZuvtGm/Q/usP0OR43nA
1NO6pCVNgG63M+eVLXlt86acTE7Dg3OurOiizJzdNFKCKxAm6v2kalyQo2hV6CGXaQwpWzaGDmuz
rQ/+4CotSa7ZfM3Y3T6xl7v7ohp4ukp11vYFgHltQ0y3Yh1PFa7koJXwZViWA2li6OXRJRq9t83M
uPLGVnttNq2TUzV4vYjNxy+q3aY3FlUR52AIIHxNkzU+DJ1Sv8eQAb1KL6OdS5nItW81ba2VQ3LK
MzkfHSefg1VTxcKrYqJZ2Oa1+s7CDHObw3l71Qyixjh9RLCVxkJ3YVeB9GJSzHQdwlq563lF6ZMr
jeCDYEGw40zYPlmButTRLNgYpBTzkYG/dYld0W1wUtZbuJz4p5hlM/tLKse5SrdSdzaWJDpKiq6+
HRhd23jngjFZtVi19/OCrzFEbn+xUcx7Kx4G3etEGF0Jks/bruTJQ8Prt1kt7Sc5JhKzWsTcQh1K
7RS6Wb4vGKpf8dkg4eioVMDKHCM5RamFXwi+kwByc4hyujG57sDHsRN9KShzszsFgiFp+HgDd89Z
RVX+niYVhrO2HY5M9mPfjvA1j8JFWBxiujFC62VsY9z1ivaYLzy/wh6+Gv6TH6K28PxS2d6zT9/0
jEn8UeF2ks9V69e28w7fYF5oRv0ubKIBmqaa3Qxh9572OZ6cJYgwUvELGo/DesBD+zV0SFgEle/s
udo6KV5fPusTwm2z1mV6CHsh/aHP3bUT1QrBxb4kEWedxqSNT6Y+g5YDyHDOogmKMYGiW6ih8Y2r
g8jrC5tD2QQnYzTUfMfx59YuprdJS5qVEQ8hfBuj8eDwSJ9eBYEvwQoPRd0pfkq8yKPo7WZcYDQq
l1IPq2y5rWDKnKumT3dwyrQnCHnNCklJrBNl0Sb17gZe7xdrJ1H+InJ2uW1iDcdGjetokynuU9Dk
DxSX3uedlW9o1UnXSTw9FJifkRyXrkb5ONLBQn1dYr5WciHYYCy6UjhcPGL8wfhkG09zP7yCPi2u
vQW0ZRJasGYGNp/oWWY377/iCuB3mmsf+HRRvHt38HoHE7DaiH4t8yTbJMbcPJJryW8Sfrd9yXl3
U8/JPRLDnoLwBegp05csTtYDk6sLCoLhjXHzMcXqR7GcpWLFeGhGdkk3SD0AZtGBEtt6PVrpm5IW
ybrTLEKjyneq3yCBlJdSHV9LWQ4bMcprbpVgFu12ugkCoRxE59CNCMQ4M2DNzEHEr18Qv+015Vkb
aODgBHgje4yh6ZBiXVNrEJVtqp+MhDqmmkLgQxpymuzUymLA6SBYmFW2dcKE2j1FWyUq7vaEGaiv
Rurkg6kAdaYvPLuuv4FiVH7CE5nSVdqrELEsvHoum5zXueP4oIS2c3TmwX3DydB6g2OF/pCFh5pi
df4P41Nl5zrIzFlh29k4WXkClmZdcKwP24SzMF7O/vvU2f1eQn/DSIiriwC9vgkC4uZjXxwT4b6V
5nA/NyawIFc/xbF7BB3xHVbYpxGKTVGnB6avMG84U8Sd5eIpCI5xyb6JknMGSrjNkIEUYJ1JPbKy
qXnuj9SZbeJueqLi66i4yWMbV/JkVpNyVwWJs9b08rvAU983+pelzPvQdSIv1bjJdRYRCKIShA4q
UFv0bzHS0J5r1cW7i7EcmOhuKCyImmxzTs8otXTaA0WAqxbbNwkCRdwPbJIpD8SKo+Vr6mACaig4
3IYjvFgVJB+VLquBayG8XWpZwFQwTCkpH7YvJfSIFXwDhvdJ3ntZl5Hg18lt107ccaWfv/OAY8BP
JozMpboN8vGpCq381sCvsVXc4uCoRoUAkD2qWrjNMyUBiGeCU6mflM69qfpsPOhq/w19DkdCNUHp
wxy9ilrjQVeC59xQ5lvAfq/0m7NcyfYFw+htaWnfwH0+1677AXvre2JSSU1CODR6buPu9zDT9k7F
uVvPdHqSoTmsIUbdzX33HpW1PEq4bsyRjX4D8nEfdqJ5qRSMpPgX0kunGgZnRTW4sfOS6IBC70kW
UqIX0JAIFkfoK6Wp3R07XrWC/DRtzYzRNRhC3LwMpixlO1T5YWyNbVOah7wIudUpYleH81cBOBEj
P0VBaT0fk6B+5cu874pohx3oDD589KNs2PRGxrba7+OQZETO7AH4K1mBhVKzgfAqLkW/1OPYjM0l
CTGduiR8NBs1Zgg3qyqEjthdh3Z1l3I2D4WxRvPk2pTZ1y4LtqWbH5xB7Gk6WgluFSvGe/hrRHMY
o/gpm2m3XxxeeR++iwQSnk2VopNLZjh28Gh3VIKZQHkCqcMwG+xqxzn+VpmVE+8D7OfmTszJhYY6
irpn62wGyb4bG2AuTvachO3dQLwmDsojbHwFQ2vvlcn8WM1YL6cILnyYomYAY7zN2bdWcTo96WN0
ULPggv+H7ihD3WaADaBBuPsoTIO1E/c7IarwgRJVWs5E/yqC9sh9GIBZkYOFLrVoV7GUbUc9DMDf
2Dy9xK2qbVmpuDDmzH5vGmz9aZowqgSB3MJ216u7toJcpaEStlQeHaIQDHsHzmKbFkvuISiS9gnk
YkMkJioRMFzIbxzkE+J8pCC58HfzqcSgRYaOfP8Q9yTJi9r2dFRkwuJIQz7eLu0g4MVhiB6cfWBb
HAKidvzoStojuxh/iOm2w4mTavE10RzyPLsh1mFtjg+djTKMRjASiW/GvLi3myj6DNpce0ViM3dZ
0etXjI/tIy0QPUGOWcHhRzwLDk9wyCDcHsLS9Hq3/fGRyidOJjQhUWvpaTXXvZaDKrij7tusYZDm
tbU2tAPyBU/hRFxTjFcHNNGyTrR3LRULiEad4CoXac3GUefB1+xmvqRzFZxgzpiAltyIKAI3ZbBL
7kva92Idq4J6siGqn+whKh5agqvvDMfr7eiU3SbK2JWgEeoHlfLKW0BffPoIPhIoIspzV0aVtK9J
EwUeji8nXTUQmjhKU7HlmlzDVAhv26yxhxtu6wgOLcTamheucGtUh2oAdw7GiS692Arubb1iiC5r
jSHbWO9aq842Q2RbOyoSzFtnmr+BPgxO/ErBPinbYROU8FuFGnLh1UI13gP37MiE1u2xyJx6W9o9
fmpMv9qLSORw4tJR+NHSuzot6ViYxMgkRpje0fs63UclqVcbTNZX33f2XWS1Lwbs0taze+WUcxn0
oO6YK9r05kNV6LcCBDGpCbKwQgt5uWsUjYYP9B7EznRfWS1Q6A6EE1IXsctW7V/nJcQjSmcCy5o3
O7Ne2gs7Z7Hja+2xCZXssWYqvc41VuyqENFNVGbqTc/+d9MKxSQrZBuHMJ32CR0tq7K32j11zf0+
bRpnjblCuURq8ibNhtOqiOFKc23Jq/rSZWp4U6k0cnRO8RCbnX4HxJQYnFOU0arvcpx9cM8Qv1Sr
8wJdhivLTIp9lruxV6UzSSNBAA6gSrazYT3juIfQRxqlWFLyVfk5p0N/DMpy4sbQK34fLv+wTZE0
hxDkG3MVvgeeTGL2QqMasoIjY8p75u2d3ydqzW5OUWFCinNf2DkcDwirfthOGemchgQGId1VnPeF
Z9IzdoiTTHsfNe6Ind4kfrisKnonqtM48rdyqQTl6IS2X/BlbIKi77axS7TPMdhuwtGyLrQ6PvTV
NN2BDSOtHKrjvpwKqGlRmaztLLjtJtLQxGeIqVFgd6hBe3pAXnMfADa30HLiSL6Iqwlq2xpOMmUo
SRTf8eR2X0WG40oIwhlZwsyEgY3txTrF0nbW3wfg0+67UqT+zPBmnUWyeE7dpId3NtoHEs3UAE6y
9FK7qbzGjkA2GSRU0FoYmwjFOmuwRSGrJjWRDkWcghH4F5/nVLbMtCFzGKekMPIb3UnfTLI9GwCt
2b4PhnoLJgUBhTsXUVnG4swND7y/+nXQKIobwDGu9QrCf2TJFJNolG2ssH/tRYWPMRXOTVCYxS5O
+3RLb8HHAHrKK+lugSKnz+GxU0b13A3pgIMA58kqz0nhTIMstpGpNocSQO+JUVSy4YC6QePyBzzP
G93sNc7bxezBjdY8LSdWrYSK5RcSp4cA7rkdUSGOiJaqT5Yh3iRW+m2Ic+PYJdG4N0Zm3/Qxah9w
7x2flB+h0JDyoMLSyIsK9NlKjWiTm+vxMFSg34Uk/NGxNjBJn4tVo9Ss6xTOndBg7MfBMDMqnCud
lvW29StmQTQWgOmtMuwEONoeUpl0vksgbl0AjCPo7jSHaTJceC95n+2BOr8zbMy2dabK08D/jRsl
U0Ct2TqsXtV6iOfKWdHbFmxo2b2JcpOj/WxhDwjTGuhPaI6rQOS86bbS8ksOwlzBTFfX7E/iFp4F
Ecusaikur2B93w9gqCgfIM6e2W68jQRMxdVcVgWWGZNJlGGIR21gaqa1hD0UjE6fKimec23N8pvS
M8nUlMGG14d7YxcwMTxN1Vxv2zHjGoamcp1j6jsBdigovzHvgFYYe1HOxos2L/Jqm+VPjjXk6K5m
9iS4+XiZiv7Mx3SvU8yUa4Qgf8ghM3izOwyPQz18xXEenolP5xJdX8inaiDAV8XJvFbn9suNfkxx
+SG9KBRP720CnaUYsGnxil/VyQ5Y7rTmxaSD9mrQXqivYQf1AXy5JOdobqTqMxhg0q+1GF5zOREw
rUpcyOvelCEPREICVV+qs8PI+T5yKEJvjfnkTl6MXqtV3YFK8fEJaFDrJRwI38YoUZ4rKFY7COLd
oRfO8KqObn6rdfQvrkLTFGej+n/sncdy5Mp2rl9FDyDcAJCw00KhvGHRkxME2WQnkPDePL2+2jq6
oTtRhOZ31BHd+5xmVwGZa/3W+zsW9CKtNLj4j5yurLPrD9bVrQz9YKS9xFHX8GGavs755gJz0Nok
zo2kb3DQ+fQg5/76eBT3zTxHrJsQnBYaEtqw4gUKjAqIgKZF48fCRQs1Q8Tiypbqu/b88VaLYtwX
8wz8pVn6tiYZ70odB9HxyO4e0maM9jKJE6bJpOn/yrhrqVmaBwLMJp/xyjUxFGQF3oJsAdEgHoUo
WFh3mxbSKKgMFutm5jeCeeAjmnAsrvUcb0GtCkm+VVc/xLZvXgffivaGC57acybvhd5Y7/VdfcOb
xye7iAoX/v3f6w/w3IvRN+9FBCm66jH4tPhjMVOgMoUhHgGEz4uZsybP9pLjaGuy74FI7jWcEHo5
N84DpCo/Nq3EyFUzfvwUm9Uemr06lCMiNmX1cifdXFw5VP2HwuZnIcc6H9A5NeX3bFei++mdvK60
G39NdzTthrNcJrr3iqrIWZeQ1v1KiIX81funUvBvRefO2bWucv48GQTIbpfNy4M1enBy4rumiBnF
IOr+fktzd2sT1pZYO7A+ovEEutg1Ci4jLO9cuS6yb1NH1LGsa+RGFJHDKOPrIE7TJ6mj+IBmb+zH
RK/kdG6ywq0Y12kNyYeeEDDqw+oTlj5CBqIM39UqMsg+u/hTpX6pJM0n8jAImLwS2Ix11ytd44gD
dLHChU0yfjQz17xWdLO3CLORiq4RKpTIrQmFbrlNlox9mXPBWshi6KdXqlGX6KkZ1dCvcYDhw/bI
aF3BnjolJV4aN5I5Nz+mYVQwsrxBEys8zugLlagIHc22bd51sv7qO/KdvS5sPdymhF6+5XIZ3bfC
sVS+SdEljMy6Q3ok659pY84rhJQmWdB4K13lY4VNzeYMTfPSm/zJMmpR9ZXLtlgu1kCMyHYqvf7g
JeVd9oWLxnilaJ2UezpW9Hpv0q82r8eMPFCbr+VlKTl2VwbJb6FLf+u7ju7va7CH7qKNVILt8kSa
FXQsqWnUGEtEhslAN02C5O/mSYlHx3aNCApWcpDuXJ6oI/ZPIkrZT+XawzA0ru+Y3obUMZx32nHR
nWg1ZuRdbuKevQgKkpywWJYJJWi59wC4zRlhz8jS+njs4JuZM7yDZREJ8Ta20ZRurTHVc6IJYkWq
NvQHBnegjwJCtOzqEzFeDWAlKaN1EqQTMdwwdwba7nhQiVh7qBZGBIpxTutP0Q/nmB+jY/4lCZ3o
CcOj1y12nN8IGTfw/ViyyGVgvzLQXT/7JuHEmrFYm/VPjNlEXM20pI7GQfX4116kcdVqintXLn/Z
I12H7MiC5jSYsELVjzqDkn6kbWxOj7CnlQPSUyXXCm+UFfaj5g+Hgp+adSuinxyTKYOriui5tfwy
vll4RtexxeO+IpBZekEuhZaFrcnBTLdv4+vB4C4u8h4ijMZ9Xvu5BluSLj3/X5XmEzE9QXX8nUpf
BUUDX+0S37rm/Qv8iAA7LTLyvVhmAuA03bmCiJDMUHbFySB7f0OYpQwAB5DdVd0zU7LgQ+vUL+sJ
lUtTG/VU3s4hox1ZFVztr8xo5wXcoKFtKVolzry3jKlZa/iqA1Iih6Csp+LGp4mOt53fiULy1m6E
zLUc9IDCEVizyuyo8RB/4CMZf8vureYmPtG+u4upPNkoR/vsy8WGWzduHQDGT9NzWFQcnZ1v5Vtj
bBEuUGeNrW48ToAgWMid6FQ54ilvmjwgXG9vSZzlqc2GZBcFuERJVLk7Y+sB9UB+OZUuuTA6E1Xd
BTNQWpOyZMuW+t603ixV73/MblEhAdb9YLHYrvn+xPNic8ni+HimR7xGqwKiXkoPZJRjDH4qdKeh
C3VZeG84MxBD1wYboZp0I1DoE6uSsJ+WQK6FB5UTsUhAgZpyKS5J0iRvFRQIcFLVZqcK4+uzPdiU
mczyJa8ZDt25evVBaEl/8O0R9bJFl8NMSyduhAvR6R51UqaNmU6vI5qG4atJnWlJl1/S0g4tBLIP
gAbDYSmhIhl/km3X2WFM98nKNrKj2483O8/XlbIfLIIdQYz3mq6XYW0pjOW69gA41gRjyXxBDd0t
igTnQOrq5Il1UxkkPTk9WUPiYwabS9H5phMLhSyze9I9gkq12Lj2OniuXziEx6L9DAqyYSG90u9F
tWh4ibV+ImOyXlXVZAZjNJtb6D6EwNpyJCs23RZkWSIZZvFfOR2jY92SWOHFCxM5K5C+lgh2+Q6l
eqCM5bGKmw7zO5r1nCp5WRsxpYfzXhpZSOittS8T9WZZ+XrsarkDBgTRotIkO/jKA+Ez+vIVrnT8
MpMSEK0jddP0kjetitNjIdJPQqtiWq3MjwmzV9C1thb6I1YQioXardPIUPgkk9SLuZ89Gy1xye2k
R4+NMU6hjp9q11rDsq2U6H99N/oxUmI2CMgnbjKHGMxE9ZpCIO9H6sEvqBIB4RZqMbIi1e6EY7UW
rdxnmpg22ACoYbZhGH3DXH44mRKAYNQVTl0aJ1Ki9U0G/EKla0sOUuIQcTO909ry2k9xebK0DKRD
frFHvUdkzwYIhzkorfHFtg06lTpyVZZ5IE9Jd72rlUA4d9b85U0szaJwWACU9SvMnBxUUZKDYSwQ
115cbvhaKYBuEZYME75xMmy/3JyEWOhYOC+zR6Fjzx2fqT8G1M8/QRv9ZFrDUDGhA9cTtNHuvFDl
U3h7tMEvmuVOXPjICNHgQEXolJCXqeluLQGLMds70A8NMbD1SYNLvE0ajfXhLwVQp6bw/3g9UhXH
pOqSnGfGFVk0z6qHVCKDZecbWkjL+KbXO1Bv7TDnzoPp8623ppft51LQeR5Ht9wcvpV6Kh11TTWG
o9q31sBsRxqOLpbohvWstAdTVtou7/D/9yL/dptsPVfy3LZl9F4N5Rud1eGckG1Rj9DttY7/tYmi
P6RSbhJyiZ8b24SPnB8bzwPW8tyD0TQXSpww3/dZoLnpJ4vw2qviv3qnjJXvAttYvk/HN/Cbl2qb
JBoPlKbaDFvCJ9nIZkJ3yquabLVBnTIfjFziMqDxKGyV9z5Z1btq7gmoIqXxV1cWonFrOk2Nzs84
+BtnRCXTYncg1d20zzZLSd5P49V0kqtjZy+e9PaxIrVZq4gcBJBiDRnYtYZvX1XgvXnsh6WmLnQg
AFC7zUvZxYeuSbFaVV+C4S+tNRJv2+JPa9PeS0QrRhQCx0o8mNeow09gqlfp1lshySjUupuvl8RK
FVc3GXeLR3+xynYi6S6qrJxjq2P2XyExYfIZqDpSRERJkhasHKEe0blE808I/hogjKIsX2Kv21JR
Ft2ajIqhctY2S2sduj79pWXhkpb1kRXHuDdcqLXSnHsQAk99FoP/ezq6GDV9k7PG1ACcHUaitD9F
inJoiOMkiNA0UHTrkVBCQgHrtenc+Tpz01BqAZznjo9+L8V+GA2wcaND7kitF6KhwbWLdW1aJ6fv
jEtrcW+ZPAFRIO2op5LP6Gw7TtZjM3f5xkVDSnF9XxtlecRlySMRW2hhkPJbpK8VeyOOrg0im+uY
pWw8CET8lB8sG+G1Kq6YZbAfMzt9JXwMyyta3Z3HBqLRRcWthBLp7vhZ6lNTWwGSKn7Gxsy0wKDF
JXCLCAw17vfwl8PVau7xX6zSD31P9UNbjDB7aRW4vV2fqGP2TrRg0PqUjrfEirYLVDi7BLW7etpb
WyAcyu7Jot2O7XTsRHNJDPuVq+2oF2RhmA2zUpLpNFOXhrNLy46HYLTyWydG8UAoK/VyAu2ol0Yn
JY2wJt+e5QRqEmQojaot8TTjaqq+AafhGlSHMaj0AmshhSaxm33njieta0CB5FlfxL7sslduIvRq
05oukZcqG1H49njiHboX5WqOIu+HAF+b9GKnM6mkZrr+HS2RnKmlUifYSf8soUMPcVILhfeJ+JNo
sK0fh3aGPQnGf1MyagKUJ/mabBgmd5fANYPpOBhnSi/R5fprLh3vMkKZnXKvzIN/b2dH2qZQD7Qt
3oNidYoP+QVL/P0XzEY1v/x/A8N/GhhM6390MPDVEkP+9W+br7b8766Ff/5n/7It/B/cSbgK7y33
iIUpY/0v24JGxT22O5yFBhbcux0RR8G/DPKkx1IqCm9MZAPRDjjo/69vwcfsoONk0DFlQUzd8x7+
F74FbPB3X8J/8y0QhOo6lLDfYx2o6Aak+n99C1BYudHXZkAxID1z3VAvxAj54rfT2G9ZgwiPQ7BA
0DYZXfmQmveOuU09xDsNYCXgOPHNVT0bIRpPdgAVQSlw9vkeWVcGRM4R1n6mwYi8OHO2NqgqEzgw
ZDXlLC1WnUZfg8SUVDG/NA3ExVgzTptxEmaeW+96VFxHhO5PsbZsx6kl7yiS0TW5Zwh1vrNBGrEi
LV+eK43V2mP5vnocQUGJvmdlaAmNhX3TPaJslffX5QY89BYVAwc1NECN6jCOxg0qCflG+iaKJ7c4
4XBw1nm66Otxccz3fGJQqJacAjrm6/XSiomWSrKiI719yQdlX+GFxD5DRrJynfxvDgoZRtDDDwQp
LX9tLfk0PUD8uwJz3ZYpMspEtGHOX3pVeAaOhTemNyAqY5/HaMRIxBheEvhehLARWUF2hKOPo8O2
Hy2ZawH1ArcKzGOuHPq/MuNnUhmy3VZN+bgujEq/4cEY5LpurejkmVNFdFxpLee6WwS56DoS5FEq
ZyNz4tfq2GC4jwV9nXbnetS/QlV/wNrfJzWW5wc4UPctqyMo5T5Z5oeyzvKL4K2A2cjpiKXwT+AE
8UZ0i8tUnJPG/et3WQJFxEeIDLUb5/1MmOl2mguHZY8k7DjZ0qQg0dmR9OcEfTsgJgG8I0SbPpWB
qMPcf6cTxZuQW8tojYtcv1a5ANNGTWkazyjW9cvQuDeuLCsEZecMd7KMGiGKMYhaQ9rBZ0c0XJks
TUjZa9FR1TBBhJuZA0LHtxGnSUWTVbJcI3LlLFOHdgZAnC4ZGxmJPMxAi3Rf3bEw0wP68GJbGtYO
eI1aqyWaN7IwP3O49tJB595NS/KWUB63Xu5sKdbGVaXb23qxBTySu/f8aLnONBQf5sUM6ccBb7hV
OqVp0DnU+1gnK9VPCqoWcQf28/ndrdVZLnkoveQIe8pqTLCZjO8loynpWOR4i4JQwRnUCua/Qs+4
xA3BpINdn103vYrB3WbgfFx1a3RKz0RXBTYValt61OgcGabLJJOgc/adeBzKp9puttWAItX8k4ol
nAhhcjIdNEi1j33aX5HdrXAMbDmO+k2DBlGPzGPWMArO0VmK4p64Pq2quWHPNEPE4kPoLx6eG8Ly
MkoeForXR6n5R6Jeiz1fFUlq0xFXc4B019wOqW0E/TQbweiIPQmH7WGgyvjBjvl7Y5XSPEJZLux/
Vj3x2pwM9TBLk6TVzyT1XmKUimjstzOJuvRS7gU5//5S7OcO7p95pUrdYG6WI23BYHx/LU4VMrjw
L4lkehkbQWFv3q1yVW+t0rXITGzCKHZfoMAAkNrc5pxrPyPdNE6xIkNySpO/9D0/ZKqCZlAIsnq9
fq/q8UeL/IixIXP3cDoADvm6n7ILwcBfxNFvDW1adp0wvmeAYHnOgFBYDFpQUlVE2a3EY7BOtRLR
pL6UwejXW1efE7HyzOpC41dQqjKRe3A+6nmJB6G2fkjjY5tTz0ZQlWrki/QHpH2av5HAR12MohRJ
09xmT3Ql/iYa8qz5LuqMvfRG82VAf3xYRZSgAD1q5Oz32iMebPw4S/OoI15+pO6AthBpahf86KUI
o8zHjDvo/nC2ozldm5XW7CCpXIIX4H2o4DBe2S4BsfO2BNEpgERhYUO4LfZ9BZawSo3lK21a/8wQ
hMcNgMelQCVsqtbAfAbGadjWGRPgUxw1RWAn3numefQtZ2raj/7ASDropyZRCZVZlX9gr+iRa6rq
RM4Q8sWMTMAKiViVPxvZ+JBhb4k74vabpctOJPapa1R0nP3xi3ufn1BDvNV5ubHSr6QUAH/yyU1m
CuNK/ddLnJ10okPRlrshIQauS7hVhDMdJXhOqKX1H8Mwz17a/8kn6i8jZvCAVrNbYxh/atI/g1my
vvZsjgzcWjC6JvIyapEbwjeBMVl2F6sKPVdNIY2rd+SjgOaaCw/ZkJNzFCKgjyN605BP/okMPd1k
XXGYdF/9DIjKtuS7/PhNSTsVu7tLWGt+l5QBjYMcxqGK8sucJ9eaDlkUF7NLg3Ic3qGtqK5gs4dV
Yb0a0+uyfLQ2vD15cjGfdnO30/DQtXAT/jCesoZbrbNU2PUT0vePREMsnCL2YUt+cz2qcbUPp2l3
fT2eUYk/Sw3VVtHUaBYpWAM3XxH6tsXwz/I0bGjrpkjU4XVgzbHc4UF21VXI/phU5Dcmqvh2YXtX
ideezUXf922zHwsKnIrsTKLsS0R7Q2RpB2KzDykPcUmdi+zUsXB8nDvGQEGi/hk18cXJq701E9zo
nlk20aZpBxNRouazprkNwVV+8bsMT2STxBtjIGN5rPBnD6hEnYiIXGVvI/PL6lmhFRpBEk8DKOYn
S9jvc/s3d7PdkMuzQxGHD12Ch0hdyszAK0K8EOjPg8KDA7f24CM2AXhCAGjPOq+5uRrcFvm5F59j
cSTNG/1Z9oeytr2s7NBk+Ff4wfrZoDPNGjf+9Jl4XiD42lfxZIsQ/PEMeb2tc03be3q7z5CaaBFF
maSx6iCmcYvNUx7F/DaP8dbL5WbCeUJKGO45fawOCBPLVSKHxwHN2LBMSJEHqiH9Iuwj/4eXdo3W
bRtlrVxBE817uxZgsaP241TVPr4jyGhKeTQIUY73NF9xFXpb7PuhGoh/dp6RvH41sb4VSlsvHBuo
UWpewOYS6YQUFd2jCerqiiwotHo/D8gMkO5GFmHqNc0YNE5RLpSevRYxz5LlH2n7i3T+Qr7Yu2nM
rK/zzkrtjV0t6yVG+oX8bK1n27FTe+kOHrwdvIAVN+TaZoKvV3fWfkr7oI2xvrJOBESdZh1pH+q/
W+/2L+WIUywfPxbUhLmTlTuakN0jYXkw9K4/H7r8h69yjwpsi8aGzS4/82oBdiuMA9bBaXHp+0N6
aWrW/GJ0bw55A6yyowpFb58rFzJ7IYm9jc1HWREXo5ntY82gMXTDg8b2v0zG2o6xBS2xvvJhKs2x
3RrT3TVBUalonyaBm6jsKAFOvLwC+UOjZiH/2IFAvFO+XjwPKBJCYbf+0dd4/JxBp8YF0+vzLJJ3
o3z2l+nSVeKppDHOphSyBxyJvfpI/MgJ/dxqpPqo8C1/bTXtgagKvEX1zWrMRy8ZdpOZfI6699D1
+UbzT+Sxr+NF35oA+j2ffWa1p3z0ni1hDZtF737uB/oGMST3QTls6U+iTbh7qTGQ6QslrMymG+pZ
/ZXOre3HUdh41mp0gFqGDtz6zYLNdWGBN/Qm9dvWO+AmIisg2aGjiUPdTYxwtjEZ6ZW3thUeKt/8
I5vvAuvZllEdSZ5liTA3+1fUHx/G7H2a2RQdbLIs6Z/gCMClRAriG4h7iF4flpZhsUi5MzgXBqLo
AqL8uTkSvLPCjb46m7TqIbuIEjKKF8ktkkDkLRjOiITDWU35ORfRxZKXiLxkEBjPuoKfbIdC29tt
/YEAjJvZCmooNK3SP4XMNum96JwipVEuYQpsTnozJZlUCREtvSE3Y91FcBGcMV+1g3EGkYiX8IXY
2jNlnEi7qqByUJ1ZNqICahNNn4dnrDAPmdui0CLM59waygrrzHbCtHQj8vcRm1nRo1t/Kgq4gwKR
B+aSR+HhZ7Nrjcz7lNYDXAG1nIMhsY290okDcd0TC94mAlS+K14CL0tf66FbJzNm6sm/2HPtEVj6
7VOeYxlfrWs9zJb7bcg/GdDrFoQZ1F4hr3kTpfllpwT0FuI5adKYniBoCdNF7KTNhItbbQ3sVovP
ODKiD0/WXKSFp2ptNZrzdmlYJMlPIrmiaZ6aySXQiULd++/J+dxOlb3psIGEjdOV+w6wjFhjBO0m
XivynOyFY8I5Et7+rdnifeR8pisswj6m3R9JB8JXJg/mjL10chOE7PUTXeebshyXgz+2b2YdP444
Rt6Unv6o+10apSeNkCnTGLfgTTfgaT3EOnaJev0HhvPQoMwJnMLB6uKuVdT8QGnCYgK8T96Z2J9L
hgQRPTSK05a4briTLTd/OEjtJLlKH5TPumcaWnouhlpdKr/xdzOGe6ZTeJMEibnqfZTr6DwubLra
ZsDiuu+pZHjKOhPVvVfE750DCBxpMCtZQXFSYpntyckY67tKWz41SQ7uOAxaSMSbdx4Wzd/5nl2W
aL8JGli1lPNuqF3WTgJsG8+41usGmg4IcvRJi/V3qOKKknFVjJcUbuIqodjTwF6oNQIyrUngly3e
mZU0GkBIo4/GMmwTszJOJXPuWG8hKPrS36ly6r111KXSfs0x+NFVaQ+y2WJH1c4RnZFbnjRMUQVc
zpQo5o6FEfyhGgfk5DNHboASIrn4iRhZvrVu3zUEvg7YKUmFz2Lj4IEJwluimaYucUmTDnINYQcf
loFIZXAlWfHAH0AcDBZvSAn9hO/tHsJjZeikF/GP4ENG6HSzpVWoan2q0wBmrXlex5nlbMaUYYMO
LpC/THU7RyGPvLh1ReXYpJxkv6BI9VatnOVubtzm6PeZT3QqN0FLsE7BSFYueLJqyROd5ugNCXAv
3QvlVVqQOL7GN8gf7nqmXwQgcXEmqpt/fE8o0Q0IKcPNPkJpK0gVzSYjPyXc5Nm2iDtYzxN0k0SJ
EWMeNxIoYda1tUVQ7CuZ0bHYOBbvEjzjfexE9OwovUKuvOhcYK5LV6oMfLgD44/HtawDf5aKarrS
tSFBd2pJ9ZpSXwM48awNopBEI3h8UPuoQMJxUsT+TUy7xjIAQS4GzRe1O7nNhcqQetxni+tMT6on
QvCXBS52f5PC5/gZ28I6xHbkTO851uhTRzvzTjecvGcGQ9M4NV6yg+lwjEfqPRrqsFVvEC0vfE4m
chXmbYH1KtraHcqA1Yg+ir+X04TzrCq8s3IojIcWNGmWgHFSSAH4LUYCXyLRV7QB5AGa8fbstFg5
Vn6qkW0/pKn9XdoCo2jR+V1/iKaCphN9QaKE3A7fuKixHW3vbSHeau5sOJey191rRWNHtXZ8Q3t0
2kz8Fjg+vk1TmDesiu1v2TGhZH5qr7umisnwnttDhafrozIMUPUJWnrZj/qsQ5f4kZtwmUAM00Bd
dNvCXLAYJ6o6DASS31QURfHaqxdayJ1JNhsnmUzEUGj37DpO3iHU2+MwZfONfIgmtPTRRaXKMQBH
ukTsD6k0fhFN+3t7SP2nqrO9xzrxyrPZ9fZNtwzqCNJiNA5NW/VN6OS2/4YSyb7VxWje125aPNFJ
tA0+lbolXTwnI+yA27C6f/ujAhAhRf+B/ckOJk0phONwRXXsllgCoxQr1OTq3ttkx91fvfF41sdI
n+Gb4uKpcIW4EkOmbep0No+5JdkXjFOix6BebsoMkRvQSs4yc9JBSYGkYwQ3n1KOy3ef9fmgqPJ5
irqGecQaWx8oawBtgzXuLnli+u8t+mWuatoOfAyjk/wqiizeDjm7sWpb40/qZhaWvsHIX1U628CM
klQMmKuSMAyj+TVkceU5gtDA4fZXUyh1g2lchhJFbssVw+fsbBwvuegZtvOw4HxhaJdV/6jqHFUv
LK31IUqSdVcZlm3vBKTvvBlTxTQj3XY1V2Kgk4jc6BmRgUklRonUyqHDYcLHXHTx+ALmOs4rE0Pu
zvBRC6cI6ukTuYp7ALWRCQvpq4jclYB32fTT3VkdJ2JvT9J+aAwvYlkTJfKPz7h5HBtJMbwn9BPI
5+y605M7iORQ8xYehENuWeJ2pQ2FXjI+a0bya6QLI85EJdLBzBqJ5R+qdhQFCwIRoCuzSNrniR55
7kBBl4Ts7emc9dJiba0el9SaLxjmI14u4R1t6m52fN7dTXDCMHY0RThOzyIFITCBGHYZCfgrqyu1
QKJOX5EJV7PeVPp0TIUB/uI1w4YSc2ouBKHkzligi7EjENXu0o94ujOuU1ttea0yjHXpO6zwU6Pf
Gzu32uQfp1z+FFaG04JgbkYbt832uT/vetK0kEAxdiyYxSI6ncd7TSLyACOooN94OItq5dF0vjLK
Zjhb5RgdrGa2WX5S8YMlWMNzIuJ8o5ej85pmnE7CCAfzIaqxuDqtOtIu3nxPSx6fEcuLvyODA5pH
Sx+OdWViuSvn+TezRPZhWJ11iGZt7U0UFzRFlBLmTfV3Q9qLRxx9l2mtYiak5nPL85nH+wH1/Hvm
FupHdLh703QRf6zFqRWHsobJE0PHi+4I4wPmqrqIVheSlIlW+5JNTc+2SxdlHKf9s7EYBTFBSJWu
symX20jlA7C73jnfilr0g5kwxvIfbXt71Hf6ZDk/lZG5p5gJiUoaMx2+ms4Cnhi7+iqKDCKxtvVt
smguO5e7bAu0TJoobtMEPtRHx3m2FszgsXknZeP3ucmN7Rgjd/VRU9HMcJVcgWtkVE7g+JLiJ5n4
e4I+Ni2Haa0vxK5lTGvKv7+SU4KVY6nPw5gjdy2oe5KDPAJrKWqVpBNaGfbhQYLxLr3vvI7LFE6F
2FVEcvz8o3K1SvTIE5UKEe6IXRk51jrFwL2eNFpqfRB7aftPudayzHbtsGtn7iADW0EKIEoziEk+
QvTimJbaklKnTiUxQfCNWAKcEgml25YfOCmhlae1ytFhmLViySqKQw8UH5iY9PHhycPQ5a8agmoR
1eLLnXuAJTRgOHgZC+p7LVER7SsPIyuQ+ovh8OA3Q+Re+0KBtGg5iXttGc7wxoSrUHkAwNtcncp+
GkZJYRB1rSXnavRtesURMmI92t2y1Uvto65AMEtq7y3kcxu/Gprg3gLa9cINveFH2SPLhW9StdXm
5MQMt0g6hPcVfC5Dlrth7w1vk0yRyEj7AmijXhk/021pD3SSNNo2SojqmCTG18KbHzEwr+GFNhJD
wmYY/JKA5nLelWKw94R5GXsMW7zKRTN80PCdM1rj5U6E1B4y+932ym3bY7wA2g3n+3IjnPlmpD72
J6mO/SzkrlsmsSCHQO6hN50bTHkq8dR5zL+WeRWNA0ycGPduPBWUhPCi/Vs7AHUEd3jLSHGro29Y
r7Grm1SczeCGo5saj1mMPkR389CUwxRqlKbAxnzOHo1kdUownt13bxb6A73267tzDS7NIuhI8xoe
D+awoKOhjzgXlzeQFIZ26naZBfaIt6K5jSNPTJpNFyiFjrPOUZu75v6UN2n15Ef6GSeqse+1/Lk1
5pMpp59pcg91VWNUdU+qUq/+P1Df2D0xwetUK+XZrUKu/CMB7iiCby4kAGifitCpq6OnGRhFg12b
uyq0syw7og9XDB/3ejW0dzfCp767nlrYiDcthl1cE3BKFiSxLvA6KNyb+MUCxEdvnoPfm0z2/f5u
4lva9AZFuMux5MZ3ncDgUYDKGB84It+lbRO2Wn8tSOCuJvXeDYt7m+uewte5uKm2tr9KAv0eEVwT
8xhx0jEt6dnR7yRjxWRatOI0fZBlQxuOC3oApyw2QoBj5rAs26HLutOIi8gExCMBZby0Udu/0gaN
mkQj3sPskkdaqIHcOm+iHGyyUIogx4t976uuoRUD7CbmeRwNUJ12iPZkPAGIGSgf9c95qY1dAf/v
ITcDCBy3o5D3tA2B38ZE3S2n5kDSUPc9qdllGE1Jtu+LR5EgMi2Wk2c4j1prfJtCbjOORA8QkG/0
gHgI4fwTlRP7TqIC7UZUY5F2lKm1Nwvmc7/8rJALJMVwHLW8YxAn25By2DRsF+DEqsqA1jnY/bu0
ua30P2Io1lXGv0ap+scQ4rFq0mMpkmsWN+iUkgmVoeZs2ZbmnRPr8QZH2+sM+DjEJvrj3D+gJtgX
hH2v+vwfWJAXYYrN9vUe4PI25bjla1gXImeqoBlnk6qtxT66Tf2hZEw5kIIsgOFegrqb+o1L3EzI
vZwE5ES9u6371ublE+ts9sI/Jyd17u5i8PYjTeYpujjOimrdK4lR+zDG1ZFO5fhhvKdE9bN9VckP
ShpiYhUKuWs9DxsXpeXEQviRDOb03TSTfR3wyv0kcuyJ+1AYZzBP3ZH0pMbNTGwOBHWpAZKuyBb0
kchHxO7gWfZfJSuIhuHH1a5i9hCqS9v+0u+YW8ZP6fAf3d8nukTu5rbcwIBKFGGNaF7DtEy8RMcI
U5CzC5tibG1zBHWO2gG9FMVl6Lb0s+E46YL5CULKQi39x40ZMcBj8l+GUQmPqAYMohnibS8zpDxK
dKTQZNEvpshVyxxEydO4NRnMUOc56kMgChrPkSVmwM1WNdo9Ad34D/bOozluNM3Wf+XGrC8m4M1i
NpkA0jMd/QYhSiS89/j194E6boyY7BGj9tNV0dUtlgQkEp9733Oes0zyZvxfMQhm+Jlmaf6VO30f
vP+f1Y/07TN6ev49/xKCCJLynwazH25zRZQVlrb/VoJI+n+akqTz66rFz1SFTJD/rwRRCAVRZ6WH
KYNq/zMTmD9QNHRRRgJiaLwasDL/iRLkN/D5v4UgmoEEhUY3PGtDUlCbmjPg8uePS4gr/L/+Q/q/
RT1I4NWSs0xu42y8jszXLK20s0I5MuSwEXlZcVSlsLHuQdXV3nKoS+terLT+11QkIxsW0Yy2eLsw
NdWJmTwpo2jCkywia5PUufLU0U+kO1CKILaCcLrkOqWMpViofbDFBmoI+3JWf677sQ0f2kYsXxHC
mt1qkoe+cbWKEIEDeeaUuP00gUNTwbdvSNnrznrstbPZqTRfLY6t5A0xqMtlaBTo1M0WIdQi6iba
amo47/10NPj9HJtEpyMOPNXRLQy4nDUEsnFGwo7Zd5tW4jmUZisE8aHJ8lbQDcEtV3LgNHPR+1lP
iTFQooypaE+RSnPez6Sc9CiltaiocEik5KdS4NRHUqHcWm9IDvSYa+YSE/Aq2gE9jpam66KMfuLQ
3Rdio96xnLJiQThG0ZZDpZ915RZHXdr7aGJTqcR8I2G+izaKGpDyJJrjLMW3UtJAG2Ow+1Qtn/oi
Tkj0tUo29zqK6W5ZVBE78KnAZIglrsOZidzDuAuFSSFx2Ssoi4icuQfoJREEJRpIWrT0zSoe1kKS
B/QNO4tNuDoBhZgTlXA2Y8kAMlSNaEAVoorpbuUR0L+iF2o2C1TRFmYqso0p4zZMOKsI031DWUCU
HjEt0GRsaUPyu3CXNGupgtfCOt1RO+npJu+ZukE1YVZiJxEXFhG0spyqd6IZ19tUA9iNyc5HAop0
dDKdOicsbBlH2BjRDveoV/5X4favSU2yiDT8nxm9hx9VHfxIkv+zqZMf2a/6T5Xb79/6r8lNMqT/
pJTCMqjqiLF/69X697ph3tDF/7QA98LrRVzE1u6/U2AkFbC+pBKapJsqB9B51qvztgn+6z8IlTFk
JHOI5gDNGeQ7/JOpjYn1D4UbIAQ68RJ4XmZRrqVJN2TeXkqTtCdy94KJtAILSe9dNDnuEAoTDKW5
+uMBnf41Yf6Z+cFdf7maYihI93TNIpBivps/plE98vshQeh8MTjPuOkZa/CxpyiVK80hV4JwgTcy
/CbO499cUxVlIuV5xBpg//nnf1yTvCXE8ukQX7rROA6hla+HZlgVUJmoJxqrUI53oSX9szCV+bGq
AEg0RI2ybH55rJ3eWW0uJclFnoCWdY0JXYOyoGDuiPeWnL8/VcSSt891dvbKCCJJErHYqN4sT7qh
0BSit3SxjhphtzBUQ5wlMLMW0sCeJ/oV6toiy55b/yqRnNbemQ0lhjVYBMrEImTIZjlJP6yJFo7d
Br9M/5eZPwzlU9CexG7TdB+KujEjp23sJnCT6F6tj3qwS8xlqTkh9WNIpunKrF+mhhBZvwA/uZTv
WxgYga3uI9QIkOt+jfk9wJ4gw0Z/nIwXXVjN5Cpz5WkX2C2FTC31YuKXpf65KAHC9MW5EYUVQe8t
bTW4IGvBDzAYGkvlYnobZWVslYKjFXJJ42g9Tj+wV6VasxySbfiiPsVvFN5icmW1n5Q5DqFOf5Cl
Oj/11CDU9N0UX0bzqnFqwW0zop/JirNcvsFuRRSIo1B+77zXBloPmjS/dWuU5iyeUUgps3z2prOX
2XXg0hDghMLWHuOFMD7PfDNJeRLCXTVsdZo9M6fFknZiseUgVp9ok8oz5m6Zo5zwcQdIDht1jhaq
Zxv9C7wYHeAPmup8Y2TfvJPSv3tLLOJ9NGWWusq/04v+GAllBCsh7S390ocpqkCdfD21pu0xioj7
cVEQM1yHyj7rSxIUhfI+b0hw+Pur+mW6YTCIjA6dLZ0pka7zeTCORtPE8airlwbkGS7VZUPc4lIv
eizXFjacf341iQmSYc+uTZKUz1fT4HdwEq90oJwWsG7sFIbeFmSAR/gzguabq32ZaMDEYLRh86ox
7tklfr6a1xsdlrwhuR9kRUQiCju0QStXeJumT3dsox5GiBf/Wn3/x6wSac4J+u+dKRM4VzUl/kSk
BKpOasnnq6LvJcw0NuJ76qkvDRWDtENBgLsVXURckviKlaMK9AGcbL82ZsteWwT3YcrGsEdQVcNh
3qSklTpD2Nm4xi9//wqM+Rl/uj+KGioRFrxxhqRa2s03HsqakMayb12z4mAgXZhQuUAZWWsEorMN
w8Eprsd4TTryRuwR3dkdVB5EZO9zjCd6CM6BxD5fm3WEb8tND9VO2pYbbWusyMlsK9yHS4uUUj7j
kn+xQsFJXREIJuAvvAYLdnCg0lyRBhY6goXwS9jX23xNsJR+V7/512Ar76rXZOu7wYoKuSMbKHDw
2ZA9ZHsX7eXvT+P3RPz1aRiGJEqqRlXl5h3xC9FEHEAbyXzAiaL8ZKeO9ilnCFSLQF16H8Yuf8DC
I5+SHQ9iQA8n2kXllhZ7t0X1CMqOsmR5LQ79LnrP3/gcRgEU7Ju36nfy29/uc37r/pgqKl/sadIE
1jXaFHvEuD0ZuxtUGLt8LaxpwJUfCEaU5/hucr1z9ywds/24bR1j4Xl3sQyDa+kdgo219mHsXbD6
o4sK3TBfWy2JPTaAZ/TBs9893mONNIeHJrCR80HAHpqFVtPqhhm3iPGDL4y1sfM2/Uk6DxfknI2x
KMjiKO0BMntAfP0q0RfKdFSH3aS5tXew8tPo/RDzl6a5ZCVVsYX6DN53gZRxXayic3HIcSYv82t1
iFaC+/fv1/psGGA08rZrqqKIkqZzIp13dH8+t1iSrdQLOvMaPkJ1OEqb6Rjt67v0zlogln1SH+tF
em5puFP4juGZL7RmQRIcPjF86BH46td0cBKijWEkDZuqP1XVCrtQJi3B4PL7kmrVmo4Ruoh6A8qn
hQ2nOGypSK1MLDwFQpJlSQo9WrR9tNNiO3tl3TFMR+AYWTDo3OS1vArbdmM+Ra800g7dHQImiL00
ahfROYJ7huqFyePaAp9Wr1a3CaA2Gyyca0W1hdwVIhRFttWR6OKA+kazFX0TjabMtorbtw9KBadu
nqVm/H47/3j7RvLKONDI5tU7eIfwsd0qm+AB0ISNUjVY0junE5LnbsBplbRdOEMHfdO6yS7bhavS
ts75ZnBkl9BayMVPHAGTQ77++xeNCeTmHjWFshSTPVt3AwKYfDPv0tcayskrxzN60xAOrrSFKWbS
XWY8+igcFJpuBTZeiz4l+t9tEW6SWQZ3BpskWlu939XFi2o9mM0WlIzhH7QR6AM91nVECfVnYbpz
UEa+bT5GIpFsAfbmedbqi8hrFuqvuFxYP/xT8SHrTps/+OOzWR2lweHnGCWScQGTkIKnSW3aWPb0
8mEfE5EoX6fcriED99s8wsvi4K8kDiAJ3JCqP+JChQcsMews5Zjk2058MMAojfDx40NRrgLIlszG
9RHBCajOu0YNl61hUbZ70JU7y7IZmF37zs2XDRptJ7rQMmjf6E8q+jVud5HsIgPuhJU+vo3sFfVs
nRH9AMmFZpvixDMUSrMWCaIzlZtRsQPPtX8wOR58KOZIfJm8ohmgUIQT64bULRSBVCp6cPOVsU+H
ixGcuvZQm6HbmY+hcS9T+0PADj3vH25lCJvU2eAz1BUNKZB6M9SBb9f6hDrxkqnAfkHPbjx9xBvn
0Y+aSuObleN246RpsmzpJhYk/FKieru5EAkkg7YfVxffNH9heVUXCiQ8OiUYkYJC3n/zet+OQC5n
WhoW7Pl4aGji/PM/RmAD863WFNG/RiBQUGqXkx1m2U9FV+d9/hYZHQ0lA+Nip+z9srTj3idkxa/W
FlC6CijwNw9b+npDCmcpDqpsrVQVzcrnG0LFo6JqGMQLDfknwFWay8aRaGh9D00Sea+Pmk9hURXS
M8qUu7A0zpqOsizzodfizf6HB1l2eGxrCCNm12VwGL/ZWTI3DX4qytPFq/qVOrXLQO1nfUdJ20tC
4ZuS2sYj1r5Zl+dJ5c+JUdMo21HSlAwOtJRL5c9PYQgVnEjoZy5tCDdYjGsa+JJfL4eCN+/vr8Dt
blbTdDYp7FIw3/HgjZvXW/ATynZ52l6asiHA3nOaAbmFNgVoaTDvK5FOw1X9Zv1kq/zlE+qMK/7i
c3LZ30vDHy/eAHNBqYpCvsTxFoNpGm0C9ZdFwS5GUALSMkJtcIc3Hx/NQgFLGE1MCuKdKR40UNBF
/jLnqzcXr3jMxNMw7LLhCvVhrN9KSObBcAUB0Ddvob5Tmz275TjbxdPaHNdZeRindYExTnUiXDwS
CWWhmi6fU8NucAtFG7wxsZwz+XHCM4+Yp8JpXUX0qM9GyKg/Ze2B4JtUfBGhq5SqcFcCURwPsfCR
c+aYYLLXMgx5wTVYetVn3b+01sXIH0uDk9Da4EbMo+C7svIzAZwwOvlwV/t2r69Z4zrjnIgbS9tV
BO9lH1gJ2Q/sdetoEnFfpDYMAjFEBJdsmfknQArCkxk9yNMdiAVO2IZue3ymkKeI3F9999qV1v2Q
QJkq57C8Tzje6g1SoFXQF3YHPZBnRdSGWKFu2IdNS3MGeprp2Yp2GHO3/RkgMTGzHxLq+UB7rdFr
A7Qt9FUiLUGS5vU5GznsrCua/Rr9docQEc7PunHftfcB/yqhw8tKudbjcjAfW8uVFEdWSIRYhB4H
53murgvMBrte2/79rf6yarMtk1VjzvsWNUukLfBpXivDrPcNzVPRh/ngAEbK3kVhUijPlWIxItKf
s5qMb0btl920phkaY1aVmUi57O1eIZiobA+ZqFwm/Re5fwQaYw530C5SLd/F5UctENW0UAcWU/+s
NFtf2XrZSvIOavmIR50JpSa8wXQT45AOBzm9o1ewiLWzyVFAQzD3SjAm8IGCegKbxgqwsgMcuCJm
NTrVamRj21iE47ZELGDZ3VY29hnAqQd2ddPJ81CHnPEPgXlGdmNrRBQoruzZcF/RmU9dhmFvm4mQ
ct/9zFU1mFZO/ssjVZlnJ26tcxcf0Hotqv4YRM854cdaQqBrCNiyxcd9LgxSZKtHWsokPRCgkCh0
MxdZuPv7N0s62Zepw2AhJtOaw7BJxe/mzGLWsGTGTJEvobKNw/lE1e2TjXbynGTZf8xu+QNaWcBw
BrLbJaRsNDGkLCw67yxO2yEvFy7e3uVgHIpgn6hv8//xaZKG6aMH37ez0S9NhU3eSD6g/nSF63iX
T9vIOCA9PebU2tAm4GvSVHWjsjYr4/vMsomV5xbtr5Hzjz0uHxR5rkKuUkI75scYHYgMxKTj5St4
fVh7ZZoKb8VJAg8n2BLdy87O9EdvfOhaPIsIh+Xxh6+eFUTGWn1Qp5WgH5FOKOwDRCldpj0TQnUc
IYy0eysXOTBdhBCLSbuf84yWXoOBjZpdDj5om5nYkwfb1+g02JW+Cmawx30NBt1r3ySMtBGwXK26
Fy36Ku1y5DwIw11kGajQlOSLiDM8osq5jTEAdLfHR2nfyodSWdHg0MU7NbxUP3rbl05YUooJwIZw
IPABispR8+68qIeSttKqXwpzW3CQ8VGFTbf0em2fVadae5R8bx0TsyIXx7JxEMqTK9W+QT7btwS2
Yc1dmAOwm+EtgqNpvIvkBJckotYT3qUc9w0mxNI1mp9SiJ3GY14HOZXPRyGvWs12U71izkTjK6j3
aYFqbDPEdgFFtG7bk6+g1NTfiuSXptwTTwWkdFhp8aoN2TOvo9EGWqTWbPNdbAoPfJmr7PVRfhMK
ZFSrdCal2tFFeGhFW4J56ZocXiBe9Y6VA0V2KrgdAW6RRXdu7oaJI7CLTwhSOmyaVbChE+0Zq1wE
4o42JAZIYhcPTbyjrOomyQIbqsrCg1V2I9r7Ap/PEgRVxqivD2HrBIarry27dpgfghcCGfJXf2e5
+V38QziVEF+xdFwGp930a4AU9bGllgrAnrrLJXj1cR0IC3FdXun0decRj4a6DDdICJ4Q5hAwca6g
Tz5l35z55g7vzdbGMBi01CZFQ+YEfVMnytnLp7GVyZcI5ofThQXyL3K4OCDir1dwl7cSbhQxkxmg
1LX8pLWt3NolOoWdsNTvAlV6qNGakfH2zZrxZetJ/dA0aD1DKbBUQ77ZelpllYaC1w4XotdbICIy
UrOsC//pjpKPrnCKMAxdBThg3qxMShN6pUkHEHoeu4pCax/B7p9QOHLIn3404nTqI+ubOVP63bf+
tKGkVknRUqcNxZOnh/B5PSS5WZCjaJQuMBRDqIOGTTofhahwYiZw8SpS/x4UR0e1I99FwirgPZ0e
E+ZYqvDFxnyXQvuN6aegQ5wvWyBY0sWHWDAIL0Y500PuQo05YzcG761+AioqpahXdiK0xvZURqc8
esy6jwkEq0IVawkey5iIYQU5TGqQ3WpL9pwSVfiFUbq8A1FAiM2SFGRrAIrjGtE2rCAC20Nvy2ia
UMcgHYU5PS7oPATJ1qSs7GpLdS3vKGis2Yica4fD5JJ6oU3paiW5SM8cOtCOf2eevdf8w3uIP4pn
3Ec28HObZc2ma+SWju50L/FT+ia9lDtpI7+OZ4F/aidgYiGqLrJSOIXmNn/DvJwkN54unYAGb6MY
+6E/ZysTtWT61sU/x/QwyDuxc4XuIEbHpt8INcpYul9hse60a1TuxfyZPONyzwAn9CAsAYQSBOMI
EKvCdaa4VrxCa8iCnWFH7Jb8d3cR78sX5FLpy0iZOyeYaEEzTyDJg6rRsDBewre/L7gcdG+HrK4Z
SJ1J9qQC8vU0ggCMEyQ6m0swhxquB30dRXtVdaXB9SyHTSW/rupkyG1owWFNW/Jiq69WCUrL6Yr7
zHhr8ztq8eZ0INeWKqMKwAjE4RyLS1gtSoYF9XIfMssleRGei3SZ39VLNtdUCJKFfm08p5eQgzry
0buOz3qyjEfsSQvtrD53j9JHcMkeYRkqZ9jWa25oWx4CN+YPsF5x7gygOPfeEW2Vwz1ussfih/bY
rXI3hpeuLeMr0/0H3ACE5VSVCRENJbstFiE3uA6OhDSiCvhBkqex1jewzSrpXj/qbrEN8LstUUjD
H9w0H1QCWTilRf2iHWJu7aAcNMdaCk66ile6jeJ7ry9YTJaiWzmcYIQfUPngDxVgH16ptYhXb+/d
iz31Dqo+4i95468iajzIchEoH/A43ynrbq3/qpmtndyV3+Qn5NLoKM4Zpc/7sl8w4sgNKZxosuPY
6Udcf4sCvUO2FulZdb8K9IPdZlSQPU4rbdhbgUvEGD+DVDEvCtnCuIgvcKgP+ksLeYOv5JA+lCVC
DIrPDn+TwqoLaz13kU1JOA90KEXIAAFDO32/trBXCDuzO+S9SLXuuR63PTVM5ve3bm3gxV1iF45D
B18uFMruDD5Neuh/ae8dFgu6GCCLlr25IGR7ih0qSEK3rnRyFZBduEW8qjWsBHdxchBN11AhrC9z
VLLqIngP1AVYbBBrQ2Sboy22OPa2YIGqaEfElya5HpmEkmvm26A/x5RY/bXefqhgJ5WrQou4W4ew
jtVDjouFtEmOJpi98dKUq9ZAwEb2ld0gnRYWE6+LB8TKpomISRymFtzT787+X0sguq7MnR6in1S2
uNbN/lbVKhShBNhc0tZoF0bPCPfCYSbb0u8IYmPbxBep2utyewJkYmqpbAv8h4w9QnMEJf5mxf6y
YHM7LBuKTieR/tptK69SqoHEs0C6SM9kS46OqOHQLnLaGoP5zTpFq+/LVKNrBBsjEqPmQmngphpB
sITSxVIxXQY7XZfb9m7Y94+yE7mQ204MjbBcTBIZHMjB72eogexIlIgf5JN6T4SkeaJKHnWniNwg
KuYC5xFOwi440TpbyuHKJAr15/Qwioul9oMYMIUcQdimBpp0m1pmzbt9kg0nbY6Yhnr06qjJG+SV
DqrzimNZsxBP0cc80I/jS9utlejeV+/GzlGYnk/jqdjJL9Xa36T7xpm2/ipcWZd4JTjNbjwhk19R
W33i3zsyvT9mP/p9cSe7PfOSAhZvgdHR4JX0UHw7pFyStomnt4kPU3Ma4gMo8Day1dMQoYJe4hdn
OsTdWXaOYJwllhwJmgDfzRIZ9cM8Nx7EE7fvE56z8B/E0+w+f1Y+BObIZEedGB+h9zJNNn0YDkTM
MfpJueg2vOOltNDcac/+1sWabINMdIm6SxCpLoSHDFrdEhQ89xs/9Iw7c1G+86DnqWY9bfXn4FLj
r7/P7zkKCdviTER78I7DnlXT+mWdegGj7BL8LL9ev3VMWrSSCBSARvkBuu9QHsNnyiZb867dWmv9
Er2DDd3122qf3Gs/8dYc4jdLoXC8ME4UhWeDyrCNHuDVyPi3W47Qi0baaco8VCd9n3Tn2tuZ9V1v
2YIb59ukW4/DfujObXMK1QP+m7ByW514ILuQ3BDsPFR9306EFehXSyFGej3hwAxcfJZUMdRiqb9S
sNZrJm4SwpYacmqySp6w1M/KAmGho5c+Fe1Bltdj68rjRVYPMTQ3fVnzubO90B7IZBZIcCOYzAof
C3/r1Qvjm7ruvxmzdCoQISmyjDxSnBUCf1TXTOwIljc002UC2nQUFOCLXSqBlO8GfNGNNv7jOQKi
sQTDi9qHipvyZlMb5foY9b0QXzwKyssG+SF+vnKbYxgeTUH/rkj8pQJAcYc9hwwQCqgsk+Xnjwcw
UcEPb8ZApj24+WP6pslZeyK4Du47aHuJCXPklBQQNWwhfDDI+sADnbGkwvpcNqlM7ammVT8Kq6YL
gyWmRCSOfv3z71un26+BJ081aK6uizrWFvmmul4OrRg1URpeisnKae20vKa63tgcdpZTL7ebv19O
uq3lzteDzURPcpZBGL9PAX987bNGcIKJG15MfKO7pBz3Q+SZblwHNc7Q6Wepc6IaIyV0RnOi0RKY
hktpOFvmalLtuoozI59nzpxSvTXGW2gvWmHsizD+rlL25ckQVo/tBs2bJPNstJsnU6dC6cWVMl3l
15brSUBtFsm9cFRXBKOtzC2QyTP90uDqb/N3Mp7juSkavhK/gJOJ/UoVunp0IkY1ZQOWMZs4UnuX
UnAJXSF0IX+yJSH/EbfcQgpZ/6+tCht8bV3SaOdLu8zDE7pjl1dCncQkNNJwwjW+xO2omR0QHaJ8
CP9iE+HS+rR69tfgZg+ZTPH2LHiXnu1+5IQEQf3etYw7/qciLMI3TEXnElcnGCuUB+RKoVYgcJUm
yownQ127jDGNkgjitMYS5FcQ2RWbQG1Z9N884t+ilz+PfMgKTWN+9+gjGJqu3swBsS4ZlF8T8ToV
1T4DmmUrxqARNcJCWQiDvGDU/ugy1s8iZneViuiavY/IivMNTZHT31/N2xGrS5qisa6bvNoI+MWb
PQ1H4UBnyGZXWQ4lujjJUVX7DrvTT0lGwJ89jF2+xi9tfTNVzH/u54fAdZGOMzkhK7d+H23+GBGZ
UqSWXofZtbMEt5EQdeGlgbMDgT2VQ/JZDL12/v5Rv77atK4kxHkilQSIgjdlBEGVmloi+/0a5VHn
VMZuJOeSQx67eTLf3H98sXkgqYwgi2K3dDPx4qPRiDPUeK5R+RwGGRtsxXzPpfZhTAjF/fvFbjdn
/PEUEZA2sB2cl5Wb0o0yi79xRfZXb4opuWU1e22Zls3fr/J7sbj5zjSLOjqtIUxs5m952x/fWaQq
Qy2R2XE1DxTdKL0uBnKAF1hKxInhz6Zvif4cJoqZnLTa9kUIIpjwuaGHNtzkZAYGF8HCeb4DKRTN
AWvaUkvcBL4Q0G6ChhCIlwD87gtSSnxbqleDYFvquo7tJnQ1b9dIjsFB0drBpB9Vp5rWQM0sjRa1
LX1wnKRrTfADO0fdt8N7aCmPxkDUmaMQM37H3oufJ48xEFx4HYEDHBo8vgxHBYAZLcPkDo5YE66H
9C4y3P73IR5Agylg79xUpVsqjm+sol2TrkVvFfer7pCt2m8e8peVgjWCvxTEx2jBUOp9XkFVUUgD
MLHtleD0paV3R3p8i8mSh2XXVM+tlh/xpX/z+nzRJeqSbmn0mXmN5pf19+b/jy82M0g5gskiXulJ
klsQDPaYGoGjaBrarq5WbVERKQl1wzoTGt8p8+K79vLXj21wrFKQaGuWpBrWPHb/uAPRn/yg16Cn
JwTcJ2EaLisVdkEEQ95pIlkm5+WjNUgF/fsr/XVKYApGjymzIUN8LSqfL4u3Pq7Crqiuoz4jhsyV
gBZPCzQCvnzhm/riv3nKJnsAg1lBRlqDzuzzxYRGhDVS5VysN6+lKK1rOPO0BD6C/pQLGLQFCUL2
ZNFCSor8m43gv7k6ylPFkNl+sDWD2/r56kAp5CALx+oqZKJFz2Kyu8w/KK1WEu0WHsZ9X5JZgQXv
kc7c8z99zLA4JBUgFHg8zqs315bVsPA7kqKvdVrvylrmXCPO/KUWTpFVfztP8Uk+T1NcjbKYiqIe
yfltIdvqcf2MpVZfkVY0awpZfbPB3+EvWll/VGRyhuUMOqikxOY3r9MXLSgScD4lXzGFXFQpivz5
IQd8GkMo6ICl6YjIrRLvA/TQWXttG2FHBiKjWKYlPTSGAL+DgGIUoqajhhv84Ugwi0R0mwniRa/q
15o++9+/ht/P+dOTobxv4vBiYuFNZLh9vr0IPyViXF+8jGVjkrQ2fgRdWbt6XgBCiOnusxkwkK7T
yrRi8soTLD9jGTw1oUyzCwS52+BXcuCRxctCucha0joVmNBlEX1zq18GJnJVi825xGJtslO/udMu
m3p9IGXhahXot6eajolVEDvoyfHPgHSdb764LwvorMnW6XugucBfJt/MA1bdAmT3jfw6GoOCpBzd
CsmwyTdjULvVf2M/AbiM4UShEYAS92Zy73FJ5TUJvtcSsRrIFEt+UaThUgfTJiC9a6+rqNX8caIJ
rJbFTtdmMhOB9Ieh1Y+e6AMp8azYJQkcf5uhbTs97klED5VdLFFT0Kdn1Uxp7VaRfrSIQ120Uyu5
k/zTRMgrBN6b5QfChtugWkpRGALZnVUCNxehrBF8AcJbENmoNKpAHrGXX6w0wzEG0mOCB7kqDLE+
E9YEE8nszpPhJJ5sQQoCodvkJ6Nsxrsm/GZ7+vXkxCNDhog/huWJxenmm6lD1TTbOomuU5POni9a
wp1Y5raRSDlxZJT8woigzraNT0zm95h/MB+L1rvYiIdY9hxlULsnVcaoVlEHqGSrIm5CUr9ZteV5
YH8eWdwmt8j4Mjjp/f75H+tXKWd+C9wqvGq9EK6UvlOOEhgQx+8aGeoOr1Pr5agJCJ5Ncgqn4E5W
InY9h4QfQuIVCSBq3aEG9FJ3iifQTFa4T42u2cTkA4dJXZNzQYqfJ8nrv08KX1ZeXkT8ANa8+GIN
0G+O7EqbVUKg9d2s6yJugVdjT4cNuyQCdpItcoIChtb+59dkmpx3HQZSI/nmmr2sodM1u+oiR83P
Kanf0yB5Srx4k5oeSyHdLwFD99+vKf12Un3+jtj1c7FZUWfN88rn2S9WlErWk2a4ZKGtZAddvRoW
GPDhESAXIZgAwZ4Jq8GN1JTbVEe5g0ITorJncVKFd1CWTgiJ08fVM2IMxZkBC9RWOK/VI+oCD64Y
gKZCfgN43WZvOjjLXNlVlP1wAMndsYOdl6hrIFpjepGHO4z+HPDW3kjYMEEhThZz4uQ49FgnxPIU
D6n01pdOTROv1Taq5VrBB+LfJKA+qK886uqp+qDna5N0LrvPnhWondhtpAVaqfqkmU6L2bpH9kOz
FIZHu7TIsmqHD4G0Y2rkaWlnwyY2Dqp+NKoHjyqe/qQmRC7ER58bri6YQ7vcLfxlNVCPvRsLG4qt
8MLcS9sr1IjhdY1ZbMof5cQZFgsWdeSQK6n4ZnL+uhZYHENN7DIU39mp3cyaiTjiudVl5klFQT8x
UOKEq+Yjrs1hrX3zajITfxnKXI6RYLEmwLhXb16TUEtT0KBqf2lVt5fPuQ4/4lhD/4B1ttRm9yjl
Au3ZMH9YxcHjS8y9a9A8B+22Vl4U9V1S34eeQldx8ov3RDgE3qKcHDV+mlpwoHTcdqAw8v5BMh9G
QlbU6Mnv5GUz+3I93Q1plgnk0HszEgagMcqRPt547QU8UC7DT3luLYRSxS+5rpbEx/Km+Mu6DZcS
2KamLHifnyxvOwbVQsPT08O0GgHkm9RThroBjgCapc+WIDKQ0al9SwEFAmBDeTlu7BGCfUJHzcpx
NUTAyrHPeqKKSphXBwaZoLxL2q9QILpLOlnPA0eqCveXgJyf3HjPfy7zdNVx6yNV7YqfyhiZMO5S
ZX1EG7MQQwCZNWsK9MG0e9FeMRD0VOSrRfTYIVlKlrJ5ropLFP8CBrCIZYuqwAZK7cLy7y3/HFYv
uX4R0c0EzzkKHn1XEgk0YStC7pZGF4+bUa2Nla/a4gURFWLmgQwPNBS8scSsa7aJOp16dLkx5cX0
mLPyLQFeWtA1xbmb1j7IH9J1CGz64BKskDjey/gVAG9zw4HTFmfhTG+we1NgMS2p0oerPFuqlQMb
hHqUipiDqg0aNhky6nZeKkU7Nt96+VEgRMaH/8kfY3e9DdPeh2wc2Hq7MiJSqFcWJ2RvGyJm7F+t
msLkBjh7ObpR5fazJw9++SDso9+/PIzHpkKKjkuuHp6AV9GVe2kB9NDNRYvbB7bxiO/dsGnqteYK
iyFt2kq+t+ItNu9M3vrNM6k3yfRqdD8m3kwM1jBqtd8d6xYUM/MY7wm9UWuVt44C92HYoYpnKuTv
rNsTTRSjj4o3nMwGeRsnyAf2aQvg+k5HLpLVb/HcVR4Wcb3JpLPKzQvFr046d8nVA61Hy7Em0GvY
mdVGZ13P44csOGTenUJQsL8K0q3qr7xoH7fbKNmW7XzIV6Y1GslsOkrZjnDBTHVT7TL2T9j5lO4B
clhKhPhxJGRQdYvwvooxCF6k9tTS/veeZIbHNGw0y7HMPXJ20OlytrZolCKG2uq0JfNvyk3q1z0B
5mCWuVkLJ7Hp+7KHJeMFekN3mWgDhihMYTAujKwZ3VESr1FEEN5U6v1RbUp1Uaf+PoNpa8NpD1aB
SC2lbIm2DuPBYiCgmytjNsFGp4Al11PUDKlHI2XRWt39/2PvvJrjRtJ0/Vc29h69cAkTsedclCUp
UqRUlL1BUJQEl/Aev36fpHp2VWBt1VFfn4iJmda0yEQCaT7zGi/JH9tAdXHNYitdvCEKBQfLgWy1
WTTuqzGkDtOjcNs3XFPSR7pMRJ/81jLwbcwqMLPoUxOMOBjJxTiNDWIu9mkPQOvCHfwqACYygneo
skHc1cULBum3MEkrRQMNXpMHM9CHByfqN/gabJBDReKtx0XIQPZd98JvY9cgvqKH3aUc/NU34QEU
S1AxIFUOrh7wtwcQnYEPoRDyQApn34blAzWBCRdw+2fcACBs2w4Z95oSMcoBKEal83eo43SeShb6
+Xehvv5RNKKexPbpleikqUB/jp9kmGXky6TPDrPUvyAFy909kXcVBLx7hFiFz7l+fsSXsOrVkI6F
VhrAW5LARRqeZ9glz6ZNAbQZ2g1KFMO6Td1nq/S9B5QLoU905rVT5xmo2CbYBnZ9X4/mo8VleFN5
E7g+J/sQmjU/5k01IRDSDW2drnzzh4twIjYZKGpceGb1TMfPDNfAIzol9AeZtgysEbSL0ymuUsBw
rI/ewOWxHxGdHIKu3xhDjAaTRG0HvTdr44DZTfwsfGgBWoQ0HbtcCbuHvrGfdL3bm2ifi6pBwbdD
8ygMGmcn8sLfe65iwmQJkIymbfb4ozpXUwH2Ches5yl3G2xXsj0SQfqF2dknJgcxk08ibMgc7iLU
aKZyDLA/SQ9I04H99ZrHCYWRC2/wVTxj2cbvgyy+ehCiGWumAXCaBjuQeHazXWxgXv7yX7YH788N
zZ3jIExaSAdJjsb/XCFvNcpyl7hI5knybmMw70cPltCAbpjqPa11AA0bFG9Bu4L1DUYYTJljQ/HT
vKvSDiEnlOjm+Ru+rnUplH+9i1VJ3aSWhakXGPLFLi5jz4lENKNc2gJvKtxo3lY6Mio+ykbXUUnS
4hAXdOGtGFWRNwxryLW4ueTh4F34hC+F/MUCpX/hAJlUjQxy1eN93GKpPJEmae+7Su5FayGB3/IW
tRnRLWFCVTDLaTeDzUMefo1UvHXvxy1BAmyJbSgIwkRGvyVxL8EZTz6YoYQekHvQLaQqjh8sL4c8
kXWtva987AbacHhvzdU18QGGfuMABThvv/QdFizYZUAi1N7oVBPW7gRWCr/vZm1p0aHIxs8XlqPK
7ZbviwSZncx3I6Vf5H61ErCZwjI8yMDL387ks47VoevvDW9mtAGRea2xgPDC9Wjjqm7zt9bKjvYN
Zo64tL8Zi1uLXqmtYzETNm1GrOD8zP1o2lUTapoj7IiXB/6PI4J386JN9FzgAhMrc+3jP/7fu/i5
LpriZ/uf6sf++68t/tZ9+SM/tPWPH+3dU7n8m0c/yO//e/zNU/t09Idt3hITvOt+1NP7H00n23+p
Jqm/+f/6L//tx8tveZzKH//n35+LLm/VbwvjIv9dIkVheP53cZVtHTOXp+UP/JJUsa2/DGqJoA5V
NYtyPYfKL0kVy/kL7DCtRCSa2KOWyXH0L7Uo7y+dBUlTw7RIwC3BD/0tqWKYf8FcA91LTYy6rW38
iaLK8anqMiQpPpBamxIsjVZzEXfFAh2zSKMT1XoaMJ7QQGx+1NoLocRxVsqvpW7BfxgHyAb6Josz
KGrSwmwHQmYvldXnFt06KERFfxNlHZps2BdkF04atV//Z+O8DAjcSyjujO9QOVHT/i10GWe3ytw5
FaCyGyQtRlz4WhTibtDcSy4M9eoNcmz44KwpZ6tO9bJOOeFOhNm8ktFFOPZrk0/lOsQ29vG39fTw
69F/16Ixjo/xlxlxaCqwNa8QzZTFUWA4UxgZY0don/rlQ+4GRYxKsFYfTA2OfSSL4kfQZsgw2Z1p
AW10oRgbTf4ZcXJ3Zxuz/Hr+gU68YdYuvSz0cVg99mLh4LmEpXbH8yS2oOCNCQAyIUQET2FnJheC
sZNj0XOHmcRpSB3s+GuGeZqhVjkIYiofMe5q6B5LF7Xt2JWALs7PawHt//WiKWV4bEkofdTcjgcb
0MGaiqF0MGFJrBuj9oNH/HhhlBVacYfCafGAUmx1E+ntuB5qg4yY9hSpQE6npse2DARjj7pwYSY9
PsJy2tn4PF+AGJ5Yc1zpLDaFrDTBLR8/IzXSfjZS7DlwkMlB0EG0Kc3iUuXx1ChKBIoEgNTM1hfB
kJ7HnQs+CROQCinyFWpmj6nroBlz/o0fx1wvL5wVxGmmom3wXovDIfazekAcDM8Tc253ztyF1whv
m8/FlNTXVjZhbBERTpDWmubh/NCndpUSJdGJK9XaWiIPTLsckjYEeqvXEXWcpHXcKz/UM3fXu4Fx
L3AXpVTZQ4fsHE+5H/p1c5U7rkHE5AzFj15QMjz/TCfeOquOeq/Lu4dksoiREP2tnCJNOSszEbxL
y3TclI2XPZ4f5cSJDJ4EgSpIuirjVk/x2wGpRRS2bB82Cg7I2dWA9R6Y97i2XWhEYt4RIwfP50c8
NS/Vl1BQHq6cZd88qCgJYnwmKB/XyZr3GCJCJ8Tmz0eBck3fmKYRIoyLYxINe8OdQ1/15Bwd1T/I
fVMBGfEfjOIzADuDk3+ZHM5ZbxpjVsFTbMr+wShkDHtpru7Pj3Li2CP7h7ZPnxSU2TLj0ZTRZJlx
sxBY2Ht0DtDMmDRYGxrJwvmhTnwctL9ck52gFAKWh56LpY+jtaDAMxekoTfiqZYH8yXshDowFrcy
0TWhCwuOksby2NLHOstaHX5M1lBjz3TgqLGRophKXlKbB+x/YqzQvQekXC4cmCdeJR1SpXGCOiba
mIujzBO1rLQSLBFK7BH5RJPturnHornOtQuXlbqMlpOEOqtIUboOzmhxNrtZ6rYjVzkMIToQndOj
HJSvI+oz+CybNxU4igsH6KmPx12gI9oHPpMk73gvC7/wWoSQEVmYKARP4AbgZCSXROJOvUI4wSBW
qQapzuzxKCbSCjM6l1QF8t5CMt2Odl2Ldc3QddaFTXxqnZDv4OMI6xmt6cUmDm2yPGeADTTqTnjt
h555nenIL6MxaNwmFt6pppbKRxxh+h2io5cqDadmqhQloOYqxRRnMdMCJbHcaU3OkMzh2tNs5Jb9
ur1Dn/dvw+WjfOn3sO7UYgFHhPwWRU+C+UWwkQ/6bPii59NBSB6pwU5xUG/SesbAjqJwiF3Tn250
VydIQqKWqoDSNjv+ip1y+fB64PRDkGE/mWL/Gcfo4v35KL+wu5CbyXkWd9iY2k0XBNBa4KfjCta0
KKnI4BI+/PV3oigJ7BavJd1GVncximhACiJoDo4Wp6IDnk7+M5Kh7XcZzPP+/ISE+l3Hu9oFeGkR
dytUJICL4/dmplHNVMlgiA0hAwWxV3aAPywqabHRi3t/6LtxHXlDX6wy0eMLTJuYhrtRDXq70ew+
/jqDx4Ad6hdQtoamt7W18Mf2Z6z3ct6NQ+ViZWB0GWI8VoZn3hCF8UqnB9vvCr8GdISuB1adbT9Y
OCxq1Xc/yoEtxpFOBdZly1KRLUzxGEwtBhdp3kHgyhGFkLhqxeJb4BjtT4tL8R6gZfKp8AaozZre
Ax+uB6frrptajAn8KUFM30o/p6HBE3+JtLmDs4aT2y0WQiFzdCrQ/q6HLSnr2qWD4jcaQIjQhtXb
WWKM8fLLbO+PeK0qSiRqsMGfOTqRIvWQ4w8gR6o+UajTT8JC6y7ryq/eZATXFz7z66+M1B/HDrIH
oHyX10SKEUzjGhAvsGSd3iQWXQ9sOKJ1lcnm0oo6MRQiMQ7VZXRZSMCP55NUGGwUAhD4PGZynzqp
g/b+JEJ6fZO8hHk9EecqSBlcClJwMgZrcUXk+HAXgySDyt3SfR46gZRdKkv/oR7LAdm2CoH9tYsa
GKRWZfiZeOb03YqaeB+OafKuEn574VUvSm6/PiigL4POBnqgCD0ev4CutPB+IcaFjWvKm7GW0Oli
UbW3JUXeZz2X3l0lWGyA2pU3LwrP49vKy/Fjs9Hjz9ZhLFBmGK2cPEy6UfCuGj2chs4viNfnM5/b
VpUb2jBQnhfnc+GZRZOPRCxBlZnfmsoYValW/CTpN38Mk+G8DaOk+3F+0BPnGo6F1H2EkhSjiX/8
ZnBOpcKtpClKvKpus6Sz4TnHxtXcohV0fqhT8wPM4uvUpUANLdniqQGdWvNyVDAiElndo0nmu+O7
Oi5+4K3zFif5+cIbPTU5xHKoNilAO6q6x5OzgkxkSajKJd1QXTWlMD9K/s/13OHqciEwOjUW5Sak
ggkmAO0uXmSeoxeeFA1huoFbhTHA4RGDVd5qFeoO51/kyaFYyVALKc6x1Y6n5XHbYROlCMytgXJl
prM6JJlbC1H4H4zEWkTriO2DBv3xSMOsHLl68ih70i0IxDJoV4bhJbuC5PQSxUV9jcW1B/afSSEJ
o6uT8XiwiHK5wNRaIOVdpnfTaM87Embn2/kpnRhFsTKB5CPjBYBtETLjIGb0RsPpFFVGdp/WaXE1
6032DyZDIZ17HHQ20qP+4sTxdWWENLAcRsoa13lkWre4q+lXfz4ZohKCEohkiFItJlMi8NYB7GVL
tU3/bvRN+NKVb17YuOrgWXwYlFRNG+0uUtBfgn+/5e9i0AuBO5QAqQhtsLeznwHteyN2bwuNUsr5
KZ1Y3Ar0rS5ebH9wFzheBcncYaZmMRj3i4UZrevtfD3CNjMy/7yyRSmV5F0n07AhvCwStdHWsMIB
iIN/bOjdNvOI2ELU9BfS3RNvz4IDRoJGLKd20vGEBKLNRTKTy3hSd688OG3XYzbaB5C+XCzWYF4o
li4A5S+XHRU0B7YCuFmF1T0eUEGdJ94WdaYyx43ezVPzkzDs9kajIP1uLo35e5zOxsGYUjBUfQgt
d+D59ue/46lpI2hOKcGg6EW2f/wUs+WMuAty2lf4rF5ViQkfPtHMj22LVOIUtMOFrXBqPE4ODC/Y
DnTtF+smY48EkiY6JR89v64909n5QxR9aGeQFRzY2rvz8zuxTumIAJpXXhoKX3o8v7ofKYa/1Im1
ptt5uKtujB47MEptn//BSFTPOE4cdJyW2PUYRcHAlai6tjqOZoMwBJDBPn8ju37449IFdFQoqUgn
K9+Q5VoN/ULDpZQ9Xen2Q2Pl7kctrOY7xxsvdWnU51+cKVxcPnRUZNnpsi8OexGZfmJi9bWqzT59
4FY4eK42YVxW06RBvDDb9DpmWkOfX9IcO3EBUOKixgXNjQW6jLvrdsS6GNLLCm847wPvIFiZMpov
LI8TyxEaK1cWZFtyUm+x6ylpYFSF1v/KcxEi8LT5s1sR/IZG9AOj3D8/oKlfcFhSQAAfs6xhVBZi
m73JmemECbZQra8DI8ICY0qUcDTVlAvL5NQrpNOiOom0vGjnHa99Oc+aSunEKq2r8b0MXXSWuujS
jj41CtYPbGkcHRDJXpwgBFuyRKNUoBQffUjBwGzR+bmUGpwcBEItfli074wl0SgLgqKpAtLQAprn
nVN24m1Nd3z751uYqr8yIUAw8tVNg4Ye/l+VJ1a4ynl7O3bsm7FCfq4wEu3C/XlyQhyCqL0pmtpS
tyiyW4fYjIB+LoOETHn0b5NOExfKxa+rZhxICi0GZYqsZdlkrWv4MXPHChjjIr4KaxFuvcZFRc+a
cZ+tCgFjobyt9YFFiGHPhbvl1NlL9EZ4wL2lbB2O118YG1PY6WjA9Fmqf5RlEz7FnW/e42l9if/2
eiiPsMeiesVR775KWvSkC2OMtAkXe2zQGy3Gp6Ho5H60+vDCrF4fiQxF+x3sBUImzO14VkNlRnMs
ZirWWo/W8GCJHA43rnWxNrrtqlfFclyHVctwd355nhiZvIWAmAOERbq0OqmreXY0r7FWnicgUJIE
H9JCeB/IQREAiTB32xLtxegGmHRxzo/9+gWTEBKA0aahi06P6HjWuD4nU0Z2sYLLhMojidlVmybh
9VSgzXN+qNdbw9fpL3qQjS3oDUtkXxB4tShsSlqu1rkPgO1xu2v7P79fSC5oOdEpJbMGCXU8IYqs
ZTJKJmRPob8WSGeiYmhcAh2cmIvJN4O5p84VGrTHo3iYK3EwE46bUsNAvMrmldVm+vb8GzvxcVj6
nCL03Unbl00UpRNsGSUKZIjr6FurRVbWn2pw7Y09X6jRqAvxOCCA+gFWi3YNQm+vqkZTZA7ZQJ18
JQ2RP8kupwoZtd2TjTDF/ZCWcod/oPHHFxmD0pTkMqNRw+F8/BaD0PVlWI8UOcMg/DpOcwyIWgu/
nX+LJ74VYYYigCvND4Ly41GMSbNj10QI1CaN3jXzZG9oCk2bfzIKRzLpEznfcpSycFItaZXcaJ5A
rzJKIAyZnC+McmpFKIcSapbUSF9pJDS8nihtTeQwB2V0bZnzGgGkeQ0g8JKM+ImqHachiSDOctTu
nKUuwEDXbJoolCEOAehzFRc6lmdu2jXwArDiHrkBvsQwMreNodWbYTCz76Sqvr+qRluZA0Ry69Ri
QPMkNzGknew/LhOr0xruEmAARYRbhEH4g072SLy8soYuu7ILZN0bA33A89/1dSTJKOwHCj60S1+p
SYXYz8R+yh4M3dD5ZLlufpM2M2JeUo+yNRdkfOETn1iu2PlRKFWDci0sNsXktX5YVnziMnT0u0Fa
8w5bt+mC4M6pUQiGVEGBrA2s6fGmMDUg3XPsoIrkIrjLY3zugu7SzjtRi1YHMeR5etvUsF54wb+V
LkaWDCRI1cUoSvsuSzwHy/e8PDR1m+P+EIf5pyxN0d/L8uIu1UP5fU6jDjGUPmnuhBtlF065E9uH
SoNCilF7osS7WDJT7YkUpUs+JsnlezsDXVoA7j/YUAQuXOonhuLyoXanjgOfMPr4BdvSDSErgO1I
sja6z5JG3jqTbHbDjFDW+SV6aijKUEBRQAmSUi2Gsgo3/9WCqwqv+gYaudlPSQAHrZdIpZ4f68R2
QImA7hjsSGwnHfXvf/ui3aBNAUAYqhtGUF9V85i8jTSMFuLe0XbNFF9q0J5Yp/RMKbRy5qm0cPHF
fJsMxDMQzQmqAHGMIo6vHB2Q/flZLd8g7wwNFNqlFsUL6qyLWQ0tzQi3ZhSMufOrqo2cDXSL+DGR
2p9iCFGrVMQGIi0w0ejKLibkTLT9mhQdsJGu3VpLdcTaGqjE5ye00ORjcTMMpWAEp+gtoJmxKK7l
bTP3ac8wHjK7IhP7FHlEC0tHDLTXXe1u0c5Yj2mJSVhi4AsZfJhRPMMoYZOZxR+/XZ6FK56qvGBf
LSsoppz6WXdp3opcFmsrtE2u+dZD58S6ZHW1XC4KI8f7pYoCKgPS8fJDOnmbZjGIDC8rkxvfiZo3
EMsvtfJPjUKvgUbrS4f9heH02yawpKyymK2/qhpn/GqIqflU2fnn85/wxCAsSccGakqMyco83mk4
Z0dl18AyzHwXykWKe4ct4j8NWyjVGZzLvkH2rYwgF+GyUw5tDi3TVjI8aMkS174RuX+JPcov4ml/
jy/VOIAQ0BAAbUGKo2b72yszIXEPNLWRlgLs/FyAaPzaY1H7dXYKGPqz6ZY/29IfP2BN4z9Zg1E9
WXGBOjygPbxXI+Br/SowMqRDq8Kd8DQIRHWlD9JFIW/U3cc0m9DccvLSrfdxkGnX4VyU4ZUbl+2D
IjeN67ihH3RNDJzf5nmCO5Az9tbzJFNt3sbhhHtUX1jGRpsnq1vnbJWG4phuNtsxq90OmuBQ3UII
h0paOVH7xaoD4rxMjl14VQ5opSiamXcl60Z7QqJCpqu+xxtlPZpOLHa5LtMwgjM+TeGVF2iIzhUE
peH96HfpWzm508feNopu3YpC3Eds3GYn0xxRUYkoP+xVfZrra92W+GyNRZZ9KtouOnhTXCI57Mzx
XVZX1qPutcZTOZg2An2yGpWjr5Fl+5HQJdh6YmzvCAjSr4PXVuMujEYb7x1/NPw7nAY596LYLJLr
JI2kua6J7KAaeomNRhnu2Rru3eY8o8VS5tmmHZ3c25SJiPq9Cdwq/BBVw9iua6dEHzH0e/kmG+nj
b8DjZwVnd6eMCzWtRo7QqYanUi+Nj9Y0oKONla+PRmae+4+2GJ3mOmqK+TmyHCB3jT925prjrX4n
Ipk+2H2NjXgTjNlnwhZE3oakRgN1qjGnWbVp6UJEjusBq2FPVnemZtkfzSJH33EUTvpR559Z523v
XDVaatZgxb2q281t0teb3g84/hNQzRJbjTklMJiBYeO/MAwYbugl2s9xZTrfgiQ3P2KKXBdXYZfz
N3DQHSdiZFF9z8M6whvBFDN+5JZmPYZ6iimUidXnJ7ea+uDKNcrovdt33kMZpNZ1MnX+dRzZ9Y0+
9fXaAjYHN92yvk5a4HykhN84KyCoKVxiqx3qNQoXCS2guMIn2Up6rVgBS8vGfUNl47uO/niMI8Yw
stg9L9Y4BGvtG3db+jnVA79cJ3BxurUH4kP5BETD+1r0GAdUJRHnqnGrKruhehZOK8dQ5TGy31Rf
TWHvfuxxnkSwip9/7vtRZvs58Mbb3PfqZlW1PkxdvZTBiqUHPTpIagM6rFeN39tRut+GFmTPNhn1
oN5ZZRJ9Gik25JtgcIoHHLJtD1vgorZWkzF6AUIQeWlrqykpYdzSrphvay/OxntgFM5TVMdCbgY/
F9WuTZ223Rato7z6qtxzbhPTS4Z70dSW9SikMUdrx5tCNkMlW2To7SSzNtLxcXnXnNTN3wGTaL5E
qkW1hzoRm+BxRB98SaxGx5dzjoZ+3Wt1+rlGbAPzrLES8zqv4umTbKYK0aU8LfDbrmZt3hl+DAUn
dzLMDEuQh0g108v6UkdzhKiWO0nOhzbvDVQ0y6iBntyjWqWP/fvQEBAsfd7FdW4lHt6CDR5RN+is
m/OmNULXWWWltNFZtgmfgevIkeALssew8eoQEWITt2sXpbE+6G9FpGcGPl1dflugDo/RRJvw8WZp
f80ydKw4/5uvZZvRLfGsSlyB78OuRwxl+aXsp8bfWZpT+VsrQnOAtKpGnjL0h/Y+mRIh1iMc9XAF
dJR/KSB2oIiUhg/95MQtWh7mjFQELWpJ3VvZW2tDLX5Kv9iFtiufjNgOH9KgQkIjzvRi2sOM452E
eoKL6UR6gA9DENnjpoITFq4zf6xw9glj677NKkimrZwHDAomM4egHsMs27SAfcOrzG3kFG7HtoSj
SV1UhglSUfnwONVB/y40OmTN3Kj27I+V3SPUkIgWVxIMjr/WHUfBTWeI0XpynJyI6rrHjGbYl54f
3E3s32E95LX5RTP6Puf8j7FgBPGZim0zifSBehprs7LqBv1GoTzAegPy8aryZfMudqMEpq6XQjM3
G7IbSPw+zLbBSKa3tT9jayF6wtF1YejVuK3G3H6rxUH5CA8RxxWAcMjYOFHX/wDCNVfIx1vDIZ1G
0BqfYG9W0XXV1vaHDH24snZuOt3Kfk5hjXxTEIn5Jk37AZFCP4CuoRpNCBKbXtOtO/J5bFMMjXzW
D3QvXvdIrNxYEfC0dZWb3rVoNR0SuV7pX4eZUwCnjcn7pkUg95nfKH+UdmC2q1CM5rhrKHbPnDI2
yN646KcnzS+iD1IUCLsMKLDbkPkFdeJZyhhVhrlMWMAZRsNboMfu+zmma+52hhVugOQHN5amp8hz
6x7PbofJ5G+F45Tf4qErur0HFiffOHZF7jFn6ObFrTdEO6vKGoqzdoQdDO/ViFAD8NH6GcYg3VdD
Gr9DRHGYt1xhSJnAzxVXvV9hc6mnWciHdFDJ1uk/CSxNODK2Nkfeu3KMUdGJ0q601wQF6DqEvjv3
axRytDfpWPbaqpyrTl6JJPLfzUqkdq2nVfW2k2P9tmtdG8XjaA62Ojh4H8HxxkELOp8xiMu54J8N
K0LEzaaK37+dRlB+d82YFsH9HBjDOK/aLnB/2lJo2q4bS0+/N4DFJtsGion9dZROK/csa7e91zs7
5uwwWKV3phMlJih4J3LexzZOI+vYcbppF8WB7XxuzHSctnanddXerGXLLmxmkdxp0sRjwfcHYe6R
NorMa1KeoruOZheaK9L/g9gFSRMOa82Xw1NdtkN3PyWdhRBDEGBVM2aR7V0VcuyNbYDYC/cSRe78
Sxf31s/zAfGrJA1zNZeSCJg9/ucVLQpbuYbjfILHMA3FNjIzxM3tML13nSF8OD/Usr9CtKqaKypp
AfhP5+E4WtVQn3Ija0a0GZQp95KDemJtsdbt1h93tRN0N3HYmNdNOc3bpuny7fnxT04V0AIFPoWD
XGIIhlSP0ihrSGPi2d9VrbA+VIE1bjxZVxfaHq/SDKZKN56UHsVfj4D2eKpRmhfm5AFLLgIawJph
T/uqbMc/LFHwQtFWs3XIP7RXALsdj6I5eh64AzeX2RRo5btEX11nt4Cm9OpC6nvi2wHnVPUCYEx0
GxbVEFzi5dzOwHdlauNJmVnK3SBGYcWLsILkIIt3CdIod13iljeDCLzn89/u1At9aeYAeVCiz4vx
q0Rzc0I4IOVeUO2nKSi3KDhegnmeWiFKKw1YKXxShBqPX2jZZTOZFILmWl2UKIZozRbJ2mY1DahV
/emEKM7TzKADAZTqVYpYt3aX1rkHtCP2k+1MV+DOaYT345+MAq9BSc4pPdrjCRmuQQRDxWll4gG1
MnskE7CuvCRo97ouAucfdLcNKgYSLkX042FivKc9N2QYrZHDPfm3u00E0lAAoEttUzel93ZsRlSh
pn5862SGti2mNEUvHrDJtdf0PYXmMKa96ucXmiFqCxxnyHTy0Rilbwwqg0Ly8ZNlU9XYBQH0yp4d
/SnshbbTuYB3XUCI7sFRw8axiy4BQV6vVkYFHqSgQlRql6pOgT91BVeqOumMfN0oe8hhjC55Np4c
Bc4dLTl6/Yh9H89tTLuh5eS0EQDLsC3Ihk+6jo7I+RX0usQANxUiGBxqWEdM53gQLrTYCx3uB/D7
/ipqje5zXqA7ZDSp+65ATX77Mt7/Z8D/O5Wg3169Ytj/zZx/+5TBnP/4lHdPbfc7Bf7lJ35x4PnE
fylBVc+ncw/6TLH/fnHguSb/gsOOfi8XG30B1S74mwOvGdZfdOZoRVCxVNGt8tf8mwSvmfxC2i+I
wtCAAauEu+i/2P8Pv3bQL2GC8Efx959/5+Es1T4BmtA0UuggBTvR8V08XifJYLopvpH1oafe8MkL
bJyWNN3ea1OU49xLLTaKLesWaTPzOq675E0NhO/JzRwKpnGBTZvWVHcA1ef70PbLjRXi8k37yN03
nl1s52Ruv/32dk888fHCVsgYgLm8LmgvqmmxFEYPZx3J7ChtDsEUzBs5zvO2L0p9U5hkbIZEkv38
eC+80/85iv4ekFdDbw0uMO2bxRtqROchv9Mc+tjXP9qVf+9kmNqPmTZsu9H7RPka/2egA1e+i8c3
uxtxTbuX26R1Peo8/V3aYv6KkhMejogJ3vZD2GzrFgE/ffLw4fQRkrYnG9Vo8CXXpJvT1fkpqAPl
eAboB1FlB2kM5tNckn1no3PsdMraA4c7OmYZ9kBTEmKwZDVyO0n3oCd1g71Vdzg/7lJMkW+FawKF
brj7BkqOy+6dNiJdNEMjOBTB1N1MGiYuZljGb7KuxSCkxatgAP5wXYQBdYJJ0zbZjFqi59WXhORP
PQnjEzwCDwK3uKy4SkjlZSCr7iBy0VwlsrBuvWjub+Ouaq8mYTcPnVcZu7bR62tXJO3ObtIAZ+vo
knT3UjlQvRPqinAWVeSnVCiOl1Npj6mhYxZHAkuFcwokNcuhGz5UrKA9pZHxsR4bdwU+21sbU16+
ZTelWyrsdH36KrgGa+S9G9JBflIg6TvZdP1HT5PyLcqv1oVgZ6EJoNY+VhQAIGw6QbSblh/QylxD
yjY1D141xHduVJXPUZmFa5HHzR1UahruI46UXTDlh6R06hunz1li05wbOx19sZ0F4IpLGy+cHDzP
vYZm54WLTl1kx4ubkJ19yYkI7dRZ4q+0LqzsME+sgx031j4pJ6x1zdhaY4VgXgimT70OcGZsIZez
kmxkcalKnwxXH23z0Fc2njFeFiPZT5tgiCmTythcJ5qWPfaktVy0oa6/N8Uwuru4mxK59cu6xk6H
yhrRqW90484NK+G80WLf+NQjz//9/O47Dv3Vt1NPiBi7imlomSzOrUbUYm4jwzrIDBOcug9ondt9
udfbCUPaPjHfVHKermNoMJvMDi7RZl/IC0cfhsBSUezpPCFgwfVyvNA7W5adBLh3sOAJfpEUF4Kb
PiNRXFF51rGFCycLZ6cxTZFPtdGiqyTdyI2bSKoyid6Ir5kvp3zTloZ/bQSlkFQzxuCDRTf5GRi+
XLljI94geAeB0EknJEAiwMH52tMj9zmuHbtbdVHoUdjIPKL0MbA6XL/gQlzXoROgjtJVRbUa5tQI
VxmFByqMlBnndVPkuEuZaIg+Uh0R1DtCOqKrWnbp96ow/O+0KpoA0loWpmvPS5tHV0RsBXAg848U
rHmxCgfHrDalPVHCDO021elBD9DKMd9CbMynuWNuEX8p92HvoaHhUXjG4sbMkLSfpeWOWwNuJAz+
qo7TzdQZkSIlYoimuwP1F0rHllxltDzTO2wqqEt2bgNHMg7iTGzypnxMnJpmt9+F6cY2amzUpto0
g33f1glFxXROtOtSDMn1oLd1savMLLovm9xr14M5CH2dN4M0LtyjCyoA6xEYB8RIhYB4OVQWB1+Y
282QJJ17cLLRR/oq1FdZ58Q4qpb2V1Swsge9Zs5zIcQBRGL0fYzkJQnmV8EDHWCaAKC9OYQ53BZ7
wiiKKIuK1j1oWZXuzbmkCKWBgOjDvKB6ag4XJv3qcFId5xfeIZgPepfEeL83+twymakFR94Bbcfh
StK22YgidHeej9L8+e1+YmqgOVTLHrMCsPmLoThjE00Ms3+oi8hdUcQMd6lmEKc0ZrjLTF/uzo93
YmpcYwSOCnPkgEk4nlpe0usLRs8/oAoTrueKplOipz/o7ZkXTvhTMwN2RBufPFUV849HquzIsINM
Dw5DaRTX+uCHm7DUAkqXuPcOdTBeyD1PrVRgeIDX6H9SpFkCdbIy1d3Yz7WDLc3iKqWDgtOtTA+G
xy7NHW403NZdkF05knKysq/8FMO68693gRZ62S4koEAxoLoBZHEXlZPAN/oG6R1xmGKNo6/SgKdf
U1bV642MA1zexZjZHGWBPTerwJK4sbcsQpSYc9f6MLc4y6xc2lCXhEZeh1K0xxE/UmgeXMpQZDr+
HJC0vTSpAv8g4s5Zj35wTZc6v8bzxThYeeq+KfrYXYF+7jEnx8i5L6bhbU8l9sICfB2YE89R8AFU
BSSGkshiXXD6IRhDCeNRtpn2HIRN/FkUvn1fRVb7veNlYIc9tdi+Vokcn8yCY26td3FobFC91IzP
fuOnHyMEJFaJJcKPiRZXqEi4WmDg+VbqHyyTCW7iyHWTNalaQF9pynjNNKCscB2XJeLX5z/665XO
Gqe0JICGkDT6iz3VUVEeSxQEDpDbUOtwCgtxfsfYQfjvdqNVX9rDp8bjvbHOQdVC1ljEM50lHZ3S
WXDwzfpKIueJkmxKJyK7r/FwuLCiT3wvSlnUm0gJKLG+qkWaxtCYUeNpB8pn8lDgpXwP6wZweeCU
2F9MIf4GDX1a3aw3Ud0OyKaTF1id+dxwMt+FrYZA8xT0+/9i7zya29bSNPxXpmYPF3JYDkBSJJUl
ypa9QUmyhZwOMn79PJBvz5iQWiwvp2p6catvPMSJX3hDiqfE1olNfA9Dp6a7jHxl7YZjbe8sUU/r
tKymcxpx1aM2cVD+fo3Ybux7AOIWIefx9s8IHeRWigLCPEy4saL60cXTz7pTn1P97yDP8x3AjGng
ygDjUwhYEkJiDW2tvjake60PcAjJtB9hX4YeNcPvn3/UB4eakQADshUgKAO3PP6qvkUlcTQQ0C7C
qvlRjcX0pBljjym5PuD6OFZGLHlgeeuIRLtDSzVQGvNHr2QOFtSK1JQnWEQf3MH8IPCYZB9oePJW
H/8gPadTlZV5cEhNYW0tqehvmhFbyF6ghC3HNarFlZxetDqWubQo7WvSkvKvYKFv06+DqdUJ+Yld
yNaOf0MfxrFdp2F4cAJkmMvU6tdgjk6JvOn8V47j5JmKg4jXXHicoe3Ho+S1qDH2G6LDlDTYYROA
raIWHaLPV/iDo/5bJgdfEXxnHO14lEwUqOupUXwAC1dhdVnfG6O2a4oKgdx2/PX5YG+Um+NvIvfk
CaXqha2kupQhHHNTlWxRxgdebJy25Ty46IfWzD0TcyEF/mxjXOlpp1orP/UziKCqijSwKJXxpq96
IQPIa8aHVEWoobOl4hkvHh3VT6+yqjMtM3EDStVcijyjscT2899+XHmeF52KxVyOm1nZJmXa44ky
lU6ic9rHh1qu97GJ51xl1Q9Fqp/LRvqiKnV24tJ/H0jNA4ISZ2QwdMtnjK5pMoXoFh16GyGAapCC
jZ+2aHj5nXNiE3w0FDVHbc5eacgsw980N4JMa5Xk0Jd4vUA5xBRCETDB0Ns6EbR9NBSgw5l8YkL/
tRfXpFBjYC41jzPxb7yaqiI4M0Ui7eBNdCcm8K1Nsdht9L4BWhAgAvld8tuHUIkTDVGNQ6JX7a1t
CvUxmGzr2cxl5XuLmu5PDEelyzgPC8UzQC08hkJCKwa0NWgZo42kByQMiJdjYaGwLILiJUkmPUHP
Ms4Gr7Rioa5AC+Dt1k19c+GXCBWt2JLatO7rqL7JE7g8nCMdxmOeNuK7KZXmsxC+OdL6HzDQ7UQz
BfsYjHSM+IzS4yFbWbs4HLP0IjC74UKuA1ByU2D2ZHajMDXMayaMiYc47L1smlTTi5xBHc+hh9uW
x+OJCUI/4KnXqX7ebEQsx3RkzbL6LmV6abmqH4Y/5HLQavwqC5GuK0vFDqEZ4v5V6QONZwu8VyxR
McXCA5tFV2pL7LozKF1XQirx01NM4RDaB10nUMdLpAobHae+0KoG3ZuxGYarRKkeGsn3YxTlx/E8
bUr5BINcmy+mxeKCDkY+j8IvccOSIqtqqV4liigPWYDpnauwV/H0iLsYDRR0M/2VIk+YM/qjbXY4
OdgJij9iVLwKWePbohM9N4ZWWd8mYnbcoPNG3qh2hRha5w/1ziYq2uVIDX9NaTLNauXRVQL+Amhe
qzVXHZKb6bqxte42MmPnpe4HSrlq1vedO+hW8qsyZKzmiyxVUWqhyzKsrb6JH6OhkU6lQW/CMIuZ
IJ1kLiAMU8KU5yP3B2o0dpy40bVcHHQ8L16MvOEZFnUbZyjil2XHr4hCtlDYBqk7ymUpn5kSnSZc
6HusjXQlw281sx0ss8GvKK48FP4LFBaMGwoBmM+NNPk7ELXZtB4A7yWfVILyQKC7cGPIgIGbSAk1
7CYNFOhDmZFfNSwAsF+wFbu/vYShCyBAA/kKYu87CHoJQtLy8TA5yDDbgZPl/j5UupdG0sp1aI/W
OSjAUwn0+xuL0jjUBJXQlNGXCZdqIHWGj2FxUKhaAwMU/kbNZldu0Y/3n3/e+yefrG6uImInhjTk
UkZRdAAQoNtWh0BJwrWp1HhXDMMpxZk5RDreL4wylyuVeRIZ53i/UEA2GiOsqsOgJ+Gqlu3rsJWq
deB3ONc2411ekWQYXfJPK/Dfart9kLrSl9LIn3GRo869vI9HRS+jzLLqQ03Y8SRbk3xpFXKIkhe4
5WKSlJsyaeBDcflhO5TYV9RKnV9xGFrbSGT+iQf9w58za7GRr77N+WIemq4hegQodBhKZYDwnB1U
IdB+Mtr+eSzDGclkj7d2oeQbAVPmbJjG7jbzE3mvllF+IrD9YOmB6KqQtDQUX5HGOF4UM9ZFjmZ5
fQDuq3pZhQ2LnENl/HyDfXBXoLgBxQ/WgwWg5R3uIrCVto+6/hBhiXApB9340iQFQbOT6g3MEROz
FZ68ai0Xer3P+K3jGmxMGIE4a1uw2XLKQ2TKCc41ttQKe1cFAUC20MeIusVprF0ZpgTNzgwq+CGQ
cevzQZbGbGX7/MlKDTtsqwBdGi9+1Cie2kgZ9mqjwO7m809911ChCMFWYzI1Kt42/fTjGW0V8Drw
oocDmCz/TO1qXs2k1qpdFU5IwDn5Wa7hjMaKPEx5Fz9kuVqeFaoMjZqu2CYDW0fJoir2yBAiORfW
yr4PfAyxenk4kVAsABd0OPitFLJoyptQUvCBPP6tDuCpqCmNASw0IHdQ6Z03pojtu1GSOmtRxxJO
QPJ2ivFOxKtJv5OmQdrVdlnsKytwrtXQab7HBnbnn0/i8u6bf9d8NjiyKrLsS2/gsmvD2jDz8VDl
YeCWVdSdt2qHVkQ7nrJY+2go9iMMC5APxKGL5QqkXoOXoo6HNqocr5Rxj+3RwTprtfAUkWkZys9f
Rd8DZAsnDjnZRQ4pN7LkG5k5HuaX0etABB1ABOFpGVe48qaJfamYBDWfT+Uy0ZoHRVkM7xRaHg4k
2+MlVpyqjUyrY9BKT91AHSDBgkhadwH1KLkKT5WY311vDMiux4ydSwVOyTJLhcWcNnXbyIesdsaN
RnAyeEYQhRdlJ/QVph7VmTw3E6bBoB7SKQ+dKNqHUsucyx6M/okt/sGcs7RU+CkrMe1LmbO2dCTO
li4fKFcmHs5kw11BzcHt+0zZVEId1sbQn+LtfHQHgLBgqQEE8L/lubKFriVqaU8Hw5ek8wnMJQyN
qFoVQ9Cc1aqBu7OQikMp8nQjT4l8qGm9raglleeAcS4l2h3nhtDl27aUmp0kl9MFkX6xqkyETD7f
Hx/sfxpjdCHAWxjUWxaAiymhD5JYxXQQYZR9jYsWK/cpcjaiq8sTp3oZALAziDKInTW2BkgS9Xgr
Fgq6w0JPlYNutdMOcMC4Ax6ubowUfkEwdjI5RjGsAQf/nZLJfM9x3KAIYyAENfJd0A6UBIpb6kwH
sxvlfSPU8caPpafPZ/L95+Fbwr01S0XMQrKLCvkI84IUN5UPeZkg0cOffstlHTNUvUg2Wl0Oe1Fl
3VUWNN3685H1OWT4M7Ti+95y9TlaxMF3SRhGhq7ys0hTD+WkjyssJPQ7RMtxvgmdVi0xXYwSscIP
VX7K64DIuSnaAZA+MNvW81FZX9PDxGentDvAWdMQlg9qHRrbgda/8Ipg4r+kx86VZhVCXk35OL0O
6gzMwzdnurfNqL3HTOa7YUzpjS1ALmzYBoHioX2lveqTUZxDEQP5PprYWLmt0TqhW8i48/h1Ev1o
AynaiQiYg6fTbfzajEY4zKye4Tp1rEJyNdArp4Cob3WToylDngcuIoEo2uGE9osozE67uSlnJg9x
LVfnSa7K7SqG7XFhjVEarPG5qtRriQZGhlannt1mVh7LXuFnqeJpUT223jDNmuB6pQWS6zdS3nid
Xj1JWRvP/VvVxoA2hecz5DnmgXmHJRqd+aw4h90NgmIcglh1s6zCag2Jn2DjqI2xHx0/QEbQkJrI
o/RT4+uu292VnlfxiRLr28V/PAF0yjSKxohbUlA0FpFfIWV90WtN9WABeD8vy6zdKgYcXi8OzDzg
Mipwtsiwer0iw4m3QZ82vVu1EPs9vcLrwi0gaoSeGEMtwecu7bZIlDrrtKtYXRuesrGCeT5e2hV0
J9dykgKkpNSHz/DkiPlskcSbDpys7Pm5Ja6TXqHcmJmT3mxgrOon8vb5Glt8LfVMAm7GJPeQF8tN
K6PsksAuHrquEpuAhwbpBC0I9wgI6GfsEhyiDbveypgQNHAYkupECvmupI2ENtxKiw9HkRlD68VD
DE63rVs76h4cAxpSUuBAWlhNsm3kxlhNgdHupD6pz5A65V1OtcLrCyTpQisbzz6/Ld60XI7mAuTs
714VaIwZiXV8D3fyEGl5XgwPY9Y33y2ltwHPNaGReElix6kXlAatpEEt1cdJnsiRAisJrnMUgLpN
OqbNbaZ1eGkl4z9eJv8P2vxPgzn+97ZF3lP56z++/hI/f/0J25z/nd+oTUlVv8ztesuZg3XCuBnp
8xu2KakGLkTgOGdcFJj2uf/zL+si6wtYSl486t28fMC2/we1qehfyE/mWjgP8oxC+zvvouPnZyZ8
0KmhOk2ffxbGW1KuA9CXPZg1qoOyZGD+nPF//doxvxtloe+7ZNJ+gIMKVOy6NWgwtHQoHmJtvMkD
O3ui8rAP/dasAG8W5mqIUzA5GRnftVk2+pNuF+p5a8tZCeGitxOcbdUK87x8tB/pSkvXcZsAeAK+
lmEi27cXgHJWQ5FSCep4LbdCcaRvQGtwM4uhtoUocz3Hsi496dmo+fCteoy5kskzzAmBnbQbd6id
9xQC1Ojhj0W9+X3C/gS3vvn+/e/BY57elNQIAmYVA1Afi3QLI5UUbyLtdU5+HjQ5Tzxsk4f+zGhx
O9UD2MR41GbhNjAgMoIeal+MEfoPDsyWUrhSEAz3Evmz7MLR6L5ifZaNrugGAc4Lo90Unh5uY3In
u40Qge8qbRvh0KxPJ2LqD7/DAuXGlYagDkiS4wtE6+rAMvritSrD8A6ZuF88AeNZWsb4UBKhek5Q
/BQlvCsrDzQwRbCeoH2NXjPSTx1BoXh+EyjP9Fq6vW80s8C/fNFRFtzZQSh4jDv9RsvDeBcoRXSC
7HKcD72tgQPzhEeAY0MtanENC427tXaC1zzzs4scWgzq/jQzx6ZTL5REO1kOmKO+4zUns6SfwprO
Ke1SSHXqUwiRqvWL5vajlBgPYTopa6OMm21T5Om538OIboso9/qyYO8P2YmgexHozB+MeABCnDRt
ESwgpDleLMRNBtEMxa8I0LDiSmBue7et4+pn4efq65T6FS9w3e3wHTGiddXJ43Omq2HpUWMdnyD7
h906E5l9kQ7qtZFbsgQIIK1+QGlN11MyWuFKl5sS5mcmRecd1Z98XSiW9LWIyDIp2RibQGtCaIlC
u5scSWq3WSqCb4RFwZ3k20HitqldngDNLMIbPhtBdwJ/Xrg3UtOyjalrfRGEYfOidaIjVlHNEcCv
1T+KgRqXC2q72KDdJr+GlHQ7VwddN98Ffn2V2ql5H5phCFsRiQfFTfpihDeYx7YrxrL9ZkpycxWa
+oRbgGHfwto1vg7h0F/xl4QXhhXIWFiRu7wMxSUE4ugw2PYtyqLWiZDi3VamC8wOxptoFlklsT5e
WQ5HEXTCeC4rFHQNFF7X6CWEID0VaKSxf0qN7g1CdbSVZ8QcImRcYMq8nRcxVBVDEtDG6hksy/Bo
AHJYjwl4QDpMWbxrM0d9whPN2nbSdB42PuIHiV/fqV1eCihD3EeqFXQXRSkkrCicHKK/kiewS3Vd
OkvR0SDPtSvNgzzSQIZNHLCHlPFuI7vqDl3WSgBnor53I0xfrsdURt4hpHUsF5YG+5USjickrdMg
P4u9o0XtK8dfuTbMTvOkWDintJiPs715f1HKJOmiqolIH5nM8eSTUunDkE0vvQOwKAnIi0amjP6Y
IJh2R7fmefmrVP2fISnU0VlESZ3SyvGQYRRZjVEOL3JK/dNJMIxVETJaGYl/qjG7CFbfhppvSdYZ
wT6QHouv463OJFXUL6PTPZrYelCEQ3zhu5L7XjzhnEGdtZ+2CY1WFsRGKiQSMbrkutmfNNOdv+p4
173tuBkpPxdUl3TPxMnwuFCdZ5Af8vdknLLGbR1d3KixyHt3oK7beeEwWg+x36MsKOmB9BiCGH2k
5YvFe9pX11IWm7I3Sg5IpsB4aoZuFGuni7h6mrB8yeHogiCZ8goPt9ppwMi2lc5YmSVOLOFCamWe
2LdWPo2QWcydkPl4DeVowtVeMp/SRC3w700H86dci8kTHPLrbmwazEJwHsPwGjVb9Gm74NcgbMet
IzApK0xvY68SSoLHfJT0V1MxNMhPhhE+6HzFU49WyutodtwHKqVaYohJvdfrtL5KglF/RF6o+1oV
Pomt1HYUepQt5bjoNgkb0mwLpmmGGJgd43fSBJbiCr/It+rYjt+TtBXwr8f0QS4b49zEyPZcL4v2
QkmtbG74xaS3jhGbYI0VPb5VsrSZXNIdaRcFBcniiUjqXcTJNAIsJXW3ZzMSeRFJaV1TY0ShPgk1
lL/rrQDKoYQ6YiDovgFlxf1RWCvFGbJzszCHnRUOkgfMON3HmQjQlpXV+K7uimql+xMGrGHZ3Qeh
qgaIJPj5a0OCv5JFhqW8MwRt4EpNXdy+fcL/5zr/yaamSz2nJDMWF8WnuZ/475Of/3oef0V/5j0f
/vu/E6GZSfs771GtL7MFJcmN/JbAzC2Cf+U98hda0iYIQhpsc1+aZOkftprzhZosrVSkefFz4y75
O7La8QM8d/AoZqKQT9KDCB96U8eHeQgMH/x782PMh9JcU6UyK+HVIpC1yR0S+K2eXqB6hGqO77tC
G8UerWM9jbwkK4V9VydGgC6LJrq0FD/w8kUvx+0p1VkrQT1uDFaVHOrWy99vvP9rrr/zpf/vd9A6
GMvmzx00/+O/NwzOvnOozx4EukcvYoYs/rOB9C+zHy19CiCNAHXmXfLPBtKUL8j1sXegxdOogd33
PxtIVb4AjAKxZL3p187iA3/BdjyOISzkodEO41GbUVYafZrFK2tLY6EIHYx0b6MmMGjbrEj3ZRW6
MUJWOnqEVXT4Y2I+SEHne/F/H9N/RuTunN92btClwF2ZhXYoJivwEss+1+TiLMMF4fMhFhTOf40B
nEq2Z8DVkv0+u4d2Pq7mXrmKd1MLNG5lvvr7aBu514P7iy/Fs/NFuPvSc05ExAuY5tvYRGWUt1g9
SFhLGeMxVcpU5H7g+eIlrK9TXyONLs9Lc2bNSCQqV7OCXja+nvjm4yyPcRFOnq8aIkFY6aSXxzdB
1NKYRMYJHaNGWyV+cSYJ5aoI7HNTWxsaEjhxeaumxpltnqhrzlvkaEEh71HGtUDlWizncrIp9RfB
OKqJV+hcHggX5a5mlVRhu0Ohaf3KUnzjxAK/27UM6eB5whSDFaGfs/jWzrCzoGVIBDae62Ho9lZs
Ny5gjptOth4EwMK7OotPucZ8MCyVLICJJHUz/moxLHJMSN1GcegVU4DcVa+oz4nf1mt/SHbwD1ea
s9ehb758vrLvDgwATC54ajUk7zxpi4VF5FuqkhHdolTSgXm2SpN+G1M7Gzafj7N4SthAs0guFTz8
ORALXWpwmAG44rrKqYzUIDwLZTOoCT2S/Lwf/w5YNO9VPB3B+Moz1Zs7cfFJZtDREagIJHOrcaPp
ikIvsgYnIrT38zYPMncWAdbP18DxJsHwNS0UTEC8SETQUyzfA6t2qu/FFb3Y/AxC3ROMAOH0O+GS
bMhi0XYAxGaFoo3UDaU7TOWThgXh6vPl+WgkAmxeklkbFKWE488JYhw5OONsg1AGgEIpq0g9Dt/6
82E+mjWCFp4qcA+8QDw8f0LqLBTLdLUsYi9QQ1h84r5KyxNDLDAfv5efJghnF4AqSeTiU6ReaUt5
YGW6WhGk6Jp6Qw2o2NKGv5/kbBXkPRKTo9J2K01yAM2gau6peSvfqQDF5k6B0dCjHYsTP+yDKaaL
yYaZcWgzHuX42zNUCII6sFEIM3BUR7uvllJXF6cysPfPE0whHnDeXaRrEW9fjNOgbtjUUZNAFe6f
hWMhttjEB9lJjRW1KmmtysUv2o4UrzPsvMPCjChfVG29jww5uaiCKtrq8WDsKr2E59hqr01LAQIp
6HA1ya388/Md8f5+B+ePMCdg+FknfZnzm8ihpESezMp4nw4/Lf8q9dTbUXv4fJhFT+htV8AgMeYy
kgVmaam7oKB65iQDEAmjQ7Gs7PpNX2XDlV3QJ/dyUXeVJ2rUI9xRHXrThWa9bRO1XQuq0mejhFvS
Wk6rE5fi+yufmA350zkaA76xvPKzslblsYVRAzTMs8UY3AxO95Q029bYNVmPKijWISdetw+2IUwP
/BmRHeY5fXc7Shnw21hB6gysZdHbKYIT+d4vmhN16A+OOm8Ktwnue9RmlzfKEJX1JMsVPbcpt2bh
Pr/fZIXt332+sMthYPbzRnNF8nLC/FwGRLEiqXiZsn/KMZCunVDzV22v1ic+Zvl6LUeZf8UfUOAJ
fTQty0M+BlbbKtQCy0uLyTxX4ZGvaWu0JzbGcpGW481//4/xQtmJQIHPPDhxqSvnU/VVOTVxHw6B
riC5HdE+0ljHQ5iF3IK/ZQgHbXBo9RlN7AI0x+fLsyi0wYyd/Z0QxEIMA+lR3pfjYdQkaZM4lzl3
RtBf1Eg8nqV+OXwHHdZdybKon+q6ljcRlU6c0W5qhctxKlo4lp//kOU98/Y7ZrrCfNxALS0+d0hH
Ja/tEY5BHZ51uSEgwbdcf7KxblS5W8dOcWLPvO3wP0PX30OCbdZAYtCRXzxENhaQBljTxAMOBA62
zPzbrB1y1zdhk09RF99TjAMVlfj6qtK6lalJ6mZIwhsI8qUnx1cU7LaadQvjvzo0lX8CGfvBBgC5
RcWR65Uy6BLebkw6uZHe8/P8vn5BlDHB/xc4jOr7w6li8qmx5vP1x36ubA3CecztO1aRN8raT3N0
NujZnPikeRHfzfgfn7SYcdnMeoQBiNz7wLEvgrzcJ5Hv9aZ+PTrR3aiG6owMerIEhsmfb68PriGk
gebMmViN2H0x8hQljSFpgm1uSq07CDM5F6p96k59f5p4vehIKiRD82dai3nkDaZwGamENdkMIcqy
7Uja5xoFpl+lCSkleCj6YOv4+R6I6VnqnEKTvktACd0507TbKE2hpbR0Zw+kTAyTrQtvCIKfVqNf
pVp6Lxdy5LaIGiiiOcituqojzGnEX7om030/HntxKzYFDPSkRqpYaC89aFlVilxaTyduigXAcybz
Hw+zmGSl7Iuqp4zgVf24tqwWNmT01FBicU213JsodyY00REz3ml4ttOaycOVUndnn++oeccc7eX5
V4AQBttH8v3ORDSxqlqOapYaR6QbepT7SJLWkhLfa6m/9ovsry9IxpvvAZsoDF2qpdaKbfljog0G
DT4zAdJnnQ0DiqfsKdPYDIjiff51H07yXAiFMkHtikTq+EYIpa6ra7p7TLKzDctoHxrdbe1E+1yv
bpXYuUTdBuXxybooI191y9FW3VGcuqOXAdi81BaW7vyR/iTesMe/IokspIAapfKmMNdbuJoqd9Qk
1da1lFS6+JprbV/ewz8vqs2QdqVx9/k0LO9FSqwafUZWF4Qa0dJi/CbsRq3omYU8u5bGc6fWPTM8
hYCd9+ufO2kehCWlQ8+NMZc0jj+y07OclGNOcqJdhki3IdMbwghrOMWs/Wgg8Db0C6lME2QuoqQy
VXWEL3hC9AHai+SfxXkirpI2r+4iP959PnUfDGZw1bJ6cC5gVy4e9HiQwALA/fP0Tt5QA/MsbUOF
Gelz7dRenVdhMYGzrA92NUwh195iAmUrHuF3yMLrHp3r3N+Y4sHPgPm0bi7O0yHa2MbORLP38w98
96RQJIFayGNCqY8Dt8iV83qQpqYhL0mm/oITGLiIOvxldY39j/YCtWGLYhel4sX+K2IE8tWBLyuH
FHhrCzQuvMED6M6Ui8fGP+Vy/uEn/TGcerwT+wRZ2zCIZzxP1LpTUu2H7pQI2nJfLD9pMW2DrYcU
ogAqEHVhitljDpVb687npua9OLFGy8E4WkCe2IYE0tScl5swgq8ZyD5lhhTJiFVYV/K3wVd7L0/S
YuUXyP783Z6Yx3PmUjpyuRQmlxhLFMDQTx45yk4SxK49ybXb6qcMK5er9HsQ+kvoHrLll4h5A7x0
3UcI/gPKitymSoyVFp60F/9g6nDkI5AgE6XZv+wNtKwRnhhMXW5fZ91d3v/UwzuRfv18whZMBUQd
uYeACOp0w/BnR/jxeMvJpp/hMzNUnppqmzZOvtZR/5RaKC+Z6V6L4xtCxg2YqcJNW9+1hL1NYvNC
tRBh7e0HNWeapRqRRqdwbqy+PrF/ZhuvxeUyUwVnJDZldY2K/vIH+oZkh2kWSq4wASoN9agqK6PF
1OwVKZIxdZVUsqVVbSKQvXYav7gvKGvhB2y2Bi5dCMeO9NLr2DCRxorLazvw2/AbMlxGegWULrf2
5djF+CKAOp/u1ckartJekR7HXLbONeCvyY8aE9RwZTZ6cd2DIvTdqPQLROXiOGb42m63WL2KG9sa
s/JXbkfA2uVOJA/IbwUKIUk7ITbg3FmoN6xrS7Ie8CbNbns17O2LSK17e2t2XYSzb5Za4Za+dnEr
5AIgjFKbvmtO3fAVrHxHvjPZ47UuZ9lugO6wlivVf42I2h+DNCgvVUBXV7FllK6UNOVWT5JXGO+T
vquTAQxh2SnK6AXhFFSgI83QQ6JeBoaeBoF5NqqUubycYkF15ucaVR7hJGAUbLFBDU7d57Sy+nVn
yCGdlTrsHuUSuDpmH/mFr5oBjgN2OYl910TaTdLEm1RtwnPkm/19pSSAhhNMT9RKmN9kKZnE1hgV
+UJWcv2WDr22GuPp3oQNeFVFebPrUR9QV4lAirYNN34V5/5OqR3L89UiXPd9HjZbqfCL/rk20jHz
mrboN12LXnWmRda16Br1pvGTsgXQnbGnWVJ0d6SpvQ8AvD0YzVD31LtR7VwNwNSzXWfn07mSlLKb
IMnDxGVr4BBthHpzNbhaLYc3fTbuez1uvClv3cqWqzNEmaxHs0jrVyE32hqDkEsFQIJnldMqlMfq
JhtKjEFQQnTxWnm1zYzyQZhkCQiFXMKIIDsDZb1X5V5CgV83f5bZiPk3yHs3iad0hT4XQvyTVULv
1gPtqsrU5AZUnXzLejXXQxTJyqVTTc+GPE0osOWwDKMAZxpXzwFhJKTrmpO/ah2wSzm2b4q5aF1I
DWSzEP3/Qlcxy5D1b9jlPVtaZH6fZe4ulLov134+/8AoKXddYZa7CLNRBbyPtAMQ/lpqukDavQ8r
5AqidRkMbms5rpRCpBggeptlsbM7aaQdpN/54S8HFZzclbHweRyM4nosWGNeNsWtRu0waVj19dNY
7q1ylnlGchPVs7HfIxEnuxI2Jucl/6jhl616HTk1UooF9IOpDYt1PsjKJla669mZ1qvNUdn2kHzd
tCfkqNaAHQ+pVnW1y7FDIDKYa+pdB+Z/iH7keNW6tZHB4fCrF00W8bqK0vISR+5pT16WXIPL0X4i
EYKegWaG+t4XP6Y0Pqfqr/Se0+SB82hhLNP72TVAl4fMeCz9dd8q/UPB9shvVTscirXdt/kmT6N2
G9aOiutIkif3vUQ32EU9Wr1vZdgxaoqdWbsyQwcF+fA70iNPgcQ2G4ioXEuqZUy/kuaQUEg8r3Gq
e6h9bA2VKjbXNODCZN9wt1VdFLqwqTetZKJPFEnmJqpqZ5cF3ArrYMhcOVEuRYnpA/pSYwiZNnCM
X1YXndepsYdluenHcj01NQco0SG1m0O27lKjCVxZxV1BU4rMs5viawBYYTWL5CB9AFMFk591lNUA
ZcBwrqd+OtPDcKvb9TqfnF2IbQ9eXT+MVt0Afl41RBjphMaejgRF3H7DFGclxxHDxatUSZHJQpCx
oAICNtBcN3q5Nod2W7bbWBtgxRRuL+Ob1PkrXgJUIoq+2XalqX2remVY5Xn9yD22csxU7vDsCfZU
0gQlrOnVREpQRyHLRTTna1MO3VVsci0EJvIX1YRpBJx+U3lWZPCFnQk8in2x14U+XcoIKFabKCay
IJ6gKtMFbf0CfPbFDozbSU7TrR3PJKHGz6rrUm/8dSfFiljjwXSvBax0beghGPUJPyC8M1AfFX51
N4DeY701HJOKUZVvVHRNPUR3k+dpsvwdfsY/7VqJ3SzozK/I1aTbSQsv9dy/aELpa27oj3EB/cqO
R+yU7BtTy1F6qLVtME7VjZF01R0CbdiIOAPXay71kRdUQ8V+ClrcQY1KEdlejIN+mzk0OZTBF6hV
OhUee4iArgAFf2uwHvB8u0UpNMurftj7VE3OHJyd/YHj7U9S+6pnJcIw8RiN4SFv8vFGk5PhDM1R
CRGR1DfPpjqzznGTDKXVaE+2F9WZfpnq6p4jF1zYdoGqO5a5ZU0zLURBo29s/MYU5aVuh29yN5jl
nm6lvm673n9xrHGoXB+NkTNoZDeplpWUAzMMKZPyKtLA9pMzr6RhWFGMWNnJuCcNc1NRrps8J7nL
8AsZQ68t62GLvZfcuI6AdL+GsFZ48Hblb3Gaw1eQ01zod3Wgab+EUhEjl327JkFGecG81NANoP56
Vvv1erJ61Egw0LqKuquopi1ROibCymGxS1Nd1F5PUReUnVndiVG0+zQUveHKWgRgrrfjR8DuY7qv
AS8qrm6AsQyzIQZj7AwpB5ojaviVKnbC2MWBJr46Q2LsQRgiwiYjxOXZeZ4654CQJq+i/Il5G5or
XlNjUYOxJ9IkcAbdMJy2YR9MB7trCz6wrJqHSeBP64LpJsOtcaRcO4E1bf2gtVbEPi/Al/IXfL66
GgOc8pGb6olGWkmLotHrlTM4422gSv12MrPqKpW62FrVPpwir/ZH7UrSUkzFlGCA0R846AKvxIjy
7RDbBbBYxU+oSUnF5WCNaGQbWvwgJQIbjwwE4TZ1WssrqFImMEkMEW3Vymr/m7rzWK4cydL0q9QL
IA1amM1mAFxFrYIMxgbGEAnAoQGHfPr+wMypCl6yeSd715a1qLBgEMr9+BG/6II29uIrsTS4ObX1
uJs8a/E4UqwpDvXOBfQ3aqXWh+hhN1aAwc2Th4WWEBirOLUdGjmwbwDI04XUlYNVN/eTq1XfUseS
u9xcmm1tK5rD2xvHjQRgfFXYxXyTlDjfpar3ZAjZXNaOsp9wG0vCKbGKnVNnesBPxdfaBEsucIjU
iqEIcJCYQft6tdRbtSy+dBaqv2EzIgc+N564lEWKdkkcx19jvSJBidLVi6lo9rWE7eBjTfZszvNV
OXWu2NuxsU/cOlCMGNEnlwr3RmIOdxFlk/gBdaVEqIEcfBWGvY3MaOcM1blmyeauSvBAmOkEhhJF
gX3RJ8lF6Y4HmaiGxhwj3ixL8dyK/jCWeZtsmgx1CRfWatlde5HzBIwfHGRpbBer7hg7TBZoGiYf
SBQNBUpGvJXzvBuyXc35EBDToqsuM529uQzXXpHcu6gPhcXckx/icqn6NcZbdwY+TamfsZf8ihxY
8RF+uBONnuP2pahn5ly15y5yfF/zebqLc+3WiKYnZTZ2o4M92D7PCTm53OCQRM2FDpv9ko2LMWyQ
njUKP1M1cWOkHDYyOrRQ1m5SiXwghlJK5PmZW7bfx6RsniQ253c1ie9108HXHLulfuiX+nxWhqIN
q7G+S1NvCHUpd0YmnbCq6uzPJVFRlG6nr3XtFKj8pkyCmtx8TCzEa2Hkvjh9+qsoluki0ae43nip
FZ21Tn+ZCn3caRMPUUEv3SZZ+mgYVRW2WV+E46RAZRry2O/H/DxenQXjXOg7y8p63xxIxzFsvYpV
9UK2+gYJMA426s77ZkmaUKTTlPlK7YQQNl/sFi+1oXb+bB2bTqSs4+uid8/sNNvUrr2luxHYAGXM
vlJ2UpAP5I1RXYyaUe5RWhq2tpt0exQSS85htw09xYHBOhIGQqVe1v0YVIl9M4PwHTK9uXRyO2cc
nTXYk06F3HkZDZKxzjm4dXAlwzm2UlUSTG20syd0+XNN/jlBLG98vGEbBOYntdhlhpzjwKEo+dHH
DrBHa9QDEzmCb21EJmSl8Xdbnwa/j2JE/5LuzvOqb2UzJ5tBjZfiomnbEcSyOks2QJId2l7rL5ua
JCuRcrr2WiisLmD5ais8e/LtXh0QJMbFmCE/wwgMtqC11Jq9bUxG2WZKPHWmtm1g9QIARu5XObRT
7W1QpRL4b8ROgkyJQVQtvJaud5NWGz0rVPAmUoDA7r6XM7W6jNKnDEKAL0YyqhkrwNzPkB7Z5m1v
7uE/wJZgGaA6k02PpellSLorV/Bm/6z0vr0VNrr9W2P08us05ZjcS8IoXlH9SB6qSXq8oT0iXRay
ccqXZfS85oyyOYrPh0Wvy4up1OelIrE3ymKfWal350Ur/osaM57CVZkkD9JIFtkeifd2CgynKRu0
UTkz5WVWSIdRezR5MvTqjHubNS+z71paw8aWce6ghemsege2/ZycT07ZFjeIQ0EJUFa8/Z5Gqmv5
rZBKmCDFsOnz2Zif0pZOTRBbEAN6oXidz3B4ZRO4Dm6PpVf4Maq+0ZNeFUO6U80EfSwNAbXWN3qn
fmnsqI19kWUl6ZGl5l/mbnDyzTjN8xeGh5mBH9Ls/Yr1bJDhYDo1NDIjucF3Tt7D3e6fe92Kyk28
zMl0UYthPOMnNeXbiA53sRN4zz0CGB/mYMYly/iepij8UXZUROVaGMY1CYkzPiYYD28iHHZ0P0qx
XHsclLiMrkGNd64f15OTXoi+s+OryphVKyQ81YQkCIscSfKirhINKv14N5bVclDKxuJZ2l+tzKYg
QTar8+uCQssHWNMaZ0VWNt5TVQ59f86sKy8DpTa8XZZZHt6pbi/3E9JhOL9RR+m1FWcbDu/IZjV6
V7MpR8QjNFhb4rxUNBlGZaN3vgY5vfWJbNkP1OTaL6k2IsfRzlB9GfsSBnsT5aVKmtOXFFr8OOzq
6EHx7tO0PUvtikJcEFWWoEbykJNky8FXD8lVBUVKmL/SuLlvxdaIzujl6BeU5vEZp+kQxiZVLO6N
6q2VURZPsZpPUMkMp9gnWOxZQZyOFGxKp4WYm7Ucwb0adnrqXkQzNIktmpubwTWWMuRFX6EyfG6k
1qZW53OjfTKdb/OChE+rpdvIQCMuTlEhv21b3Y72ogjGHk871t0VxObqti6t0FluuGD1ddS1eouJ
+bdMkO7Hi0apdblET60bKvTJzel8RvM2TIRFi1e0zTYR5ncaHkowDrOZ0tQuL+ouvUgaVV5Kqjp7
tdXgLdmj7H2ct9NAmeDKZ6m6G6ZF/dUxkuz91FoihPIMt33Axc23MjYeNOtoaJFR94w76LrN46g3
X+pzOoLtBe5mOadlzW9vRSCotxVpXuiGrHN0CMoujAt1k+nald2IuCSc256yraMx0ba5mkXXqKDN
+DX10PNaypyeZC9RvuNE59tYYPi2XAKVIFsuvS/KOpiz0peathmH0ia6I8CYDmmgjmSHvCHHyDUf
Mm9xsLylyTfI2RcKM/vUI8DFaUOb0k5uZxVjxq3ZVom8LCzlDEbFN2+Zpx8OYoIItSp1hhS94SYB
C5LixintlzJTaLrgBTT6LcO+8sLNUtlulSlPNsjxpuHg6RVIyHzuruKsiWjoGBFowkTlhknc8k0P
/e1BztN51seJ6ztl/Txl6sFpo5EUzkTpYlPFrPgrZUZ/HOfmhwYEK8ZfjvmrM40d7dwn2VCF7Qvc
4B1aVihIOWAhrrSyNPySs3mTsU8eyEnjO+nVCJbYZryJksg66BotqGVUjWsXb9B2myNihTsnQh/T
g2ljh0jrqwlSzY3GsHO6jRrLB/x5kWPsNTW6EBhe0QFJLRQUBbJUiwX5zi864l25TZwyUg69pVzi
rqchBdWejdVwNbSwy6LSO+uVur7qVXNTVthCzr2LRqIll6GOw16xNNhNCDwwhSkUK7ugEbzIUKJ3
RFe0tC7rpu2ZZQ71ixaNYgpmMu0zpyx0+gkZcF6aCXBmMDuerocyIyridkcd5lR/5ujGi9uS7vq9
FzF0DrRu6aAM5cpTlYnkYkIavLzOSnUmy5MTFiFu0+oQIPQen14navvlbLA69cIAv+luoqjqSrKF
hFWWx0uYoQAnthndi8r3kKd5SDJvPCwwMp+qxBDlRZfolRK4GQIdm9jWs/Ea4ZxY7BZ9duYzrY4f
SJ9mZeMp4yJ9WHrmn2gVFOOmy6gPBwX9z56G6cErdfkD/8XxoePQ/5mr6IHukHctbhca4CSmQ6SF
WZ01VA+dOa2hpgCRv4CHS+J851lz/CMbpXruaSLeRwumjwHSNZVh+zloPrQcYXDNq5+YuxWdMzXl
luZ1XVh3tXSSCNr2uODz2/hVX1ONPo8p5JXyh2JOXU0F1TnEeF/tY5CM2jaJFn4FoJAM6tYOjWwg
M0ld0xjA+yS5IYcyv9AUvzG6pdxnDPnOZywrrqeCwkjrDSXkDB3FWYxF7YMYWFn0JbSqCwp1cNFv
9AthbfRmpg2/n7ALHqPMz1p9aZSXcQQBiAVTlBf+MI3WKgva5Kc8gT4Yd7yiMtH7QMYfTuvbOQRE
1yVJKoYqnWzDlPbXTAy3vYdoOjFSPh5ps84BOrpowWKTuw4+3l5In3BENgfmX4wVZOAIvQ4KTTxl
if1E0TqGTLolIEjzn44rX69rQUZhLKWiQ3g0JE1gm8RKzmhqKIp8p7ZxdlXMVX0CVHWMilivYoEm
ZPDrIEF0/BrRJJdJkvMaE9MOjFIL4kJvtovjbsvCHg5yUP+ZRvzfAyQXYOrKCAZreDQiTWTRNT07
mxpRK/Z1SVttmOvy0ALTCdAJ9/afT6yOMUzrFAi2M+QpDcQ847e3308bHaPSayoOtxM7L56D3HWv
ROuRL877cZbbOWm/yyz/+vll369PVBdBDa98Bwbn1tE4PWWHNpnTMj+vix1fN0QwJbA6+y6S7uZ/
cCkT5voqEuHBPXj7hFPZZPqwVhMFrRvcxdF58LWWVPjEWnm/E8BVAA1lMb4K0xxhskpa0l5XA0cw
GhEySsFuBt17DQ3hNglnqa2n2CmowDpdfgMVWD06zFfQDtQ8ZrVvn80dbYTPHHZfjzyGP0/aDkug
bE1TGGepXzote+6qbh/Te2xUcsqMytqQd0Iwb/j8Lb97ehOtLsDmq0IduOrjtzwoWjdn62jfSnla
47YaVZT/C99oSaXyfXmKNfNu3a7XQ4RvFYFAxOVYAdOiF622lU5nb5PfyPPFb0Lgfk+nLCPfBQAu
sw7AV4D7yjA+2o6lTZKP6DKIBUcpfXgeTgBy6a62lAcOijRw9SH8/EWeuuIRaMErDbfQabQHdv6z
zaEV5Jg2GzQKFbnF0/3EZzsG2IEfRMoVTAE0LziXaA2+XUFglRqJjhMPWPVnmh1dGR0+2+SRlDBV
vNex5MWNZZvUf8sf/CPCLsqM/O//rP/mR1XPbRon8pX/958/7X5VqxFjd/xDb/4Nloh/X3f1b3zz
h00pUznf9r/a+e5X1+d//X7cE9ef/P/9y78dIR/mGkfIH1VPecdvi9Oq/J0muZpw/vesym37q/yR
/Ou+6mXyqy3/9VL+/Nf/LeVL+0OmP/51wR+741/2F+fScf4goDCrt2ASAPhcj4S/OJeG9wc7jbxn
lcFctwGh7W/OpaJpf3BwYc7HvwPohUrXv0mXiun9wfgFxIUHOsux/gnl8u1qhb5DFIcxh7cES8jQ
7KPjQyDMKiGQJYFhIb+ZGU52LemtvQwkONscsRB/wR7rRER/FRH9T9jjqog2QW3RCTdc1tOPkg5l
6qJ8Mj3oQ1kfNv2VZl3kzvfWu1jEnSlWOfbbTr9raCUV1do2z0NNoH2Kh1wWDuNzb61dU/VQtN9b
jnMaGH427PXokDvToUjQbulvy27YDpEIRhMvGHGhew9w1zZlR5uQbp6XLRuzI8vvy91Apl2rzUbU
Oz3yAiwLTu3Rt7H1/eMenSxG21SrK7IInHv3Mr1qfGoQfwmVbRW01/XGuM0fW6ATge6fIoCeuvJR
dMCgXVHpYEGjs/veh+FzHbVfY435bpn+2cPaMbs/f9sUN399xN9FnY5N+N5926PMoLKYlBYGl6wP
3WbbbLYybPzMz7fWLtpXB9svtvefX/LdGn67mo6Pkpm5J9omXDE5pJv8egnM7XhCPufDS2ggLlX2
IwihowUL+WvRGJeIYHJ+UPltbOsmbpqgqh6Lk0KE6wHxbnP8dq2j1ZJbrYP9H9eKr0qEa366u+ZL
u5/Oq934tbyKf8Vn+jVtF/O8vE12MfrxD0zJxqfP3+kRdPx1zZKRcnaCHFuzvKO7gG3dtwB6YLUq
m3V8+Ih/3+L4w7ypmaIBrtAgpZ3YKG+TyvfXPFqthdbaqoQCEuCWh6VXvyslxI54YtReZcv2xBO+
vxrlDuhlCJNEPviSb0/Ozl0Hszn9PjQ16cjq+XQLDSDaZjP9jhK28L6fO7ktl7q4xDu3C0kz3JeZ
PsG+a4zmvC66/pqsg/E4Lle/5sw2/9mqIzwisA/3kWBJXkqa+PYOkb3EFKBFM9O0UP5udZWZh7e2
/ZQZE4BIScMoZhr6+Xt5C+cDW22TKq12OtQywOGO3WhVDVtHTS/soE+sbh2PtehPuun+86u8Tf84
cyD4wiNGfpIjCDDp0YbKZxqOqdvNe9udIZeBU2A+JuzSemhVtb6eKkwE2kKbASG1tkPjjRL/7vNb
OOL4cQ+crmC4IUfw/9jZR5FKq4E168LT9jgpuBtLy1EkbUegYoCJfNss8EeO62+J3ZYBWtjtuUjS
epulwMbI5TDL7O3sBCHlKMwgSvha4dhU5JgrwXt9+8GXaoXSdHG9lYa9+Eq6NOeibpqD2bq/AHON
ewky5MRhfASth/xscL1VDFuFBct/R6+hMipGFGXCReepuEf3FHpV72VfHF1k+8Qw0OLXk3kJzTjC
kMYSM9iT1OjaOXDprWGTrmWnVPiPstr1nihlWYvmKinlwOd/+yIGXaX50TCMTlAQDdJizs4jB+Wq
JsP2QY3cnwzSz7wqrQINoeRQeo19e2J1HIVhC4ElOI8oSwGgxSL5uMKlOw2ZEsTbFmMRdF3NsVwZ
HfmgVn7iVMldaTPOZCbsIlBYA6y8j5K2eXFUZhdbrxwXouTURN9P3NW6An47HLgryOgsklWmlv+O
1Z/MeOyUgaHiVkmNcdoutrfcCSBVFGhdcccMP218FRtZDatvGs1M2KnNc8cAUrG0rbhxi6JALEDH
sYup3bJ8SXXm6SdKoOMcYD0mofDBs8QPkq7ecVMCBTrpjHSz98SA6GLK2+KrNmLYPGHPFigU89vM
0DrfdWLVt+BkHpp5rDYdSPIAAGcPxcx0g0VaN+y4bIdIeH+i1j/e+693CN9/1YqDSgwF+u0Cy2aj
c3pVs/dlNDvA9DJ4QTJN9C1WNky1ZA3ur81rRH0jY1+l7bBjFFxsBMB+ekkRgDVweSdOpKPI+3pP
LH2EQ5Efxg37aCPWjSGZVav2XopFAiDrbHD2mnni4xyvIL4NAqXgqKFk0TU6rohViaFSgZzVHo/T
X1i6ynA0WmdT4Dpw4jj/4CVrDmIupLYu4groDb99yVrXALJCjm2PrwTSaanYyUJLQh0bSj/NS/MB
9mXz0htdxfgFRW4Mnug/NAKvHniNgcNs98Su1td65vf9A/1jVRlbHTvRfMH7+O0tjQZBzEmsaB9J
KX7ipgPmFva0GudKAOGwYgaaVud5Ir1tqbT6F20ee3/ke2ynMaWwjpT+vLNhVvjO4MpNO8ryLAPW
tZOVEHcNx/FGo5t6+Hzbv/9m3PWrAeAq44Ie/9u7zjm+XL1Loz0Dh+UCTAZyxH2j7vNIPaXVvy6y
oxf0Si0HMQ3IXDXXRfob9dLKYvABqeXtqxqGkwsuTWybSre+znUkUZZwnGKnwwffVzOmyNu2FJYb
fP60+vuNoFEU04lCKgtK23EvarZ7BjyVHu0ZozdPFc33W3Oyuts6gZEf5pGZDIwPQdQE0hqUnyVb
CRCMCZpzcVWl28pFyC/M48d4Y1YCbLrhdGkwjErX7ESTTHWQYMiabQc5GBf90IqXwkLrfO8Ulor3
CJjx2NcqqzhRp7w71Vh8nLIrSW81F0Dd5O27lUBuhjjjuSLmatuinwFxj5Hci77pN1bBiKvAzAxQ
/ALYswX1HEMs2H3+cj9YSqsC1CrgQm6HQP/be7A74SwodEZ7b3KGbVrnyw7UjX0OqNY48R3X7X20
lFbRRNhka6D1Vq2p35eSUAfbjRdV2SerzW1vDElIq6EDIDnRLzbVBB+YV/F955S73QeLGDlKNNxd
msZUpEddv9wtx1lkjbLv1LYN9b4uwqoudDq7iM0CbS9DZA1QzGxkfY0A5ym24gfveE3fUKdGgBo2
+9EeStsaqsAi4kNdxdZF1M/qTcniYzzrndorxxkjS+rNpY4+J133QnWzOD6wad09+mjWoVftfDuT
1oWDFfVhpTFr/sdraG0RM1dhWIf+y9E6Ru6c86PP4gOdx2EjO+UJMwDrSnXGUzbLHz4eQt9o9cJp
ow59u4QGJuYS5ycej7IktNCk5XRLn51liM6MIjLvgfuf4LitN/921TJOQVEfcrZOh+qYo5WZsztG
DQ+H8qXY9o7yzcm9dlvi477F8/RUvP0gKKzXYyciQKRBHjn6gotb21ki0vgwjmiqdPrjtGT9S69m
+gZ5SrJIvU0fMkgI29mq6m3KCXbic75/ySifM4qjCUmvkVt4+5InkPxe0fCSjcQtD4oLvDIHH3rV
OmsaCbsnVPF2OJWBrXvw6D1j4qTR9OTTEhGPOo8jU93crrlqPNnjN6nFxTayh3JYh8UtlgPtMheA
0cfioKGinqwiUMp0cPVIO8tn76Qv0KsPz9H9kG7YWIpig7HOXt++BeI1fuGZ5+0b167C0exA5TCi
h2DbdEDRBV2JsrWQmEXS3evEfJYlFGrwQPpd5KiNPww5gg1ZpgLd1qr9WHf9WSPG+StqI+2mK9Vu
U0yGfQ61tb7JTbc/OGWWHfJynsKcEuwAALC4AXpuXMrZyM/ARWsbMQ6QHmcXnJorT+klv//uxEYm
hmt9xejLOgpTo5lW7aKr3n4CFNPqV0uL3oH1tVzx2/qJXPCDa62ZC8ktRQGy+EdnAXhHB7ObMj6k
qZNcNj18EVzlzrXaHn2vzh+6BXzL51Hqg52FV7LN6AdtQnRljtsnKayrJZYeK0xEP2vklPa2RAZh
DVrXSBN1+94BDZt7YJJdaTgXUTWfkiB4H0y4BU4Bqjb8fcio3i6qKm2EXHQlPmQu5p5Akl6UvolD
e170jT1mpxjV7w8exBt5uUgNqjz18U4uy6U06jhODm45Mw3CMf1yQc77Ag6ovP787b4/YtfRAaAB
ngwH5lee4m954iyRwQVDnBwm1z5DJbZFhL9wQhN13V3H2ySZj6J7Wx3tsDFHsf386sftSWqltUdF
2ILZSgF3PPbCI81QhgWjnLqq3KCc09UBz0g2lWe0Aet92XdzoXzvhlzbwFFcrstKeUrtAW7W53fy
fmEzACd+U7ehTIUpxdsv7OYIyE+Jlx7KFbGHfUGoFcry3OejcdkmhjoEYj7lqLtuzLehar0m4/7V
toTexPptfnv3UStAatMVO6AMk24iTSSX5K/j4fMne7+YkLtmMAsBe7XBfC2lfrtK77k94Ew3BRaP
6k2uN/reaPGESBZVnmh0frCY1jdIs4WO4we+e60xmgDbxQGT++FsiKyHnCn/eRVF6l6jpoK0X+UX
olZtvyrN+fLzB32/SXlQEkVcuEgx0IZ6+zprrcLP263FAQ59jpRbU22byALpXxkHUEzdiZ3zmuYf
fz5SU1okhF8akEdBwZRy7OepEgehIpI2wrwCgT5B/SnxrPejPu3O1BgEKScVNoOuTPZguKHq9W25
lSq0Y9Gn6Xe1B/eGaaSzn6UVhaS2MO5Srz5USuRgM9u4O6mKeKdE5XQJPcnF2cqyXqxB3hp2J798
/g4/CLa8RGIsA8u1Q3U8L4gzLen6shMH5p+gKyF4blwAVDhSlvFOOO15k3Tq2TjJPnQn/nICO30i
j3ltkBy/WBjinGlUj3gLHqX95EzFPLppdpC9qwQTbe6w1ifD9eFAPyLZIK6VZubDwkU095ajyAu9
tNyvmjbMO3BfyV6vmud+LJZNl9gwIm17NdC0rL2rGN4FSup16JBnn5UaBajTpv1tNLg60EDFxBBs
GH+J6XnqUrDaTmztGePGJ8LeR8FmhWmsij7k/cfpcFPUCH4mkziMiIpvZa2Vm2XlACh5bMD9iWC0
1eX88vmn/SgOoIxJaPPgwzP/ers9TE0og0W35NDAIffVaqpo/I5G6LXWKVDYBzuRfry1qoytScJr
X/G3kJPGXa8J2bKIlErz00iNz3tQ0lvdmKYd8OT8RIX6QSDVOZdZtchVs/ePclCvwmxBpySGUA2f
BCovCvFW055Yl+/rYJNLcFCB4aGnfBxfFFjLUokXcYhGe9jTL4FsnnYjZjdU4BLW0pWiY2bIBopO
JNkfPh8dfYclYzPlX9/3b+9TxmKohe6KQ6e5/aWmKdXjWHntzecL5KOvxnRqdd54DWhHud0c9/Bk
LIV4Nnka2GI1upznQdlDa8pu7airTxy5H18P4AAly1rlHx25qFAU7djzPodUbCy3q7a63eOMztf0
XQi6nz/dR1+PTIMRKHkV87CjaI0tkxF7DldzOq04T8Y+C6VVLvsJj6RWmy/tZvoaK/Ep+c8PH5K5
GLucSRUKOW8/nccEqI1KSxySWk92QjjNNtby3o+jWbl0UtW6/fwxP7yeTRDkcho9qvXvf18qDfSb
YoA5ZNUaUllLjpSB4NONHs3NoRq9E1vvgyMfpB29IYbq7Irj88Io88pNGwogOp8wCbRe7KeO3FGi
nYvziVltcOOt6Lp6yX5UleRExvFBUCMpVynz1iawdpyYi6i0OYPtDPYObMuot6YrrEq+Tb0t95+/
2I+vxNJBCkglMz/aHQmzbC9rkvyAKUS0gTTT7tuU6TmN1OzEdv/oEEYEzERa7lWP/fh8mMUwaR2d
6AO6b8n3zFiawzw3zrZZRHNI7b6m2C7dy7FaIgQWze6rNXQny641XTo6hXUyALQ11/at+XqTv62k
2oCUGGmzOFC2R4FqdxyuhhJtcLRdwPAP2gaPDG3P2o8DUSZVENtGwjKI6r1XKKd00YwVKHV0PwjQ
MelF1d6kW3XcTTYVA/XsZlH2qWg0zQdrXv0JdVe7dionWeBYRbO5l3Vm/sxblH93NgKHF7giWc8d
1Hg6z7Z2D0WkvZRTi3iK1k/6k1Cc4cwaB+NxRhJR9RHkz6EETDBF1SyZE/i18XBws+dBlnf0M/rr
vl56d8vIs/gVpeU4bfR6sp6n2OhcwgiAU93ytaRe7vRey69KmaPkTWJxV5hmfaMYiRB+ORZy9jNL
RealMclOwyaid4TOxQhmFF4QlC+7BOxkoucyhaNidKtluuDHUdHudr1oapIfKysEohpwauEcyfxH
ZSzuYwEVFzLshOe6W8/5pavmyZOpLAijIJLPGNrGBdrve4dhfdJXhY4ucmNfqK1WX06NLkVo4NX1
Ve+IhlDYJ3vH+JF7m/ELgTlnJt0Gzof30sxV91gsioUdCY6plp92UrmX3DYCx1lcaOGSFtpzAcf/
vp+q1MVrxIYaBLcovVdogCk7Jm/u5C99jAaPJqyL0a1/jal4jOHRWpspL7WvjUzLaa/PTGGvaLmP
3xvVzTcI0tuGT7tYaGEsHGO/vm/nupiwL/UhKPbnLs2dMih6crAgnUz4KUabzk8uHIzvTqIPcmNz
0jyblTPGYSHt+dnTpO2cMQI387AfUueqhlr3YqEj6R1A9moHpW2N0hfF0F8tcHBxhSnGsvDbJoUP
WlqV+yOtCsirRl4B+VHsPrr0Jru9j7JRgz0IEELbTEq0uH7alw5HnSJmDTkUb7nHc4khah9VbraB
nTssqHEP5ZfCgOa5QyJQ7s2kqu7GNrPhi1i0mbD9uUROvr5z3JauN4qmjCCcYRgghC0N050OGyU/
X3rtQY2IJvs278XForbqjc1Hh72Dunzp24qSTf5sj2qyq1M13vd2Y8xBBMnZRdrQvqxme/oBb88z
A2k68D/jEUo+jCcV0kRmFerPZFmZ73iGqS79+bj+qo/18D3uMoGVj+rApe1atX6GYYr6tAl70bCW
/gWbMm1iMaPiYEpQ9T62S+JayHiG1Dlb1ndLji32bVOj1oEOwmdkGSaAAREqvO+bDKayG4FLDMre
sl+6LoGsNBOCXjIBGwRtIsf7qmeO2KX0HQ3fcNO6gJW3/p5c5DDogAuZB3WstO8WHdNsF42Te8Pk
CVmDMqtMEWTUNqEH0fwxxWvjDIauGIM81XpYoXEJ5TvVzfKbN9Jg9d0qtXqMi+Y43RjoTZ0lHB8V
eAq0YFggGZpGJqfyV4SUYBYmXs1OMlOGVkGvJm287ct+njd5kvb4d884zvqpsPObwii7m0rEkOmM
CT8swkD7o+qm4kkxhHkoKk8XqO6A8vTLaOgO3jgZjxCLhp8jfWCQXWgJx4GW4lYWdJnm4juGazcQ
syTvn9tR9ZAKB//xLRZG2fr6uFITNU+Nfoyil4/jnNtzgMcm4hmxketRwH0nBSLIpDl0k825OXi9
kI9dmRRoS2HU7MOHmoB5FtK6E+piUHnX3lrwlu10k5hj/ZB29cgH7Vm66IUU+i9MO6yfakTx4y91
PN+02IzByhmELMOuHSyWelqnNwTweEBA3ViwtFvm+GWk57bASkoHBiODzKDHZtP3ISqT786sjbqv
DqBO/KhVob0b2eLdzd3oGWFXMVI6pzoyHvLemVJ/HlcVgtHGEG/DzpsSvkCfBcJ08ttCbeQPLA3P
5ZI+qYtl9ts6A9dDQdPH5gHaBAIItTI2YQEOdQwRhKMLmiPX34ashSq5qRNT3RZa45T7CrWZ+KxT
EscJGWEpt/D9bLFJxdLedbAZ7zx38L6jAlU8xEV3UVjeE6WjEKHdc9gEkuAOOLbsLyDhLPMGiS/z
ue6HGj2MjLWl5rGyUOTqsxkUeEAuGzfr9XTTZ2n6gAZS/JzhePjIr2/RhDA9vhMeh9HZEg+e46cK
m8Wnr1P9WZkRpE5NKsWXAoTkl77Lm46HQjkIZZxJqQHAK2t7oyQX8ZMOthhHlmHduXNf7fKp1i8w
AzVZ25Ni4THdS6VFMMiD7twgnMViSrIcoYFSesL3KjSbZJKh19WWtfQth/xqKeBC+1OTwERh4tev
qk8juvmqO3kHDKu052GIu90Yj4Pr2xDPNKy8lRESrWEwzjdqZwhL9DuR86nkBBHXQIJL9h6Q4RkN
qeeiabrrmgSxD3TDg4tvJ3SdA11Zee9jHQML1ZtB+6rAbbp0a2zh/qoj/xHi/n+bU9ErAeq/B9Xf
921aQg/4HTn/+k/+Nvq1jD/AjtBRAp4GVhxFvv+HnVcs9w8mF2ih0oTG9grrgn+D5+0/VI3+8L8N
r9bi4m/HKw2bLI2fxx+DDhF13T8Bzxuv/LH/5LoAsagd8M4C44Kd8IpxeVs1xaR2tgCeTBSC0+rX
COZJkjwBaj3HsS7ZulpeXyOeHuGyA/P2qSCTPLfiiFDDWScivBO0+DFBkuO/2Duz3byRtTvfysZ/
zg7JKk4HOSG/T/NgWZYl+4SQZLk4z2SRPMpt5PZyJXno3tm/9Vmx4A0ESIAAfdANu0WRLNbwvms9
i/1P2gNWZycBTcWaMVei1dr+1XYJ4suQdh3hVCydEFqVcVR1rZVGpaOzr5mxko8ELW8Uxz5KB+Y6
rzTnXayd8nwB8foo55HGmhMsJSLw1cMDm9tdvXFqYpuu+JLjWg0yTOdhlY7NdbD4JtSpRtVyn9Vz
d1yNhu7COu3BG2b2ylLOrmdiZjVAjOE46+STP00zUqJ6xW89ui60NIXCygjJTy3aCOLQiogjTiHV
DMpZKA76PXpLtIew+OgzrJhzi8R71r7PbGNovR6Z3VDOxNjNwY1Uc/xdjqO6ix3d33UCHkBIpJK4
7/A4f7Rne4agNozlfhR2SfC8b0xUxeiaXmeVj1KRNQEZoz+UCXERM9yA00Z582PHRHlfUxn6mqZV
M8LgSmYEatB92KxYWTru4PpN9Y6TFPzBxegug1XbH+pCxR+1PXv3tRrxfyZZXnyCH8QyZzInf6LX
F3fIhYV/1SaqMyIx+MFDCobrphjg/u0CNcG7a0wL3V7pqiNFHlJD7K09nhF+Bg/JDsAV7OK8Hef9
ikytvZS+4a9RKjoMmuT1SiOcpehufURW9EaNqXqMMzRCFzZiTne3ERCJeNKB/J7RQ0x2Lec+zgvc
q7/PPInqq+0phu683tgknGsnZ/rLqroRVkz2CS+zjOBwghjLJt0SfVh5Xh4B6EpfTFWnDwXYnux4
WdKSYFyaoGBHNtEUOq4iG0HTVLUb9v3UgEcWkrxDIFJufMR31GesrmyHdhXaDBWuw+p450lXj344
Y0xIHkEXGekZy+D8vfTlbJw2hqfoLvlrVd6oosHMNLlFcIMQe5hDNNTWbpRG9zAXQ6HOiJMzs1Mo
GfHtAOEp7ndyJtH2zpfKaZ/wULvZ+cKSems1LAP3FcXIeefBBmDH4xjNfNJ2Rnw7ljkZyLQ/IO+b
svBq5GpEz3w03JVubqiNym852bJLPEkcW11NcQvggLMwcnwaYF5yXFmZyC60rfWlVaPi2WnTTPKw
V/hD2fDWVr4PGrUOH2LTAMrUODB2wszsCYuNpAsNKnRraEUQwrKMqn+bre1xtWTWeDYpR9QnJtHg
Q5iXlUSMazlKRVNOmmxfF0YTxUaLAZV9bUZ9zG4ah1fUi55f0DVvrDppbzPI6BvpSDrDqeHM/Se3
V4a3Ia2Cb5V2pdhBajIeC13l10FqZkPI7p8WhZwz8Uj8yvRVk3VNMOis9JVnTw7OiDiZP7HqpWVk
tjVHTDP2ViNsqEECQJk5uTE9ts2XTlgreFW/d7/E9QzjsXXIVS7sIn7gDK9eWkviqZ9dNrVNRupA
ZLvNku7rAUficesWqI+hXyYXDiGBMJJEnH9jW1bx9LJVX1t2htFlVm7JyY/zkU3DiJ1u5Bmr/+RU
hcCEq4AZRFVf0G9Svhhv2sDN1+Mgs0oTG1TacgJM2USENaQhPzLqpvnUIJKI96UU5/mgrXU3TV5O
piGHdue4X2HTgMpSHtvCxGNDvQbFuG9RHF05cK26p6Kl9R0uKrElbDHfIxzM80BCtzL3znQ+Ir/E
7D0Zeya3KGUKZMuEWverFpq/68uuNWAAzka6Xxx9mbsuJ7GsVyaNewdcXeXHcEjHOW6+5n4/fR1r
YJCAUjv2KEW7pE/xFIwjYEEnmEEgFEm7n/1yglFY2QIIWdYu7TEHwiUPuzpr7+2+rl+oJKzfqsUw
r0Uptjkn69xlt8DsZuTPPeeBkbBGsqqntO8hd3gkVeTABqqwSHvru6OdkW1YCfJtF/O6boZgcb6m
RbzsKZGfFV7lR8Gm5mbyLBdgi7M7hf20TJ/kkC6kA/SuvLX5gdOJOTvwOQazHp/S0bUTwgyM4CnV
A+c/pIAEdwXpui7ARR2+TShsMaHqaeuf2gAL4O2vbv55Gjxo1WJNpdo1LOOXcQmzYKe7cry1DXwY
YZxJNR5LEZcPbsz9If9BBJkDdUyOjWSCSNEbmv0r5+yMSo07JZ+MZTLvJ9fg6yhRg1tRSrnEv5HZ
CKyzXJqPqirpnMaOlbB9nVyHNa4uyYFe4Tj8sw/9R5vDy/S5Ixbz+3Botnzlz7yeYOmM3cs/Lh+b
/h+cEr89DjghD/+f/xsNmmyv/vd7yePHpwM/J3/9732kJf9ChIymS2DCREi7tWT/tmD6fyEBp7Tv
QIQHEcAu7l+7SPsvXEHI90xw03LjCPxrE2mwK91anIhT2T39UJj8yTbydZeGhje9LmzgAWRWdqTo
VV5vInuCUvHceGETB/UtPAn/cqrt9h1ryUEZ2oSEYPIA0OJjGkX7fVjfb7yF+owIfasB0NdWWzgi
IpQmibv9T0+dvc2i6upnB+Dr20HpvV0Jq7XLXW3arq3y/1P9108TkrIcAj2SNt7ZmRyoYqFx+v1F
3rgdGpK8LmTltNEP8yCU48OYRszhpF57ooJaXfdLt229WfTeaQDheeM3/s9dPnckaZ7RI3BQWQeo
EQ92+bGA3a+cfC9i5i62adAlYQ2X8OTaGczrLoZrmEBO6t19oSYxngfSj3vi2VexEdvcsoqgVg/2
RsLq29BXQ1vAgtiKHtTb6vU2GFNT7MFFQv3NgOPZVyrp8+tcC7ujiy/Uc2vFgdo7zkimn1F7MB2d
mOKV0nNlXRmEYqi9rVr3e8rx2glhNJfTkagn53u6poYX8SNIoV44whZUdgzrmzSoVe/pzNQYYjWz
dJQ3ReCfxZkH82m0RaevIAq5d+Mw8bOpHeRNGFglyOCuG7xnAuu9IppQ42VE+wZFEOW5t9D9NqeH
pN8C2jhPAFHtCmoyIWjObQr3RHk20WDVRyjm+pcq12W8L8x5oQID3nDWZfm9LFLnsq1zDW8aWM/H
eUZJe5QrW03cuKTKE/Sp8+CXNXlzK6qep35svbtYlvldDDEMrpeMOYpRRmczVgZlNj74GBltkwZr
OTyUvh6vVx+8GuiuvPmKeosKfceGObQHnV2Qu+cTCCS9FZY9EtCHji/yqerT9ImvZnxMFmK9w2yt
XRHFkDcmzP12/+gB/YECaPFmTAMAVFiosgS5x9kKXM7Q6i9kq1nOcekvSx+tnvC/KFGJK1v0AZAu
NQEKsAXNS0oI+f1s+0sbiny+XhtNh2Qdh/y2GjE7ExVQys/WNBsGnYilfUqDYCBEoNCf29zAl5K6
S/rsiLy/BWVq0zpfYKB1OYQ4yJVugZ9uVfOFT41Z7Swmnj5Mmtl8gfSbPU+qBliwZXTR5586dWMr
ux3ZXgOIDjvHh3EZV5l1Bu0PEBTB8MbFtm8zo5zTkxVByotRTpZOdTOY7DhAG3dbvlq3sL5aNeVP
kMFrud7Mq1YfqtKavubaS55UNyvvow9d4GF0kQdykkuqKupazoKk1JO4gvbF1NsJD5Tofmpzl3CL
oUNzNmdW89y3Pb0JnXrjg9WU9RjanhbPANQrHbVuUqwhKzqnpIGGD9vSzMivjNWcJBs8F+tJgbj1
I9SGBJQo24kowMxfU/vtS+r2YHO/4lSU206K0OJwFk5eMFMj+2Kj443FHsBZ843evekASHeyhNKV
oSXhDmN912XTepcz4we7znSTb6MsdEDxK/G+lKJ1b2w2wzKqCy/Otl+GLWXVBd0NGh/HPl9iLPko
fNCr74vZZPybDTKGXbPi4yZyp6RBBbj7mZ10+WFpxqzeAdBh3ATs5WdM76aXc+YXm+7dxZwGLHye
HtZSQ/PTfH/PMwPoo8jshzqIeVv5MOqrHj7niz9xQg7Hlh5EFCcV6VcBAql9zsKAeqcxKyBndTYa
9J9m+bljyoRSafg6dEZBVZMJpytPAzeuHtFLkzfVuyJmRClsQEeq7lUdiVhUaC2SJivDGLCEDPtC
LJc1inxuUxowrIiOuoMhy1+wTFpL25w2k8apEvF9tRgqMyznrRLo9gD809iATEZ+Vb9Pi6W4ARxW
FHtb1vqj4gaweuQgI5FaE5vWFXZOzr2iL8omU8cQo+tsPmLn78B7WfzcP54g1c5UA2yhQzed3HN8
m/qLVQHQjKwy5XdCgYQapWkGPIBxUecfnNgyQFqaNQe7tKGrIYuZDpXpQJYGMkVdnwZb1+zSlOrL
3AK8jsArON+9ON5Ngj7t6HdiP1leBdFbz2ZA1bR1PnRTCeA1Xrv0WTJa09CzxyDdFYlflDCsRjFR
xNRjCV8+SL4UjUqXs7ly1As2VQe6uZNNH2RRZtAHgR3bkW8O8+3oSgIssBq1yx7kmCtP8go0Nu2C
OkipMbDnjXJr6p/jiXSIKDFHUcINbph8e2OwToJK2UGY6ipt2U13kmM0SO6w96igJqlhvtCT2tjZ
mG5hZIHQEj6e6pD9D5VSag/ixFjt9jSXlR9EreUmF1OXOOEoYnm+jE7xycyL4Mlone6r5c8FDH+j
Vz279UFdOqXfXw3CbMRxYKl62m8yAhE5nEbTXdkV6Z3hNeaTrtP5o7TY4Ees7kZ+XPdD+qGsYiyj
crG754b+2r1KpgVBsDYARcRTS4+1zYiqiEbXa59M5rZ9MfqQhUc7rp8qXeibugMDK8vO+sCy4F31
TWdq8IY2fTmP6hU/fwFVlkw2gSFswk9yX/vXi3a3ca46Fpk2cypUFV7Vf4r7kvJ96czLUWcL71tO
Cd2NSOx2rZ0HbIxl12P+CqXVdGf4PWlKKtczVbRok9WnwxoxR4OVdKcDg++p5WlgGyRZqAinTQHr
2SkqtlJ16a4KNviZVYFpTcbeBJIGBzWcQJzfqsnzHlNq25iR1klfNhLhCXBje3D2QPjKU9be/rhE
jFZFJm2He8am9VgHLSWolSoliQLjkgMItiaGE5hnXJOIKYcvIHHhu1IiYgbAQEmPtQrkfO3JQZYX
NfEirCn2ksmoaYP2C3UYPlNvrYubBXPY98QUwPxYKBhHfH0qArWefrWH7fvIpBjdnYVIku4lrPd7
LFfpVzfrYRquk2Oc0JBzcEqUlH+MTVsaYY4BLU9Th9VBIyu6w0crh8isvFGGBZxQD/73PDZH3jLa
JaWEhfvS7CYpV66qu1g6AUm4NATNWqYz0+KZDgOr8n4CXJ9YlNoo7lXAtvMbq5XFdN5bLR08RMmO
vLG9FrKmafe8O8Ec1bORUwWQVVSmT9RtYH6uhhXiMAXISKVhqzhOSTpH2rT9/LyahHZPu4R5i4FT
W2I/6HT6kFF9ro+hHArjfF4Cqkszed9D5Ldq1SGymu5Tk7LvDDP+FyJJ8maAmE0s6d4v/Q40mT3n
+7l0Ob4vDlWmECYvb15adMSowNoujHrbPMuMlm6shryVRjIfE3EtMr44FhLDvrF7e1BH9ZQtXdjP
0OM+DJRrOMmjSuxDc7X9C5pdm9FscDN3l+FulVeJ10DXWuaejd04W25xVbYuxdiMsNTQYV0sdrkh
vGRHVMX0rbNlzA4yGWY/lIMY7DCRZQZ9ggCZKhyJ2qICEuDIjCinTWfoIvpvIwjbNHTcmgZlrqAo
RFYnWXBU36G7A8U2wRFH3tmT3swcbNaLeaqLwuh2JTJkNAcJXPSbdUaRdIlHMAv2QR+L4AjtxXRS
TGXi0481GhDKxYQHOrTIEH3yNIzCvb125EXERWD3K3umPhPX6VDYR2Ng2OtpuUw5HwaZeTsiV/CO
ioBksm6fj+ZQHqVxjOejGO1JnsSuGuJm16ugGiNPwHjegX0e3UcrYfsfxjGHENZlU1XuU994YiaY
l+ikKcJhGMjL1pcGv1dcNA9WnJG7A/4wMz/Hup6bxzTNgvbDRuL0PjQ2IgF2Foo1mH2dm7/8OKj9
n6hLkAZ0O3QvLwOFif8HqhGcOn86s244qn9ipjbe1X/9j8vHb4/qsX9+7F41t7b/6e+ihGP+BdoA
vZa3HcxxYyJc+rsoIcVfnGs3YxRpbiaODk6/P3Gh+Lucqjd4CdO8pFrwz96WYTt/sTfnY8Ywh5Ad
Nuq/X5bwMUlgjd9+BaZ29vy/sOmamNCthBDjKSnmU45MdSgV/fWfHsob1YLt7PzT2Rq1DdWXLQiV
00iw3fNBtYCStDX3G/PJac8Ts72bxukeOR5ODhaSTvZ/Fiq3QWbw9HFFnjeqf6xBry84i3Lhg5jp
SRFseZ1gaz4OPG28UzQ4KIKgg6XLyD2Z+KtoRh5iIDOkTFhQwVtiyexJH+jtY9kL+Y7ydqsMvXp4
lHJoZIrNvAdM74cB/6dSCycZv7C6qqckOkuArB0VfHWUy/QCtgpYoOx5BL7wzq1tD+j1RWl44jth
bNhoNw8d4suq1ACFAlOci5XJoiF+5DXwZR3DXi5q03vPA3pQ6uFRCnCEXAlnCD6U7WP4uZ7kLQvA
D7cdSH7wHryYtiWXYxen8uGdsfjrS0NpuxXgQO3Q3PK2P//pccYEhtpZNg9R5STz2bLSf7Gb8c+y
fxmAYE1sJKeC/D8b7eFBuW9CaeSmgMujpE3a/Cxb2thgMLb9ezWyXz4tGw8/37BJXjzes8ORnkm2
TGsScNAokEePOs/Jq6mJqIhTcQSh2/7eD0N58vvv+Y23RSgs9UX8PExGh1Ql04td8mDQSg0Infau
rOYjRPb0q9vmPevV4esiN5QPbOOLbPJ69KavXxeGLHfUrRBRpulF4gMTKOzj9xidB8N9k43iKEFA
zwyIufjQS07FzFSBvQKnJObkBLj31uq8KO/L2LLe0US/cSkCm9HMsmnFhxoczIXOalbNPDdFZI4w
3ZPA4X0F3hnntvq0zZPinVf11uWoXuPH5IVRqz0Y7m2vpd+iNqXi4zqguKnSpZwJ2uJ8KuCBRlQr
4CL/fngcvDOeJuVaBgbVVBtw5aF1XNAn6SGa55GnXVq7MrjNW6f/4xuzeYD4EnmIGFsPX1liqbZ3
+pqLzLo/VWYpTwFLZvsEpM9+1uI9g8dbN7VNTO6P0jdL8+uBKP1tui+Rb/K5p1jGG86NgTL+jbuC
9sgJD6c2g/6grk4vOl0ay6fTmnPCiyuj2NUcoKKalnJkUifa//GrYgVjKPK+MFke3pUnjZEgBQb+
GpdZxKSZ7wuLAsifXoVXxPaCf7Z9gH/w7AKCJiZncfOobVJ3N0w9GJgRS8fvr3IwKzHsGGtsNfAy
WhaNnoOrYCroU+LKisjvYNfZ/Ou+x5ETDkLE79zQW5dCZm4HbNI2kMDhpWyLAApOESSnFC5aaTnf
9hYil4Cz7p85s37cFU+O0y1fE22kgw+YU85Y0HEvoDuqT80Yz+dTigivgVnzx2MBCdYPQT+GX5aw
g5uKTWtIUdqUrIyKquLkjvjr0tr7N26IWR3yF3vc7bZef0iJQFg99AWk88zoL2FXrtaVTR1SXeGS
eo8N/utXyw53W+ZZ6DdK0TY9/rTa6wxza+flyBWK3kR/nU6XZq3809+PvDeuAvUVWgYccrCnh5C5
0jC1s/CJRrprun3Wr0RaFd47w/vNi9ChZP/MSIdm9/pW0gnhTGxxEWOsCKMgr+2aHpN+xyf7xsj+
G2z+z6scvB27UdT5kTmRmaOTEwoqAvkO5JrC1t7t75/ar5dCS+sC5jJpuZnsyl7fkKONeWknwtWJ
QUIaxlKY73Lbye4LTMnvvKE3roV/Gxc5OiqOW+JgXg3yPLe1xGrrO5k8zz2vuhhQ9z5yipDvzA2/
vids29vaZLM54VoHT1DH+BqXmkvVzKt7pyMRgsSS91KCf13XN+oB8zZASs5w4mA0VJmnIeAg1wJQ
oaZL1Eb1Q6EIsTifkMw1UW4bhf/OCPz1mhw/6JGynXCwAR8yWJGQl3gYFSVxS4gwJgJrZ+RoP4re
ZqsuOuudfYS1vZWfTiHMfRskkMKKRzw3J5GDEVLzdqiE0M4kwRGhOvLdQB27YDqRaKBf/GxoN8iP
XebDLlymoV/2C/7xLzaE94eB5Cc3irORgFrKYLRq3SAZr+WI/whpRz4XW5RLbxwhLHPPVynUO4yZ
X4ccID+2yduhl2qpefDLd4h3lCVYjvRaomIpyBaESYWD+8koYkLk/vRj4lvidG39iM7mkb3+mHo4
dnOHqy/SmTcsR2Xu2HedbIcu6nBXJu9c7Y2RgPiWLAlEFbTOD7cNdpyimyxZ/yRNSESKCWr1aipy
xfnNIS06EfN7M/m2+hyMBYuMAXPrz6Og8MTrGzSVuyZGTgpbH5iwK92XZTXLKDeTXdoSsSOlvv39
E33rHvl6AXuwYUFQcXDB0ZR03lqWw1TPBkIocR/M6WVLJFOUF4Si/f5qb4wWHiY1IjBIkDY2SvjP
C5UoqOYbJA5GhJqYtMWHvkF71OanmUzFO3CCt661LYcOn49wOd2/vpbfOJ1eNClb+GrnfeLWxnlJ
mMwZjeJ1//vbeuOtbeoZnh7Kig0i8vpSVUJqITIJtBEBmnuq5d4dqkBzX8Pto3VXZXuwJeqdNezX
N+dTT0Nts32A27f3+qK1b48reFe+Berel/2KAMGhtXwKnNBC3yDl0Z/epL+pw13uNICIeTgvGrBf
2sRnizbqWR/7U50inEu78aJINLV1wis/EDLu7H5/1V/fIs5LQAjoD5E1IXR/fZc9ybm1N3LVTq/F
8dqykLV5W0ZIZN8bnD4/6vW3x/wFEVuyxYFlcfhAqY17xVRhk8rsapzCdZHlB2C55KoIaDSfizUv
bvOelMYwXcbxPWDAr2OIQgPjFSbij/rQwY0WWDfIMc5hOKNKuayL0olaApdzkpJ0dmU4RfYpdkps
qL9/vr+s42SuQMx1+P6B4DDzvH6+5AkvS1VnrHZBGUDAUcVFADzrne/+raswh0qUYQB60a29vsqK
PmsxCeKO7NKBPJEDx0Q9Or4zQn8ZK5S8+BC2Jwh1lLX09VVIh+wmy2HvaHWQJLYNGZ1n1K9pggb/
94/tzUtRTdmwTMGWWvP6UvgKkfQ7Y8kNaffEdod5J028AEgy5uPfX+qNZ8cGy2EVguCApXH78582
96WV+l5qI2KfkY+H2EmTagfQlbT0f+M6NuUhhj/VrsNtiLbJAiyrlYNRjwUIzXNSfHV9Y3wPE/fL
QN/eEqUTznnMyuyyXt8Pgo4OVqKDZre10ybs/Xgi86sJOhyHlnE614YN99Je3iMpvvkcmfdIUaE9
D0Li9XVzkTlQuVGadQ7hmqg8Msytwk7/ncfIfmg79AH6C7aR89PrUt2adZ6riVR3xUg0YZNONSFb
VfPOsPhR+nk1XfEcsf3zMXnEbni/3I+X1/WICCmSGA79Ze8m6hM51PR2neK0NsVJk1K8qbDn+K0/
HiNzs9/5CN56oj/9BoeRVEEx44sBZxjp0XCnyB/d6n6Uq/Pxzwfmz5c5WOiQisxLz8cVTWKeL8vA
vxNlPb1Tknr7XrbpA1D9tvt//drsCQSXjre91qLAI/qmoq+KOtt857W9NfqhCcCKAHkN3eDgZqou
nfKxtcvIyVo31HK2PvbS1lSl2PGh4/La+MJKqvcOGW/enkXTwfLY7f2CKESKUgdmzWXp1dKFTVbU
D4Uaxc3vX9Vb06JAw8CRhrYKmsvXT9GdFoOKJfs7AE24n+tFHi3eQJlF4rlf/nhR4WPesmO22jkH
64NFxU5HOWmHezIadHVrnSAHFmlHavfvb+rXZ8d12ERyiIdmzzr5+qYc0VijhKGL6N7PcXNPUh07
c5e+s5/79dlxcsfQajIn2mCtDy7j1bNsbInJV/QLwZ1rv+ymBF0wkeblO3e0DebXU8cPqfhWpRRU
EX+E2vw0RxHEPRkuR8koQbZ6lNVGe9x0S3mdoLhBQFX2f0jzQPLD6R3pMVwdjtS2fzD3Zk7jLLYx
btntdp5dNwXyEowyAsIde4ZuuEGlYN5X3hAQyNl4hf3Zy5bRO2XPYDS3v3+dvzxnD6Ie5RjLpFRC
G+TgOXeVnSVNPc1R7rXGUQrm/tikmHGTCFwvv78Uw+TgSft8bpu6nsY366o83DTHbVXFREfjLKyx
wW0WfWMKrr1FQiwBcGhmCER83Y5uuEoDWkfEyXddr7sp8YdjHPI1wUKUYT+1+Zynj9nSd9UuLVEe
hv1aO1cFJ62PDj1F5yzHHNaHXaOtGSuxJx5klg/u+dyWpG22nXDnyO7mVt0ZrE8/uiP4Tqh/rmz3
xN4eJCTcEMkJVr8Qa6fJqwlmGx0laM2m+xgHswSaPeDNiT+XZhGcIPmS0B5UBiHiSeITAoXGKuXr
BrUMUeqQQ+pFIERLLa8RT7G9lB5CIfRj1c2S5IZH6AyCFjRxFjx6KnBB5/XleQ22u96Pg+VmXaih
gYnLPs1icnVxfiWYkcRieBfllMeq2AdBB/OCMHgwRirys3WEhE4y/HzmOX4RA2URRAcIEqFTKnwJ
JBQScecJZo1CmYiYzFzL7F7MIpFY9dMldj96BKcDvIi7yvlQjzoAObO4oj8deMF2NCw1YCi3kYvJ
rctqo97VQdYey2V0g6t8BehK6jIGeCS4bbtc67UrjDuDsMb+PEbpO33yARo7Oyu1TAxwSYXWdl7X
6qW14+WFLHXDvhCA2ypSLFN4HC35vOulKwHKn9pdpcdTtSEq93j5K/chcxNrQwpq1488Fatvkk0V
aIhV5Wh5shYx47nQs0rVjmJgkt4bMontUDEp1+EkZbc8V4ugmx9ilkyyr3xtebyLW6ciBCIu4GFa
TuOjLs0xpn4pZwtMlaiqzn0k1RUjZIj7vkyycMELqvZ51ftAMZJuNtGqDuD9cDP27nVFtrzel2tr
cj+6Cr53KMhfurogGdj03FKdCDAQBRvCxkv2OvdiibjWNK57DqR52PQ6nT+JsYutqOilU+7sZXK6
lxaq2hcM7z0Gd5ffLVztBuvh2qZVe9Tllb4wF7fMQ8p55nrfETYx/EDdbX4+3GjIX9m8hFaXpw92
Z4PzsPraQb4LarrdjRQZx2hOVK32haxMxvaae2KXmLN4tqYSRTV5yUaFxloZKKWDOfMZh3V23RP3
+4xCLk/hMiyrONa5MX8KYty7p4456n6fwJQgIFz2tYzyvnLcHUrD1jmqGtN+gUUBgsaHlz4drxzE
sUBY64w0V+fDF4/YPXmpFp8LL6uLUgwJCJ7tShlLve/y2vrUaJjyu1rWgT7zGoczV5cQdXvmx4u5
HJH9oZ51zTFlb5e2qEiFdIevMMGc4S5lMzxGHSABTry5yy6IAnB725NBvFx6aCeHqNXJnFB7XYcA
osvUevlVgyO8P6qc3FnCovQTkxzeqYwvkyb2RaQI0ezPshZaBPSRTHxac2NN7tfUxeaI7C1bwjLF
UnGUDZa8Y+JP7ptgjj8yd9s5GWeum90ZVVMx3fituZ5o5szvnSmHL86EzPGcokH2JZj6FHu4CdAM
ogoCvB178NjYmWNevpgYO+6SiUY1wmKJt9VR9kTAdcCIjfQc1+7XqZ5S84ZsJqu/x9RmfjQ7Y7i2
VovikTYCuZ4zD1XX0+qMxalRNkF94sQd0DRqQe1tM0x5EdWl4X+fFnxPp8tAogEmTOATF01imV+M
xHTUcbNkBSnE46RehLYsTNJ+T/xxGbTOuBuqDFdpwo7RB82NfPdCVTqwzqQ2nXs3MXs3NEZpP0Ci
J8qX/X5itHzss5+eLcr0z61lKdcL8CQV1BCkmwbACSXqCLW8xhAfo9PToa578QFPYUL4cduXyNPz
FRM1PhI9PsW089vLvqw9crjGZBJ75hIPoJhXLjNi6Wy9KVZKal87sze/+m6s8jvETrl1XvQGumvA
SEz5iERFHwWjNeD2H3PUyswlk32E1LkhZGuJVxTBykg3yg0h0eqhsOb8qZla+94Fo4av2jJKZBCE
kjM3pKwB3R6S09RSjxGq/RgbRV9+KnLRBfcqb1J17BV8rgBOOYqEZS3sj8JeTay2WSyzc6xGAgNL
ArA5Mk0dZzsPKTaIaNAg+LbxiFbXmDma4t7FUGsfY//x1wtPIRi7S4aGGq9GGE9gMmnZ5S6nTegz
ELMOcXLSaXwYpJuZx93CKP9iFGPiRhle7TNpqFmfypWXtw/8FF42ghxCY4KgXnJ88vNaf+/o9pM7
NE7lo0487wXrrt89z2i5kT5NSAn2qVHn5PmtRssmoSld5zPTRiE6fFiFGdwwW/X9SV0KNZ81fKOC
wJkhw34xzoOJnVwVXXxvt26b3hr+SGQvgB98r6k5+93x1uefPuaWbJLbkjgMeWrVVsOQLv1RgjSY
vKr85JvEOAFzSPyRUbJmaQ0HGO7MGVrxoDhRSgLQmVZfLjEhFlnb3VfGkA15FAxrGUz4c1BSfx0C
uvqPzkAa1Md0ImrsWcz+zCeUxolz1ZbKf5F1TDyjNoPBOUuRbaQh3pxlPV3cCadwXDMtH8fkqkCZ
nl2fJxxV9Zy2n9kZtQzjxqgm7wRLkCU/yXwxreuupJZ4T/hGr25nnvR4vEytLq47ubbWEe3FZDoG
KyQSOABjca+JLFs+LpOoDCxCZdY+0W0dEGrnixxPndRuTRBwoEIjbCPeTFXJE2dOny79Q5Os1ORs
Kyu7EGj2eg72R/snlZdRPJ+toGqjrJ8szAM50ISTbsEbtYNEZDWbzU8zBTWadx6h4ebDDDEoVMZX
YBlwmqykVfrIgG/kXEg71d4R58rCuswtkGDIfRE8h+1kZvYRMhQExKVa7fmD6o3c/jy5wrgi3632
LibaucNzg1JYX0m1YM6OvFxa/W1iox8Jy17bw9GA1cD6QPZB5h+bgwTuPZhm/9mLta5Qx8GOKMhp
MUZnz/JERRSKUi2NKI/dBT/IoBPffIRepI2HtlZQH6ylXO5+bKb/v/z2PzzeGxK6n84Wb0hwi8fl
8R/nQGaK//Hf/nufb//FxIIy9x//5R8n+IXLx/Qfp31xGN76r5/9v+zD7l8UetHT0rQjymTrqP6t
1IUo+BdlCVi8aEo4qfyk1EXES3g7J3rsYtupyeVY/0+hLn+E7mDrkW1Chx9Umx+puaTafvj7xEkg
Lp7t//zvn/22r09LP9A3ltwgr5Rg8BAeHoGXIMfRVJndnQu80Pmf7J3ZcttYuqVfpaJv+goZmIfL
A4KkKJKarNE3CMmWMAMbGzOeq9+gX6w/0M4sS8dlR3bEiTgVcarqonKwSGHce/1rfatW94UJUKKx
g0rtAqYSm6wQ27SafjMp0k7+un9uiL998GmH75qwUd2PDE0ceXrd4si/E/G0luT2WtO8S7wMHDGU
D4oE18pA3HWa+2Md8S5KenAaVQNJpjBYf2NvAy8RNGaDad/e6HHxOcWXQ+XXWan3N6lU17BEgkgV
u6EWV0P1ohXWdmKRD5P5usiz20q8xG6zseviYBIMbAr7Ftj60bMJLHjWvM5G+kZLXEXzuDVS+8nh
EeajJ9yqrepQ561KPxzSl9gUW7XJLzyGFJOZPBuR1e166QLUyteRFE84FO5wkOyoWg7yJPkak56m
/eHaluNNz/PS52XorVLpXgy5c5vI6Wb5kU0rd7BT0D6UYZdJ93Lw+tBn3BwvS8RACU1K0zlYWQMw
xwp4UJynuhm0um2usQccSpBqk+jlrhzKs1JJv8ZxRxI2G8ytM4hHLwzXwpg/j1PLajdW4g2EiA1o
kzUGhDsAqlejWdZwreDPtKZ90dX9QLwwC7QwC5ZktZ/UduDkzbkAQFKSydFcZW0jm5gJVDm7C364
9b5ftu8u0/cSwulyYYqBl4yRBtfqxwqIuqkhIFGpd6e6TQDUYR9bzcYjM1Qn1vUUdqlv2MOlnia3
vR3tYy9fmzQvZrlDHQUVf7Fg0bjsK8fQn5PmMcrH+7zleFViGyvWmR62QQoDPdb6wErMM6fQr+dW
bBcS41QbBescuJp2fVWF433RMIiOOe2pfTAsSUaiCwyigF007lEfVspAkHM5OzNXcVWlgeyZphGY
vEGi45y5xjoB+MUiqcdda20zKkNNpH+H1RwT4APeSpIYSvF5ALNRdBbPdhgw3SSeckuez30GNMU6
64zo2iO8WejOIc3Hy8gYL0Vdf/KoeCGNsofPckcd2RmTtzviuLyCczJDxZXDbTLG5gUQp41jjsc+
+kKWILCL4ioSfNe4XFFvFZAZXwut3Rh5QSFEd84FeoC7+FuZapEMPzwHdA2DE/gEZjtYT95LfT2D
qQJoTHMnVe+WiOptquZrF4vJ1MlHJoFihbxymYzWWrTpsUXqoHLpJuy3lVmuQmu8xAK9lXWKad1b
Y8HaiLTydaEfhQVirxRXdqjcIhUESe4cBEzbzrADlckihUrjXtKPaY3W1nT6YzGWu8nq6XAe1o1o
H0KehE1YUPdlbkvut9SZ9knWr4RdbcNcnocj3FKZvjC1OQwkecAipkFdDvcSOKroDL4RQYSkWNtN
F2Rtu8GuuDUiHlYjKTxV37AxWdXMzpRxOfTiqu/Ls8nqjsLrmTzZ3MPZ2uEpRBZ51YrmGBn9ZWF0
Aasbv3DGvS7ntRI3m1Qb0Oj1bcnKiEhfsarpYuGWCKrKu4jre9PuL0OqSavsK2lbf7ZYTICoU90v
UudX0JVzTsJ514gz9jFXKTAZv63snTB48ofK1a/vZOO9EvrtTqaxCCclA18Hb/n7Ew4igHV1Ipo7
jvWREFygRRagTXYnZnm26DfeADM/jK4JNl8Jx1srdGu3ShcoI4eRi4OV95OZFmuP4a0f59WZmO3N
bMjFKk7yyVw1Q3bhFl0wVt1DQykRouddHSZflrtE576NeOxLpifh5O3syr2QnvcbFfJnv6OxDF2Z
eOq4sRd9+we116TvwiGQ3d7FoLdXBp856F3A4pOYHTuiXx9R7WfPxqV9iQGYtQw5Pt5CpBTR43mV
mlV7bhXVxvGdwGgF+tS+ra270Bn2yDcHqK2rEQqN2rGC1/oQbmFYrn/9ZeyP9zOVz8sv7J5oIQxr
P+jOJNwjxxj64W6w0Q8hRyuejljEm6wu7UPvUkspWGXk5lY65lkvxNnQWithWZuC+0ml0t2u7Iu0
NS7afCEAh+dx5xzATj2OZXmVoq7VPFH1vtxVXneEr3aFm/YqseSDOUf7vrZWZaLfgYK+sVt+Taps
HoouvTCUkZp04yBrexOl0deiqLfAsAIAkkc1t8B1Jq8Nb23dHi+blA9hCVS45adskrBECZ/7k0OV
E5LOPZOs0a9D8RQVxjWbH+krOc95XbltVPuAsLkXeTH85iQvV8yPj0l2DNiFSOtgNKQ27eP0W2ih
mcQxh9VWjDPJW9wAKXU6df8Fq/1/iQr6b4j94TnzwxX8n1b5q//7f9rXf3z93zvMM/L1Xdhu+YPf
SZL6H8yVqbBgWEROCuMv/+jbGl5xSc2dhlV4dHE9sa/4K26nqX/gqdJVCEC4vcii8af+XMSzhmdE
Q7qL5T8RG7A9Hxbtv1rEE0t4d3nQVgL6Bw4+rkZyK7z9PzwCYK1C8agnmFlh1N6OYQRfY9XBGelu
m5Z5C3AxYSvyyVbTMvlMh2um3zRRp09yxzK5B/6dCkOJ3K9jDfgw3MRCWNXXuQtZYB95Xih3M8VB
bM/jWigHNsPyExZAh8V26JVXvd674Jf7/EUtw/jBjZ0QvAvCmrfrEpi+vpUOc7zipRlNvkBbffNa
eN6Q/uq49BtiLSIwMwDoh8wshhHii9bd9pQ01D6gZEb680BEzfcGAtK03sgdvFTjdY5UCuVjybAt
4KBo2eWkCvTOSlO07FEnZd1dRMwOznhqFp+tmJxw6LethzAVt8P0xshXv0bqh/U6u1382ayV0vRN
WBkHmM2hwNfZ8n3DxeEbsWS3rf4wINvWAczOTA0oa7FmsDiAmP22oZpz5bRup93rFOyIQyIMotM+
8RuKpbTKKdyNTZ1MtzLzaHjoktTM9lPGUn+ttoZ5n/PCIJKhRRRpSkHT5WqILDHApc2GeIeLSWmP
hqvU7QuSaeo8GhS8Nb6oCRKvQGCwgrSqLoZ1YvcTIEWNFc/aMEprpmROZg1gACOb/BTYHxMxWh9L
uBFa/TV0oo7QCXgG4L/hAK250aILz24y5hO5AZlH0Yz2lkB3sQxj7TpbCWBq84ViptMty8ewCMJx
VM0vDqsak1ddX7k+HfDRsgiPpb2yCjzYQSeJfYOfqONmm3YNFb4zHr3Jd9ou5ZhbGj+Y1gFI93M6
8DDN1AI3JKgX6ddq1+Y+kAjNBkDclU/SZce6cmYB6c5pdOFC98i8+2XsB5dYC8PdEDEn8GESkv/v
hs4NVzV+IheeUGtmW13jooD50CgRVAnF/TrkUKypcsshAiRljP1Gmh2TSZiUobM3TfDLG5A+3lUY
DfOzIBbUsH4L2QQNpKqhGyaMjYC4muNnV9HHG02qznMjRoXkuR0lxKKobY02Q6ey8poMI7PIWffh
c6p5M7VfXezdJ3Vr1CtXh75BNpGfUYu+eUwpGr3unTyKQJU02Wta6zls0WJIXqIxMT/RVwQaYOjl
SK68UUxfNiTC/aXXdNskTjSfcXTE25AC4Fwl8MvuFIB59/ybzpVQExlDn+7aT1mcGIfCSxc4gmYA
sdHTUm+J4edsl0cTtF0gUq9/Sg07BpmtSTFyWPMOEkUs9Det1isQONzcK7kYKxaNG6MF7KL2IWL4
iGjftFa6ybUs53xMdX6BIYlAMCDv5ks2O+pl3sCmCKba1FE3c7j7w5gixIExV9VdUzSlCU8TCTiU
TvhczCOzFJl2VFjVTEj3usYwh1V0E+b+JFHt/Jk8HhJhRNGi7ZTTkzo07Ysxgrdl6taZF7PZon6W
7lwjUmexNfg986a7WUvhmTaQHl1mfrI9ZIqivuQeDAWkOMepA1Wtims+FFh7LksmpFalOZe6OiYP
euhaXHRaW++J1Nsv1VQviIGaPweHJ57uGyArFw0Lh0+1l8W1X01OeRf1anvD9M3Yj/jRdV8BW7ip
nKTtfKeIu8ekGFzAPvDYayTnpG42RdNYT3naOlQC1cxdV5ESFtfMXcD26FExQR+q3Trk2aDWRzor
RcXMNUeaNLAvBZEHtLAwknEIdN6In7pSSNePsfDt+b0rCX8nnl2M7YmX+9LTyKW5yMzF0aJx5KmT
bnlfKxBMVvCyBzXwBlsd1n2UM220YN4eBDp0trJBPbTwRio0G6NSwWGwsIleFCOHVGxCMCKGGyry
SyaLdDo4naMQcZJp/joWsTVCnwzDC0DoPEvnZOpXSdcNV0YkAJIQR6AiS7erFIJmHMdfdGdMe3/I
GPQCo5pw2thdzahnjjpbR8ESjsP8NHS3NFzJFvR6WuPXknr2pgu7ezJSBfhMaDVE1aJI9ZiQs0e9
xdvM9Kql1sHxQTXoTGmMmt26W026n7IUuGuz0LjhSgmTxbdnfPXCapBrHa/gYxTlxm0xqsO4Ck0a
K4jeZYDbmxC4FJ4BhudZHb4UQ60LX2+M4mnIrcnZgi6dGCVYhGsZjNvdveQ09dhS2DH57eTEzPPI
bH9pm7jcdl6WV2vXS7RwXygmZVq8D4ponTInMJf/bwHtcB0RLezNniuoKYbzalI86oCURL/CsQd/
J6TfhBMCI/2yNJKiWsEDjumS47dlqkz66KwtM8MLMCwwlegKNRoAqwE79rGXQE6yZMeOk+dnswI8
OiUBA8hhL+wWhLVLo4nF5858H2hY8ey3Y45yRsWMPQQztdGPTsO+M4dX9abZMmGkq+VheibMkH/Z
MMEArV2tHepNoQ5FH2T2IsW5Zd5q2xbvZnPsQLohinnCuNPSWnmFgJ3eDjZreZ9gG79Zi4kTIhJ5
e258MwTppbWA0/ZaHhFOxaxDO1IJn+y2KJDs/HEqLA5VmedGAKIWuk+nqOFnhbktOwkCM89hNs/Q
slt+QMBgSX+JhHSGFaMC6Dwcc/06NGvtjVlEekPqzXmVAnhdgGKUvcXVkIEirmBf+zRnj3tMTvIN
o0b3hbGPC55F2OlVP7Jv5r2kzShVDFVnDnvbNyDBmvkQNXr2xTVnBWKv0dAWD28mI4tSSG/jRZQI
rHCKpRdt1TF1Lck9MwQJ3RyBRzGGdYdpdljro8m8ETiDeG5wZOCmMFrvy2B12QGyoHHPW89J91z5
4UCrwtweCQKhhOWV5RV7r3PNbsukf7yGhDN/9TTZ3KJfFkmQlLl9aeiCtRLkFJz5kWxoBXGsxnwV
njRtXxrxeMn8i6y6xXPP5aIWUeHbaYmyGmvTMPmdnaqfKOCzqvMu1oS3rZS23SeqylbNmnJ5mUOa
FX7CNWTwlIm0i5RZ5xFUjc2ztnBQjAtbm3XkYuDpEHWHusZ657RPOvjFPdPH/i4RzgCZl8nLtizm
gckWVwzL0N4RVxIrzBzwwCvtFX897JtO754UnpE1z8to2OusKSiUsUuPN/fguRVERF6X2wh1/QFq
A7dG53XKIR31BcY8TRWccH6pc1lqYjdmqvHstFJCdx1DPehbk9KfRm3cTzWdBkDNKr2BlW4qzDXb
YWkMikZhbgZHsaw953q406TpvXlTCRPYS8DHrI1xymDPmky5V2Xo9J+ttANXNLdKwksgbPVzR3OH
p2iapMJiSpS3Nc+ZT1ZLwUTglqa7Gox8RLQdRHqWK+raUQAbUdCi2Du11fNXSmHTW0ouFfUsM1rl
YWTU8RDWure3YXTLVZtrivB5l6Nlk6YZVL/N5+E8gvzHr9JFxV4bU4eVZOQqr6mwWRuIOi89bFjS
Cn3aF+J4E5mJ3EK2mYiGlk0cbTwabCDQkUS4KaIYT0oJP/vgDtQDBf0cNmoQpz1MI6+DxofAEIbF
pilquTHiurU3JLiFBQNaz66k3jEH1wYmlswLE5b7Xp1AlMz6yFZWRY26ufr7O+l/u66FBbbwr/m4
q1gmTVs8N98nXu92yssf/T7sUi2YuMRvlw0XATWHudX3YRf/BIUKn7uK1YjJOlmQv7A0wGxAWrCR
ZgdN7mRRuP7E0rCJXn4WjJsl8Xb6iX9jp3wyFf9TR3FJsjFB4PtBl2DoQq/ye2XOM/BpsevSzmrR
GOd6nskBAH4BL4odb1AlXs0LICwS6tpTo95gssOupGbPBRitQyGlW+FZUl9SJxW72I6u6OCaoIvp
N15uslbq21SC7de92z4K5y99PbLTEBo8KZpny50ZNseqR578+9fbf3SMhJ7z5Ln8hw+f+bn7R/X2
j0/tM2WQbfKl+TdAIi1S4b++ALfA+59/vOqWf/37RfeHhjJjEELRCZh4XGB/XnSwlnVgipR5aKTf
gB+YDF+/X3Wa9ofmmC58ZkhIpJCsH0as6DZLdFjDgGOBbyZR8DeuOfgsH9WZhYKA4s2dwTfFB/n+
ogOe1uex94wH1k1ZpKrmAujH2shuK1HuZK0rhwIvOv0z8ShC0iAqK7YJlxL2nakSuyI2rCFoaxy6
iAOq8aRnsC3PZFyY9Tmw91RZpbFdsqMi2NcGuF8r4yosaqun+4eAHBy/lOmZb7SYFvZNOo7ZYYqm
xfRBiWKPS1LPk4DlcBsklH55q85DZCeDlabqLidE258z1oR3xt9BDOC2uo5j22iDplVfdVuI6KBM
baetwhom/9Yb2/ohS3EYssTSnHYPVxn6yZyKxnrOp3lSL+Ya5+CZ6/UK8dlIFCIYNYOAV6pr/ZvL
/rlee2nSq7sqTRrjrKMegBBThTQHMLB3lTM7zKwtVpm8DxwWF1v6d/pu7fKmx3qbs/44A+hXAj3O
UWDQnDrkByjA6LPJQJmBRU30a6mVyh4fq822C4CovYKnVtPEQOvSHQBXU/dRQ8R5hXiNJ1z0iwkt
q0d13Xdx/Xm2k+IZK0gPF8KtqawLFY91cTQVN+TH2NgnEEWByVPEcGekWvpqRriIAxoBkiOIz+La
cQRbaBXrVO4nqhXLwzhHCk2d5RS+wi2A2583Nk7WkH0IP81VsXkNquS60XPH2hJgBizPRlduFVtj
24gWF9ZruzXbFzM1IeuKKnU+qVo6ovknOva8kAZHe+VVel+sZxrXwzPUIkf3jcJtAyodF/0rMuVL
C7UfWyfnBV6Np2RP01wVn4UDy96vcaOwkEgmgxnlCEy2VGOEJ0iRoOBKYHobbNfDjunYMAUoUCaj
t6xULnVLzgv3IYlBy3Fl7QdwOHhc1DiJd5kgjerbfcdXhd7A0dNiRdH9uqv63LfbJlNWtIxBESTD
Fl/Ns5e+GH2SAGhBPXztyVHOq8nS2xc7nMpHadhds1Y8hVIVeuZCUIU4kfcCB/dL4VQpEERoltdq
4qbOSpms5LWzhX1huKCc15lWjPSFUVkxB1Pvyj4wZVR8Veh+nFb95Oh0ceW07q0MY3Du2LtTZ5ej
vyBw4mCt9lbVag+55eQXlWnMWHU0cwRIHJWsj6qwyz4J2VgYGsjHiq3RhXu7t5oXA3ETCiEYz0eK
tym+d1ub5R/dLglaYCuNN9xBCAquGrM6w0WYmP4IJ4A2Rjvt4u2AnvM18Xpi07SEAm5spjyUFHu0
rbPqwyYShNO76I2XmULuvdcha3czriyuvaY+hCEAoW1kYGPYDbS3ZWwFq5BTEnn9BMEXK8q2ogfn
00wEaiEqNrq7CfslUsxyi1m3mc3ETTIv+ZqnJfsOaWZDtZGtcPNVJs1hLesKt/zQhwo9K0P5FkZJ
2K+UrNRRIY00+5TEzvDmOMnwFtcqDmMM69UQUMkZImWXrvboZqbzaGFNrFaSarl7mcjeWg+qk382
rbS6sis5xv48aOlbEqd6sgln3Xue7BbRwWEH2vnQk7yjjWv71WhMMd6EOCTRebkk8yVgXpwXOF7n
NYN8xQ8prm52etZlO7yMYoJ7bHnKZ9onlWuBNWe6jwrTfZQTJjO2s0id9KnQSNLAvWHy5kQDBWqt
Fyfb3BvHAg+isOVNC+Joesp7rOrnjHucHU8NJATWuUAFrKpa+sbnynlw2K7kF4bTqc6GWL/7ljUt
vxzNZph+EVmMo5Yl9J3iQ/NeNH1wy02EOhcjowzykp0TmwkKispNGIus8Pl+BtsKxD1/pjeS8rWZ
vTNvF6W9cucwMtinzXSVRVY7tausG6cyUC0k+bNG9mIIwHPat1aFd5clTh1dJn3IHoqhg7wBJTSh
uMkazwybcCwgc56b1wLXv+dTfUFHVNzO9WLVbkonSIj9i1Ve4jteUWSFrJyWsr1NXSfzCPAtwvO0
aND5SY7mvFeHznabhEupqL/yMnCIY5xkbJzfSNrWSd7GV43UbZ1kbzjNSOCtcCKk2ZM07ilVyB19
kszzk3yun6R0fA/I6tNJYo+4Podd8016p4HGWGUnSb4pa/MeyJou1l066Nl+MKf+AbUbKT/uVYwK
mabFuZ8ze/hiD0mE6B/q3G6HniYQ7X6kMFVfjd+mBHlszNdChqkaVLxgagxBffswpxPxbkIjAGsZ
OljK6COIMYAwlllElNU8lumRjj+nKIJLb6nQr6NlgjG6GcMM89tko5/rglrFXD/TTqOP8jQGGU8j
EXZoc8ZVwco9KK2xmyjaZoJSCxQaZ7DsbWKP6bU9O7Ppu0gBTcC9BqasZDQhfGcZxzTOxEPFOE1p
5Gli452mN/hwmeRUy1AnzJmy+uZp1qMbIVDR7jQDcpuUeZC2jIYqNcpfGuILNMQqGF6m8kqe5kh1
mlNbepouKQJC9yqv+/JR8EkzZWJ9xEwO71HTDW9UiNGcatTW1yIqqnI71KZ9iECVqxSpeAkyACDa
73C1/4LZ6L/dvs9k3fuvl92H5OVVJu8W3tryJ74PRh3mmA61yKysT1bEpX7k+2CU9TWOfhwQ/Ps6
+zeNkfb3pbf7Bz45b6EM4IZk9rmY//45GLUAjqg4ES2C1yyX/87SG1X249JbXZbw3DQAvPiqH9lT
7pSbOOMpW+fBgTFCgeWFK8xl4x+eRIBWV7ml9JM4oPDQXRjbaAbsRpEPzJOUgKQpN8VJYAhPYkNb
RgZq3UmEyGYR0wE2Z+qhPMkU9qJYxHphL8WPJyGji1j3AH+W2z6sknjTwCoLoTZnlRf0Li8O4N4o
I6S8EEnEopdUZIrxnC8qCgmLEb5U7WCJ705Ci3MSXSjz9PZEMY2HfNFkiraOtTPI1emtG+bFK5sB
Z0dkZXHoI+kUi7YznmQeb1F87JP4A700/SQXRWjAj6OgCaITtVmun/f4/EOEuUVIqhZNKUpMKJDm
SWoKT7ITyywkKNFU3lvYGP3deJKoqnowN91JuKpYINur5CRoyZO41S46l9NUSF7xSf4idyBvpkUT
KxtP7JqTUGYtmll2ks+KLFcO5UlUixd9bcy7pNwmDTL8aqIyUfrGSY7rUqPfR/Ui0rWLXpfqKHXZ
ScRTtNidg3bR9uZBEJ+qTpLf7HTpNj0JgaLRqJ+2hptwbt19tGiFtWYITOQnCbFxkwQ3ldtCiqaT
BZnREJZ+xOaiXdRe4kCPnzwkScBc8tI2qEoOBgzbe4PqhUfqQWQeWDnlEef9Sdo0C7o0GPaheGLo
Q/3k3bEUjpxU0X5oxsucH2Ezw0M2tUfvmbAYcJEoo5x25dgWb4h0EVqHk+YaLvLruAixNCWO1zB3
UWeLk1KbnFRbfWAmYLsRJiQhyeCZRZIbN6GVlK9lM1VfY6Udwl1vq/ZWhPRDBiw600vFpppwTfOG
jBkfmKN+lme5cRaWOcZG5hj20ZhFh1tOKFJfd3lEM/Y0WNODl/TWAnBPJnDvWlE+TKSqqpVeKxje
9ViP7po2lnITwYe9LdrRrTaCXK+xYlg6PfGoZ5ygEjKBbKVKcUHBTDJwxirOt1pq1aVVhCB5KA8v
oKAzp/o8kYxBWYRXNawhRtn9cdIwCuMBcvDAdZk2NX5Pn50b2DLLYxDxQ3leEr7pN27KD147tUf1
SozyzvSMwiBK83TI9vSazdTGqoyB86DOKBf3VbZLt6OhFm9USujGxnAM6jLUqFMeF1OBQtijKuhW
x29BT3xHedtmUgbvsdIpXfFjJlM2tuZB4zqsm5tKTtpRlp7zFOotL1YqFHhHqplUuk0YivFNRiyC
g2LOZxpq9UK5amo1oRxRW+io9BE2zOjKuvErpdIWk7KGZUBrFeU5xa+4Kmu9HfhxYElpMM7tI0AC
pP4wxMRyJrJsCbPFbCIZoHZnM7COgpk3+5GNMszVrUf80lpPZiOac+hb6ZvdyPAyRZ2j57cOQxQv
j1nOjadH8bMb6jx9fGtGcvUJJcxOYCOF0HPSZ0lz07cZDoO2ckV31dJhd0E/te1cu3aWEHeVE216
2Agmd92bTbhpZ5MKJkqOaxVbMjuJVe028pE2HHluN8PEvVOV9Ht0tXqRyJKokgtuvWTc49JU14n2
iflJs7gfOf2cNTYQmT1a3Gzo0l9cwvLOmjYbr75JdD2TQRqr8z2bN/WxICommJZ0XvWJcu46oROw
zER6OQytMV0WSptPGxqnEUoICuIubFNmNJsmnwuXZEjuXZJ/I4KyMqpINOsycsvk2lAqajy8qUni
YG4cmC95A+7+QICFvryxkeIompIkacRN9rmpOFYBeR6mH46iinsxxYRZotoS9DHRxM2RqQBLxCuj
bzW0oVli9tQtoAlMmBy2XxrrdHXH1qMzN5XMm4BVW5vthJdVT9KL1eswnxJ1XyZjqTFRSiQ3a+jq
t1Pa28VZynPrSMNQNF+VM0r71qso7aGlsWTxLkreeWqR4SSWVTbe2COAe/b+Pb4PHudDSCKOPP94
6bRtSHaHnmtsrFg9xKU1z3LYxHlpqkHnZs2VwonMV3bPI20S9NjS+9F03VbR/mRM/M+67X+xQPrV
um3Lm/D1/bJt+QN/LduAwJqgYImgYKZ3Xfxify7brKUZmYUX2jjK6QkR/6diqv8BKBzoHGsqAiik
U/5atjmLBMvf5T+ehhXN+Vvw+BOq858qPW6m5SfZ0JE0vhxzgQ8qfdqOgDKK+KiwmX0eQURhLVnk
T+QIQsaBmhTmlaVBBwxCzNHdWh8gc+1smnBfLbcrpl3WNsPvYPOLSvvxSy1YM4A9/M+2F9PvD6Ze
8se1qo/5cZ4m8anIFetJ4G3zAtsMs89kkoc7j0n4o2V1f5Pt/O14LLMRDgYSNoDY9x+dD7oS9k56
LEWqbCh1sA5QJIC56Yl61U5a/PLDpfKTtMV7+/K3j0P9Jm6hwwBzPjIgjWIE7ZunR9fMU3QYspxf
UiLen0O3qoMe3fDrrz/voz6+nO4fP4/9xY9HFg+GLTs+T9NnIFIZmR27blQSk/zlrz/pvY32+28G
5A/qFjI9svz7T4p54lXTnB2VvGyPEPCLXRpP/W/CTT+7UBbaERscfYHTffgQpUm9DoTOsXIpp5/6
VHuTdUINTNrkO4Im9UtX44CQua3/5rdjAvKfrlAd6DJbp9Pd++E4NhkMcHYhx4htGWuq0mSVkg3R
jTtb7k05dv1+zHkoF5mt3IQUpjj+/8fRhejGJWpa3Ccf7hDPkRMlJ3x+Vqlr1pvDNhpwWP36Q35y
cWombnd+UT7FtZej/8NtmFkugdcqPiZuYn3p1EnZauqcXo+M9Y66kO3Vrz/uA/TpdMloJj2bGhxr
PvQjcV9HZIGUFx1TPGt7OQrlsUr05Ir0b3jt6sr4RDF6s2XFhKjRZWqzAcSYU5o4lNPm11/lJ7cJ
t+PyX25LZqEfTm9f9txHYXRs2QgSCMnNIOT9it+AAva//UnL8NaFjANrlmfO+2PcSWTZIiTISkHP
ozEm6U56hCzIo6Vnv/6knx1eg1I8gG6GCb3rYw6wqHmSOSlhGTXRblsO5WdI+e6LSWF6uSsKOweh
qmFqc4Bl0C0ZF9mzpdBDQ79PPd/8+sv85MY1ee3w+xJKJJP04QCPlLiVwtZOO3lMwbkwPwuqK9cF
ojAbi6i4hwJe7AgvNPtff/JPLmpzibex77EtXq7Lqf/hoi5mgiK9YRwqSLtn+uS1G3YrDh1tk9yE
Whntfv1xp0fQh3cZGh1dJstoVOVF+/7zOs+MefXqB1OzUWYLmcFa6hyvMn1Uz+5xgPt1kITQHxLF
1c6UsDQeZIon8ddf4yfPq3ff4sNlxpM+dDqhL23cvNshJtRvDeXL285qaPzLD45j5lvwL+R/DC/+
zZX3k1eBqYF9XdCTPEU+wvfsEtvrMGsHQt3zedaSqNP6SP8dj+gn96z5bZDMVPTb/PnHE4uHJ1SF
0A5KqLaUOff6to1pCm+0sv1dlO5nH8UUm2ABS7Rl0Pz+nGL37RWr1w4eLjjcS/HkSMw1cbuhFNvw
MD/b0ZH98rBL9Ekns9lkBytV2Ggts8b7KZbT0TJr42LMl/wi4zp3+s35/tnNbpoEH8hQgOtD/Xv/
FV0EMbyK44FOuukw4BZea6WXX2Gfs7c0nI832JO9TZPM4U5go2IPM9Y7SlvE767/5U5+f/0zkSeo
xIRlSdN8bP/w4hY2DXjmPFGHQ+iWarAoXOtOCu86hhVFEyrFlaE25tdubsZnTt1MW8eWZHeZ3Q6/
WTD85HZcWn44ZaTADVaXH95pBryNynWtfQ+hZ8PWsDuCHhEvzkBuNCz7nqyU050txIO1JvDHJ53V
3//6XvzJuaFNhgwmXEOIoagX789NCkHaq0pnj1KJSUWbnYMeYcO1Gokh1HLKGy8Zk7Myc7xzUDLR
9YQXMZhsd/rNfXmy4Hw4N8uRwCLEwYB7/2H5hFPB6DFp78OiSb+GNvTSyBp3Gn3CQddPOL2nYmy3
USvrM1LYyRsexP7RFXVJR68x72LVtv2yN+WFO0zm726y5Sh8+HI676pl2wSYDtDx+6OE2a/gABp7
jGQRbcIdcl83TeZO78buWBfPoToTXyViGZhjH66LDpcfi/puz0Zl8Xwb/cSu7S89/ieL9Z9slqAM
oqNDEiD9h8nl/VeKzHZUQHDsW0Ewj55eM78i4iwD0bIMIVea30xeI1dd1zzH+ljRFFh5u7CvputY
Uoj6m0XKz65lvo7FLpELmqXoosj/8CoTQ5MyyTX2EQ2OXLchwCc5ahj/R9mu56oV/4+9M1mOG8m2
7a88qznS0DeDdwcAoicpsRFFagITKRJ952gcwNe/hVC+KonSFS2H1+xaVVlZZZYSEQjA/fg5e699
Z5pzfQMPT4RmU10pBrvOn2/Jr/s4dwSdFzEn62K4ppz9+BGYkZoOjI2TOuL5TtNilbsOao6CxkDD
PtviQNreY44I6L1n97ePB9fEKwb0kePaz1dOK3NQC0c7ZVXX7hkuppgMa2frWIV6XSCn/6KBgnnx
yoS1OVfT6DB5xcHJXNPXuT1hWXr9O2vLr/cCBRP3wcMfSgX7dmkpKoUh7ZKd0rpevqqYpQ7Mz2hK
IZ41u8Cg30tLl2oPRY14z7X/6xZr4ZdbVxNuhUbT7+e7oSTSRD2enVytyW4glsw7xr75059/7HWO
9OaV5Co4TTXWUO7729rJSvtGBxF9Wpy5vprRpDKvV/CRiBE4Ze+Y24LHYZeh1A8hZpvAWhsjQE5v
TGExGMtj3ZtmhhkEnNqfP9lvbj27jOp51NAACd8yC4qIMFbBB+Pu6Pup1sqr0vRQJUw64LwKqM1c
RxXmhuidpfztzAulG4M3DrhcHIqm8ea25z1x1FWpHOmxugUuaBfnTCPHqiK+FfVRWMgIYxSmNkzg
f/7Gb+SV62GJYy+qOYdynr317VfuV1zJAq9MOFZ9YbSkSGJW6iGvavdEKuGtt7UWrtF0HY+tfZJS
WFtLmbutwskCqJBArdsi8mH43986ZvvB06rletEscVm2I255YAVCHe4GRizHGfLSpiL/NRCiAz7B
/3ynTPi1KncIUASiuRYKnGrf1KcOZJghHZyj3q7vB9JzN1ySyNgJqwWYCPUqvv7z/fv1UV4v6PLI
cApBrPrml+NxwS1n2sfJ8eJNPLgtxI62Cv58kd98K95KsgUBzKzHnDcXIYYXwFVmHQmrjz6OjllG
WLPjLJg1rZgZaybK7Z8v+Gth6lDywW/iBV3X4/Xv/7AjVLkUVB3i2KM4DL1uGjdFotlbxar0d74a
h6U3iwHtKqpfWof8bnzBt174tiqGKStsklRzs9/CRmP81MVq9VmtbIZS7nlAZUfl8llvWLnQuK0j
LEcaGMrtdbKlIx+C86KgOlRlvuj77jwGW8iApz5cp2OahH0XZpVr7woHct6hXCdpQ72UL8qElup2
xsaG9n9oEJ1gojPupShyoFDYLDrqyCR0VvOFdvZh9GdPhuniQdvQQy+eRTM4Jbr9ZJC+uZo5Gn6u
gYNv33lb/ez3EFNpbRC84QKpu6J47mN9uSi1VnZh5Ro4RtK6U8GRnJ0kDD3zj0ga8ZfYq9WEl1+8
tqv9JD87UdKzK4XMveK1O3tVEpSQL2TdZzecVdXXrppwyZ79LcnZ6xIz7H+qzg4Y5eyGcThZfM3Q
s47+uNplzFLDOVOfXTSRVLNTlZv59VAUnetzolPu6Afgu4lQZmIbSKtuOi0ZYeuBOPt0On317MQR
YsqJaG1uXk3uQN8M9SEbvApzIk4fwTnoU3+2/yST7fEENwz+Ns7ZHESOfWZvQdB91oehGkPvbCLK
krhtN+3ZXKSTPDCC0MycNNDP1iMKNevVSFRxVFdnkqjyXoYGGyUulbN5qT4bmdR0ni1f67H9+HBc
5KlWwDuHuCHRFfRqMS4B2q42RGiAE0S3qkQyHCFf2cfzipGqM1y57872Kib2WK3qs+3KWh1YpRix
LNlnY1a+erTMqFSSnchGeURWjiQY5CAERZtkbtfPz0YvZoRFvCHBCwOYdzaDjWdj2LB6xIg1cZ8t
hHDMA6uep6o7G8q8ohrvmdOuNjPVwnLmWaLrN4Yw54Ox2tEoqHCmsfJET4OVYJ3qgF0iJFhtbIPu
iHsWxQnf4TwZd2WlJQ9J107EEHeT8Q2o3ypnS1rzBtyC7oRRX6cDc8yZuTeP5bI2rUBX8nTO1q1U
TeXRTQwuP2CJzILGLuSpcFuoOGPK0dkX/djm+3gUXnpME6/GIpMjvveVDhC7H/UOgH7VyednzIGY
f9qyqHSfaHdtl0rUA37jLCUR2SJOvTCul0YNNGUlwOJCM4eTCWAv3cWZQ2nu6XWLmqiejBoXqSU5
eQkEu2xgXlYGDaG5TO/KchjCdu6jih+AkFmcmfn4ZGejo/pQiRO4npbR80MZhbpFhhlfmJBQd6OK
O4pY9Cy750FmEBwTef+hoRhMUEiUGn/BTcwL/NayDSUxaS1wQMvYT2KGohFZCFU3y6yUpa9OlTih
pl4wKvIjjxv0dLCA7ThrNkauunmI7apGg9AysdzrNRPRyHWznrFcLG+sSdeLABbKCHGSGxlvFcON
7qsmTyUhH3VrApZTGzcsTBAB6POGNg9Fa1A6Fdj5XD9tXBWRQDqeVZFqbfhjZzuQWkXqPcPx1MxN
sUSus8F3WboXOQoBpAEo6/CeFxrF/pLhfjOjBl4AWRuUQPTHnxcn14/4Pd07A1u852MGEapfM6Yu
dxoiToF41B4R7kBEdYBcNt2tbTPhDwtBb8DvyTU0aJih8NwU7bCqPZu1wEa4MXxKh9zKA03WVUbj
G3akP2jVfLWUyvLJcDuWnXjUy32c1dhevUEqr05qWnMgTRu9hG1NynUWTYB17ZkSO8hmFl5ytzrY
NbOiVyw8dX0NrVikvjN58rOqjfLRgm57yZ2ydN9O3OwTP8B4E0eOequnhWIEblmNc1DGlVpvUCGY
2ca1SdX2I2PqPGS94Oi3epw6t8xsV2s5qBM76IxMv2Awvzx6qEJROHpwOH1j9EAd5pa2qL4rGhVf
Yipb2x9BxpbhbLKnBFJGxjfLlemlkVWMqGe+YbO3wMLewmRqPtNw0Z9GtZ6eJybbNrkGSvnJ4ej6
0cyEdw9rVF7FBt5ODIHYsIDEqja8dDNeMFoWSLpDFdt9vu1TqV6riYVqiIE4v4znTJYdCJI6+TVi
qLpYEBzlI0E6UIP7vpD71DOyz7o5ai/0Y6OPBRM1zBHqZN/UkRVlQbssDiM2auwLQBUax2qxpM6O
sh7f/ygXdkmiVqI4xPLdvkqV6nDPqjvWvtS1IdsgPwZGliIgxwrJQ1mHzQC099hZlnzwZGdbmzHF
Yn9QizR7QOifjyHv1dCDgsKUeprdRLlDNWBtlHYwkl2BoKYnc8vDEqDjFP2Ua/gC/KSN7A8q2FCy
espV1pNNaq8Fdum4A4DPEouyOczaBUULvXsSS/DNyVlh1bYQ/sOPUKDbwgKX9cvE9IYEpRpHKcBh
UxDgLixvPDRTXh2XjEJCY8H7kErmKy8oXugLsdcMjOJVMF0TAmOy21KjbgNTq134m3WKyN6IWdKN
vDG+mEqZtyHFEMLKFlg32XiZPT7mwk4PUu+qVeEPcDqYRk25qYqyRWiAVuKby8hsBs880ZejJ+aA
UzA1gVvFKIcbTttLBpHOKBQkbFb53NkjBGXTEWN3KWdrNg5x4dn7qi06fChAdw0WtMJ6BikWX/WL
3TzLVOQtPvwhvzZLR3mqDS8eaaUAlws7HJgwWgklagLNLMwe9UrbsuB42S3Y0OmqZJVnsEW9zqYw
9CLxRQSWEzJ1oR5VTiPLEXmdRChXW1O+w7HtDeT9NjDuYGuT4SatSDEvNdYfasKZA8VHBIWjGhhK
AR7dx2WRSDwqQzaiiAJcCzO/V3V46zya/lRkqH6TgQ76JvGW4d6uI+zMYwsHRI+ZTEHEs8RD12po
HWLHibOtcOzkc6oK+5sNdgMo9EjZQ/Mm1b/BnpDXFhNDfPk6JA3wGMK+HiOHrL+8RB3lExyAe5aI
JFQUkUsdjfpGsp2TTNqo/ujEGgWRa1gPiZImOH1s93ZZ4vl2pvl6Z2iJaR0gPHvsojzwa8BN1KQb
t59GK4iTsTn1aiZSMH90/c05n19gEPcNIjrDupu6BLI2SYCpTxuT9W/R0QfimWmiDwkjHLkFMNBH
N60l8IojyYJDQ+5f1OIyXcAvxB1GmgB/tKdt18L6UqFWaIKJPE32HhwG146cky8lpJOw9xbz0tVJ
FyZ/rk921PKsKVKCA/bh/utXiifHZRuBU1CDnL/yRa/pGIfJpEJey1h+L61hHO8WSy3bQ0buWrNv
5VxeE4Xg7FhkEBNmc2MumxhsGAMIPTFxhddm9BIlannTFLDRGziIg9/Hbo7uQC7skwbLpwy6VCnt
AAoKhsEMlKu3XcoejqJZQJqGA5DnCyXu4L1qXdugEIq6Mg9LBDWNP3sYyC+93NSh1XlmbAeVC2Qx
VIcFMMq8RNZtVYwFZEz+1DZnyzex2nRom5JMEfATnLY8QUibkbX26UzW8jhb37K5znADTlixbYff
BBWWi60kY+kMvE7G1RZpPy2fscEGFhSzWw+h1+OoqJWUdgDu2vJObUvsBVhuCvR1I43ojQp1+nOT
Su2SGTK8SHfK782+Mo4u7GURNLqcbyDquGNQj92ws6fckb7WLC3lzzzOa4ZiGe2NEZd4nXk7QxGl
FqQ5xdbOELqyqSi9jMuJm3M9OFmK+z+13Av2W5DqOFMciuukQ01n7LOxxADBhKO+aRYx3lVmrNo+
B+kFtbrMAeOY9fg4F9V8U/JQFWHl9fhloMbVVei1VW/vWV4jSr9ZI0RzyYr2xCwmUnyPRvM6fmoI
mswmc/q2cmIw6pnddLnEfJlN03XjoxGPsQIhJda/TSTW8ERPRrNt2hmnlWf00S1GohprTTfnV4yl
i1cY76oMPUT1iACtMdkoqYYXINbqCugyLjwZKg3S/71wclcLYr3tEr9uBblMtLPzEVfa1NJGxE9n
hwYxjGagDBbemiRR5wtTNQeeKIxs+TaqoiVmK4bGY7VZ/EIzy4EhaNk2zNFemR5scCkr+VONXgtt
1A+WMYOtrliPHtdxxFXSz3MKaQUZJes7vrlE16d74iFGvwP//YGQMvS/YjETeQGGqLglCsLxGIus
qkLDG+1LFNCr1jByOxmM7WwGST7ET4noVHTDTQ2z1EtQdQBjWLWL3ipjdGWVDb69ihsH3UTnCOgV
zSPHG/m6nJWQiCQxK6EKgc/TrmLJapVNzquAEtqU9rGIuDVQUVeFJXQn76EbWCS2TbdqMMezHrOx
E7SZ0ECUB1RLKDaTlqn3Vq5CztyplLs2czPu3VnpOSNb559kFelahK5qUM+KUYYaYKKKwMlWxWh5
Vo8qpVUdrbOmVFgDFTMGD7SmJVXpWvOZlNldlUA4FA3wK8io0+IFPaifLyaZEt2GrgtKVhVnyodY
EL8RiNZF65qtslcsyihgpyHlNFmvwljcX60RFGe9rKwz906cVbTaKqg9t2r+Vy/3L7rfP3StfuHA
+an4P3dfZVr8aDE+/5nvkjnDRBbn4RamtX+2kDP4+a6YM4y/SESiV7dSjJmf6cwa/xbM6fpf6Nhw
tavgnV364HSI//Y56Npf/HP4m2sgNjGLaOn+gcX4zfCO9hqSJhIbUeAZKEM0501Pz3StHBL6bECx
GjvtKeL/Izt/yT3xGjUQETo/S3ibkQgTUaM1gYXgNOapHzN0TEQNjHm8ZbpoWTf//Hn6H+eI0flt
/z2B++VJOb1U64juperTfj58+7//Qijx/4WVpvbXSvMjaBWBDtKGtbf676eEMYDLVBMlkc40hsnQ
308Jgku69eANTP4cIpBVbvf3U6KYK0HQXv+6qtkmw41/ZIc5j7X/M73kIQRBrq78g1XK7qJP+7kT
G1EPgsDWnqypijT9YcIaDFPJSPqew9BUNNaNF/VSOSjjkL1482w4CNOrSbmIaiWSgPrdRfF2qmMN
cwyJXuvnxx9u5W+GmT+3b79/QBcFDOIj1DC03H/+gHrs1E2UD9+mNRdrY4C5JraNns4YaNPQOLs/
X+3ndjsDI0bd8KwRw2m2xwRpHeD80Jgel0lAeiNgLI21ODS7pbjnlNX8o6b+96vAhQR8gSvUQG7w
81WSZM7xXVYZGUB077ADdoeicsbvDIj/FuT+87Dp76usAiqd+TMYX1ahH7+Lq9Ze7OhgVhutzLZ4
NtUrb0qGfWVb8SlPFODISfNidvH8ztf7+Sf7+8IG08U1jhop0ZshSduy4shVtT/LGLUOGJ8D45h8
q82ifae9//Pk4u9LofkzGWSSRqO+uZNLNTVWC+7ABzVWBUNPyZAs7VepLK+qUb4X4PfLF2Nl5t1e
B0AA8qGZ/HxHYRoVWqZqMLnn+HNvturGNbuXGbzQO19r/dj/eSv5WogKuYTprKJrA83DzxfKOCsI
s01SzB2aEsIwLzeVKc0NlCEZWAgJT56I3iPw//LsQ8VYPXYMyRHC/AJUj8yRChQevc90hgYe5qjh
leNtkr8zEvztdb4rUtmfzqr1H5/LcaVA2xnXoXasH6yI7mqcNtnTn9/kM//2zT0kLpA5Hf9apTRv
RBAWsUZ6r7vAzFaZGljCAkzbaO7SOL/DRXpZgF4oMnOHkSVoW7Hncdnn9nhY1Ppy9gZ8WKK+Muzl
HfXo77496BEdlzM7PU2Rn39a7M9VnYAhgOJmVQfNAnmZj9F7D9BvnlQGvuz+PEmIxN+qmZC/lu5o
co9LKaTrqxrBhr7VYWYO4Frk78n2fnkNeXSocxiL4vzEMsxW9uNPanpRrrgZ+Ggli5WtNN0v2uie
Otc6MoaI31mjf3+xdYruUD/xDX++GCd1KC4tF5NmWe3LRe2vtbQ2bfB0hr6J9LZ971H69XVch9eo
I9koV0XUmyvClM+E1HgdR7rxV1niPnSae/RqKYPcwMO17JT+IfVm/Dt6uETNAjwaE9MIaYyzVgdB
g087V9l9ouDi/PNz/uvzRImJuAYGIcN2zVv//g87FsMhZIYuY6IhHnSfj6Ria8fv8Oer/Po8nQtZ
VHrUJaQ7v/mBNZpXK4mJbCkavfNpapIVuoWCAkF3lNL5/PPl3lSv6wLI9Yiq5OdlNeDG//ytyE5Q
W4Yeqd+ooAeP42gza6mXJH81RW2SH2bE8UPGSSwLFNHF7qblDPoZ3L7phiKS9TuxoL+7yQZTTAou
Bsj2GhPz403uOf+65RpJUube0O3pMQ3Tfpppob7zxd+70Jv9rIbbYZFEBdYB+zt4/pUUrIn3Voc3
iqzvt5fdGa89k3HdMN88NMUk25quAM03xrM3PU3Szoc6kbyKylAnv48M+x7g6pDue5SY8wGmqpgA
q+Vq/M4X/t2DRR9/hZhDm9Xe/tC1VjhzSpfMzx0FuApL47aMnT70mlHZ//mhot/Hz/TTlrBuCPx8
GjMM5IRvkelqZyhVZsAaqGKSZPb0PRiXmMLrSPMgkw8vGpERd7o5EeoUEWY2BvqEyJuNCnHtNy3S
3E9pGVUKnVbs4T0NXuAQ62RbGd36iVK/rZ7FSgi98hjan6eeaIrIZ5QEGefZ0kaPfTMP2hH2CBbe
CS69EtAon/JrRWoFgmtRzOpNMqXsQRU9DVH6cb9E1Y4mAEouZoLkGIbabC09Pid1uUqalbE8ZHym
QAHpQaSEPrT9ZpzsfgylmIxd6XrK2oLP0m+xAgU8hG4Z2yej9pY4dLWyx9FLCGm+w3DNoJLZdm37
ujEbY6CmpFyGvTr15U54rmiPvPLWF2ojo7wgJkjou9J28KAadAmdmRbsKAub5reTrCiMktMFTkCY
PjK6FCBw4+I6UcZZeCdiOUyRPeIh1GLHl0WSj6BBknL0CLHztElJwM8hN3ZDV4nFcHDqqP+KFLn/
2JRFeu24DdmRTM3rMcwEDrSgTc1mDvNCW25zL29jolga1QmGpsq/jH1ZfhMCaivzjlxrwm4mwzEY
ZeR9BDYcPaZlplEIDHUU+wMvXnrU8f+6B60Qbr5xiRm2wxSMfxqa0huTox0Z6eOo2Ko4wU4BnBnM
/UxW60hJKB5Uaa6n67hQHjuDKDsndLltK3gTkAc3mJjTY0T3FTozyFvzYwyigkzOUqxjJMAaWTg0
U2aHGb79HQ39Gk0EgxaGNZoRf21zxCV+hBIAI36OmX3jxUXanOjSz/emRXQc7W8TOCohseY+ZmgQ
+YQQlnB3tVq2WijyUlP9xmDW7A+uDXU5SwZ01qJKCR7RZhdbb+tdE942WVt6eEsO58aMpy4UUm8K
fBeySafLzKkVywNIqoiporJy444LQ3HhiXOk+BwPmkeMfd8310pdjEqAyVdcdB16t5DSSHPuKmOZ
1BtZZoIuGWmH3q6B7VF4PpD1sbrHTAplWot79RbEiI2vVwcjBUoM/Fh8NM1aqdxTNdqdkh4ydq30
wOGmsvelAjY4kMlQlDvyQNWPGGezJzQ8fXJJYJ0nwmosGIABPaLLqXUFfC/OC7Efo3XOSJHTWjp1
8VI1vjVLmsF08ZIXUKPRGqvaTR557hy3mMxYICczPYMqCrdiAXnijUbksz7YUZiPDeBuT+/VYYuO
2ll8m4TNFLuiu/4jIWTQ2qszbt3Qan3EC0ebOUTJPeV72+0JbtI7UhCZC+KhbrHLJOFIxBUa3sXr
PnCsq71N47RYvLMa9JHfOiCvfVqrxYVdVpBiQVKYTYjgsCETqzIgD+dlSthhhPhED+wpdRV6k/3y
FeS49bmYITCBxBqLQxobOhxSjIUEsahK80jaoPQe0Rcs3WczyoqETKkof24LV+MtWISt72xSeL1T
LVAoHF1CAJwNDamS/BXoPRk+g9L4MkZQQbdts7DrGB6hAmFE9MBz4nrFuCvnRN0z802rTZOJmGQQ
J7dR1Zg6xKBOZG27pSBw7DV5B2kEwVsl8/hmQKnqZmhnUImk7VWn1eZD4Q3Za93bERRTFCEDZunW
Mfyk1MqH3FOX0pel3pDZalSsEgZKk2QzyHHESR1FILyUvi77XZ3k1k08wFUICnvFs9tLA/bAl1kN
5AxjQnFCWNTOt8gXc11jfN+35k7Xk6qBO04vVtt2uVDFZhiZBDKhmtIPyuJoMQzcKl3ye2l7DJD2
1P/Us0RWDaLhVxSOMfT9i5NFlngsk8bCRq+NQkugGs2CN2ygrB8+TthSDjDR6i8yzpgBTpFVkapp
ge47JuQ0Vqw4K8AVopmaNoGg2wgKXBilJBiMM4mMzZ2nk57cfi8T/7dZ/C9t5cT89y3Ai2F6KZ/q
QcQ/9QHXP/S9W2z/taZxgJbULcelnl0Lne99QPCodOEYI6BxI/+Dg/F/+oDqXyulki4fLmskwWt3
7u8+oOn9hW+GfxYqYlo89O7+SbcYE8VPpZGDDIfPQHebw43DaXl1hv9Y4c6NlcQGAcG+3iHEMNBi
bXrUKKQMFOK5bcijm1ic9rhxtOvZQ8ZotYrBRDUrw4T2ElS5pdzAU09pq7ssCLjM7j29eAKj3u8W
TSKda2LixeP+a1raXxsnuq+F+bhMpGnBod+6VvrKieBOnckcsCEDgEFpel8XRhP01UWfWN7RmeMb
h3QG06Tk6MymPUwLjtUmwRdns0UESJmUU+WRv9Mm0VOL+Oax1wQShSVJbyeZzgE4nAEQvOpc9trK
skP0EFL4sTeX+rCp+jrne3YMZKGUb91Ygylcl+YHNVI9gqTkdAFMrWMk3mWQLqsd46NPbhV9icux
P+Z6fo0WGOy3yqdkTjS2u8ya8+OgeKSFpCxf5aB9IQ/rWk+yaTdW7bOTTMXR64uMCNB6M4Fud5OJ
GMHYcLdVXT5ZsCl3aY+UsAL/sc10hI2ys5etuhjk39YFArcGHdQCnoX4Y0vlK7lfZQ/AckRmHZJN
3h9hzcWnrne/NB2JDBPzqCfCpydyOpBB7E29FKckWzqAZTUlJgRD0gGgmyvlfFnMPbWjrmakAaMi
IW6P2KNiOZSuciHTTtsWrWivZD1rYc/QjPTbmfmmXt0kJiAxBJJd2KzsPz3VLwury/igjFQhu5Oa
yogXEq64N2bd8aM1UTlq6dQA3IWOORecmuc5UAfr3h7qOxVqeeBaABjJyLtvGsLTQLlcWrIjU7eZ
his9Slu0gbMbcKcbkjpmEgmVeZ9GTDWolihEtfFzj6sqNPX2ttMIRJjRbPXmABSuquqNKgjFSZt5
C9hiS1+GfpFbfI0a9tJIu7Da3mTUixS9bZOrZYwKouD0JxUtxYaakbvXMGY01ccB5A9yMMXXSug5
rASnos+hdsfwAitPe8KEgPywWj4ocfVpccnTrG3MdWs2SMdGTIDDto/saTtbbrvpR70Laga9gdAr
fUOZJO5ko+458DsIWsxvsbQ4GFfys92ZJrWAqhyoUcBPsi9uPDE8CiO+W2UDt5bSjvs0hnRpJMlu
nUugBdOPlBl7Op2MxaPGPuAA14nWpVLYpnAUNjCMhU9wSXeAtgPyNBWPnUNmB2x/DU0kuNBsbfyj
yUQly5l47I2DChZm783GrmFX2o08X5/VHoKojd9Gq9AY1OuPgM9Ibm2lnbeA2b+oQwyLpf00GqXu
T3Y8h26hVkHHZ/JLb/F22lCz+zt8TnQQV8STJ8ECSxMBqXPKKTUPo94sF0TFN8eu0hdG/bYXsrd6
vkFVA40u/cKawKkC/pefTLoaanb+Wbii2KZmroW4g24NK3tMU7npFzo4rj4aO8UA1rTyEv1Rm7Hq
d72+IzHeCWqkD4FXtqS82+TIbF2lv4Jmupld3Qz6xY1JLGqMvZVCumkJ//JjGgvctdy8mZ3OunOq
yg3zWBbhsHAMRTPj6aGmzafS6A9dpgteNTvdUGwtJER0FXVEes3Q6KRzLFzzGrSg+mrKhViYuDhE
RqMHSoH8ERk7yTAL4GCp91dePD/RDclpTy0gZawo+sZpzGDJ4D+p88kjH536SPL4kRHvp8Pyaaic
pzEqL4ox5xWtY9uvs9YAQNR+LiQhkJVMcPzhRYCL+YSCyEDxbrdBV2TRNsp4O0W/noeH+ZSB/wql
5FwH/cVBIT3F+4j8g1wMKGMLlF2uMV5O+vSNEIoJ2TfBILKrDwYqxw2Zx+73TsM/qk3u6pJ/vyVf
M1F5RgEu0jjp/+u/TTL76f+1e6mvvpYv/xMg2gyT/1i5vAARSuqfyxb+xPeyRafMAJKFHZxpNh7M
dZT9vWzRnb+w8+EjMzCNuPwXTdG/x5eKDs7PocnCOIHJs4ub9t91i2KoIGPcNZXMUh1Xw/rxT6bc
0A5+KlyYkzC6xLTCtMlYXapvvY7gjNxWnRwWaYRdYZtRqw8VZUgsecEATl81pbjRTLEB0llcFKre
bwjDOKpG+4XY8kNkj/u262IfSsWws/JxqwsVzY3Ofto6rDIIP8LB865TyqLcI+Xg60oOjZHmtXF2
nBG2FoP9eexX9J3ZX6HrvpudtP+gdO3W6Y0s8Jxvbms8U2CgXZeYecv+IzaiA2D4L7FJtkQe6ewe
5jDdV33FGkuALPIScR+B/EW0nPhEzoIDG+UHo0pOkOLMMDHri6pId7bSfbTRVwU2mxuIr+WAegq1
FsfHxsyhe9UaqqWhe7FI9oXWuckzBiJdKretMr62ky23eC6QHS9PWV58sHO+ltIUxdFEbGc52Re0
AMQvkqTpJNUrUu06APb7QEDrx2FNTvbUDi2692ylF6YVH9LkfmKX+ZKpVrtGn7X+YC3MH2WsIy/j
Y479zNk8jhvlrsqQyoM5gwxOYJXm3Li5nQZNl7VBw9mb+nJ5sAskf8VkMl+uwsIw2E5xkhmd1lGh
dh+qVF6bo/4BpUWw6PSDtPoy97ACAAF9hIRV+F4zHT3iJzFiVJfW6q3ThEg3E8htqDK6CtwsynZw
r69BSWxA2u2gO09+vFybUXFpiBJBoXHsBKBgR2luxZDdEPyYEFyh1FsYx4E0FecZP+VHxVk9WiQR
z7iCfLcwIBHibtopBWLVkWYkusiyU068K8jNXdVf7HrflcVVgZhIM0ChVcK4VdxUuc0F5WIVxUCx
pVft4BjdK2Z8MnMwZGJpc58BR1pMamBNhvbKtg3WbrblfkR8gCR8ju5Tl+F1ZZCZQRCZcdBneRyy
bNkUUxIFZdGmwQxwOsisqWUTMne23X0UInptNePSHprPVV6J8Nxnnyx0xWmrI1NOtvroOGj4unmr
MBIJsta7TMW8n1MPkVnvHBPkIn4/D1ezo9LnakZ1W8eacl0t441Jq2HbFg5lUY3JoG6Th5xZCMeR
mAFYytEaattFPpDwW3ifVKW4dCjhaJ2ogldQn67MqjwUi0Vm6pA9ykHLqV7bcaMazT1AZt5Gvb6S
jQTeTbG3oSWG0HG4JGYPPKJjZ5vUUPdedlmYI6J65JqHnlEVBTnI+9KUmo7Uuj4pWVvSVrTnHaPJ
EqqwV6LhpxhO8GFJLS39KhXwdnu2tj4bTmB1P3GQJ06as1HZko8lE8xcMRWvk03PXoU2u6e3nmDY
QIOmBLooj87U+ooytWtOzBMq353epXnQDkUVlikpS4lr7XHWizAfZmSmxSYpPoBFbzc0OYKkv64i
Zet5XzKtRQLXZs+xvBgHnETwRD8mZj8EBQh63yTt+gIZKDq4IXPiW0Mfmz0IyvaCGJcugGZabsQi
u62uxskB5uRBROP4pbAbuZ1pdT9IT9yi6lhjAaLAnIbWN6vYump6D7vAZFXPBLmQvgXEMJSlkR1M
ZQK4jlyVYxcq7dLjZOXUH2jyXeZLfGw10NFm1+bHUas2PAjNR+kpJxLJT13hfVuc8S7L5H1RWoEo
kzosJ+UltUdvkyJG3qhx9CG2m8Bc9KM5zieQobjXLOKNbDsL6tk1uFCt7Ls+V/3ZknLX1UZ5qYOk
5yw2BGmcBmUt93TqPwIxucrqnLWAbtl+kOiyY+igg+UegcrrYePRRVywFxBy+dDaPZrudlRfMsJI
cMqzfjW6mz1BKS+PakUysjZNobuI6UItKmK4VjdA58AkyzoaqEbrbOexugX+jqD+pp6NfSUVjlnZ
ym02Cyp8VNFLXsx3UXHgdMT6PWhjfz/benepxDpsymWzDNUxmWWn+rBzGdVwDkKfbsrt8P/YO5Pd
uLF1S79K4c6ZIDe52QxqEoxeilAvS54Qliyz73s+fX2Ufc+RInWlypoVcBJIIJG2RDJiczf/v9a3
QiFZH1KLTOypeFZjps8xNuNDbAYXCs0BwvMastbaAN0ycsG1avkXffpDxAAuyIckjSkej8lomD+6
tvgZ+k29odyku0Yjt7jTt0FOP7cBTu3l06Koe8rX5r73J9fSwqMShveTDM0Vtf59rMS7UDL5yqpY
Ik7m+6HraY/Ny2jZw5J96hlFOW8nTCT2gz9FKNzpinTZKlNZY8r2EDb2XWWyGswE/Lj/qWolMk3H
jWXjVp4dHApffanq5E6zvGmVG1iFKbRlq1wm6doMiLMIgwxrByj1NYastZORc1HXOtXRoWy3QYDV
Wq+I2G7a/tro1MchnEjWywIO0tWPWFUaN9OYAHo9Nte1ksQHx2EF6qb+MbQ8rIlWrWmbsg5p+Ta4
Jwfbq9ZjNcl1xIYXD4xJETNTpodhmr7ZZjtvaBt2FkXKeqWIgfoCJptBAmeCdhvtkzyInsLI79Y4
N0lhlhbsCIuoVrKE49wNzLB9UgM93U1jH2+VwAC+Y4jxfubhPo5Oll6pMbbPsbOWlbyQPkdGCXbT
GVym3htdMb6lWVwTn9717mR9yygn7nKaA+ugMTo2SEnGas4kq8RWQywGmZp17313aowcVkHsoa/2
6RIZyrp28v1A0CFdyReqD/o5nTAC2xQC37pR/oiQcXeZJXeppqg3pd98E6PJWmZdA/PZNH2nfzP8
PHRlpRxomWYLdM3ZvteAPeql1i2LmtUywT6xwwgNIrVaDAQfeLl/0WTRPnDUXTvQ2kYmnguNBKis
5FQvl5VVL61icmMrP08jyumcq41E3lvhHF4wi4AT2KRkyvb4ZEdPq9dJF+oudoPtGGu3qWMQj5Jy
+KGKjr126C9wymwCXHEszv6ySC10PqWrlqSMzrbQMT9XW2U1+AH5YLwMjndhB+0N5pzvI2YPZxxY
WwFJhCpHSuOuTlAJaxSgp0hZOpgqTfT4C4fIKUwrs9/5qKHDyDwEPYlCoaZyyRd5EXWyyQVB7/Zy
FhSMbbcALLw15KWfhc+JKM4mcqgLs6V/NbBf8nkRrHRpKf4m9VoOWKSTlGKT2NBge3/dmuaevDR7
o2E9xGOICiscfTyYxnQNPuWo5/iiYoIHgXpOd3Bj6WiYPchSrCvbsu3vbQieS2NkQWtG86LNeG6p
PvmWeaaprGf1OP3quv4QEsG9lj1Wm6ymr+rv9FBcMKjZ8oW5S5NoYZbOus/NVZKS8V17ByreT1V9
raj9TYHTIa69ZaHf5Hny2BX+twy7ZtHY686pdpOSnKe+srMgvJYyXQ5KVC1zsPbLoac9QGzpeqhL
fZFW4688th8kRbF5bojN8jG3qhdD9c5kTwqbl5/XYTIHr2+U0NgEsVjIsNjEsv/ZzQgds993Rvc4
lVtH9Td56bObJz0sdc71+EiCy/duFOe1f64a1745XeWDc9YmpLMa9dqmqVyR12KqFOS8LqbYxESW
D9VZZbC3Gf320MbhD5O9bgz/36Wbyp6pyJ5EKba0sJZFfKDs4ME6LuXSsbE8Fhm/ZlTNX1nMwGY3
bZyPRKI2k3Moy/wi16sr6E5r5o+DafIXYvtSDsi2qmu95jytpgPt6+SCqMkGV484YFReNpUgx1Bh
MSnV3EWdFeyc8XFgo+aZyTe4KAeDjaqstTPkyfehEdyBDESo5Yf+atQaN9FYtML2MtfUx9CXybLL
dawwiArHVr+wxmf8yksb68Q01CPWcwXQC4nPmXPfYM90Ke/tx0pdD0KvNq2uXHW6dlcWD9ZACo/p
PDOSwmXaxNeCXtyiM4ly5DDir/qgfyIu0lnZRbwWiWEcsrHQN1mRbqdBHMkkuuzNaUVjFJdXDUrd
a/t4kVovZigJvWjH+1Bx5hNF4NosY/48LDvncWCvFLGUqZlyjv7SnYY7YsI2hRJj93fC2jWN7joL
u+Wo1hflMPsx2rOYNTBQML4aHUtAO8idR7cNPfhj113gRjuOfnXQFfvGaekCVvqDQWVFY9pjzahg
7ojirp2eYvzxUnmZ9LNQkZcqBssSYzHT3hVu8m09tYe8bPUr0gl/DjncSFXep1BWXWmMKzAGLrVX
N/CUo+zDVWw3e2F0qzEsIB/lVwMmubx4EJH1QndrmxLw5IfqcPQ1uQh676KgubaoO33Pos1pjQJT
A4w4jvh38Nah1u60cI4DMX9mJfXwgJqMkuvC7ROLKlNfH5JC2YQCj1QZbKuq+h4jvakK043HaFhL
legXuxLhnKLzg9j7ndL71MbYkk4Kk43OMX0R1j2exyC2YVn1K0WlLB33HfmkQfFLiZpFIbyKr0m9
RlZmryyN2Ty0umZpNb2+03ow76GVuzTXb70ieCzwUUV11577mjgWZXnfTWgpiKbq9wWUftcb5b2B
39xt4w5plh49NYVxk4MZ2mRNDAKJvaQOyHTDzvSu60ZrIbxyR/m7XpAx/IB7/zGNcWuzgSc8NaBl
YfXRc8qhFf/LoO69HKDP1NrUrm3zye/za7XO5FJr7csKJiG/bbZ45TWpwC32IfMYGyot84hOJiEp
vFH1JFeAuM1FVDs1vD3/UTGZBpTaSLeWHfSbCPoU+SDDtFGpX1IxzfEnFinWFWfoXdSU2T6pKdIr
Y+h90zT/NihJM+V8PMy/rb2A7t3jHWWDjMFuzZfTLSqFpEVVkClit9gZdbzveGcm5FT+FVnC7tCL
68wuFmD2V15ISySBR+Hk5Ytu4bKpMNkluQY0B2jDIsGesq56LztYoeAwUUb60rJp8Q7d2KxJNXJc
M8e7HHYGzVYEA8wPu1GknCF9ditDPlw2HhGtvtl557jf0ePohSLOjDbL1kROlegLerg4VqERv4M3
R5ZlAnt2SHemEtYc0Z59FCO2Gq1H6tVhPFvY7PNe4aBUi70p0182a60+pt8DT7W3+ZhTfiyjnnw1
0X1Pw/7ei7KdYuBhxsi4n2qWNlJq6Yjo56JjmA+ZOGNrSvAUc9WSRoFLght4GuMcP7izs7T8tiVM
xVnhYGWM90qwY2lJFUK2Z+sl36ZgK5zba5JTwh9aMmirIe6SjcPZGnAZNRjECz2amSLwdmGUoL9V
CcR1KxtFM6b6efbwziLfO4y1ri+qcjJdBCYV+zpxTxbaE+m/S23QzjorOxqMRLsOfvgMtcxSbkO7
tpZaEa88eJmEVK8DmklgXTSI+c0CIbFHFYZlOcJ3Thc8rqgU0wwzwFW0/tbU+jMkOD7hQbRGNGVY
tgQuUwHPwHvrx4itWiqyfdWHL4YTr0Kj2zuhvu3S4Mwon4jhvBtq+7LrOxdR7Lq1SR+t2kXXIrJo
8dSFXf3dc0IqyOlTFffHMgnOkvHRt+hnZeOVbvgXwxg/4E49L+JyK9m0mbl0U+gPIH2v7Dxy9XBE
JKAEy0zpz9GdX+qQCoq6vfS7b+UQXUcFGY0GKU7SLh6oKhg7iy3xrL+oWWKJPidjR/fXid/Qz4rG
8BwexL73yiN+9wW8/fHgDd1FIpwrXstlYNa3CDrJU1VeDPZ9k95+6wMcoUmdn4VZeE1ShXPsUPDc
l22lrsDALGnVz3lt+hK3I1FPGQHRCvNuDgUyojbusU4tUAScRXV01yFndKeyH/Z1EF5R2g9WUsVy
HWflkXYQgfbtdDPhtXP7NnbjQfnWZNqFP3iWK3I6ae1kYB6uygc/Hkd/IbRrBdgbO6LkHp7FguAl
ShBJwfa9ddZxJxbkVkBk8INfdVzlO0/tnQMByiOlnEhv1xH40SqML4GqsSzaHHbbdZ3b91j974TD
zNnF6XjmTRaFe7y7VANdJQ1MFgYdn59FAvhGqGxyBHqSdiV9fxdMAQdEw7oh8faGsv9DV7Klfq1h
/6Ni//9dJf//Oy+S82k5/zflHQVRXf9o3xX155/7A3vX9L9eZfGYiF6pfKRZ/qnqK5r5F/JpYaqI
5vkPa4Y+voG926jZKOo7Gq/2G++apv4120zEbykCMPJ/UNNH0/BGpClB0NqqeMVOAmGFwnqiTR1K
b+w0L7rwVcUcXbNudHaRIlM30CbEiliQ6k5NKk35Qoh6oon9fV0ceY5AMj1D6vhM3iog4G/kZVeE
F4G/ApNw6CRlu7TJKOmdk+v4YiQCfQNNKkePH940XD6wOH10afjbwhSoq0HwvyKs3mi4R88qyZGo
LjieVmd9YLbtash0Y03gJZtuo7QCOK3Y93bJoCPnU00T5Tl/F7f4F3cy67j/rZB9/RDA+NPMEfRT
6Kac6LyBIPqmMQYXIdBw6l4c/mhzJwYdkR7f87ysTBqQFRPHWJ9XRPJFpH9QyXQ4vruIFoIzEXHe
RIVQs2p/cXOzBuX05oRmYHzDXITGFJPd22+ItHSqBUI5qkUZVMw73vgrgAACFSuxKVgbXZXejUMz
C59GwUHEcZqBma1uvfPP72S+0OmNoDPDZEkDi/3OiR9AjrZBidK/IKcTKYVs86chp53uiSHcJ1qq
feuQw14qTpnfqyaqiM+vPg/Ev13dwp/GJ6ATtXUi1UmhFpiydo4R+Zr3xLQ1T2jpyctuxFdOi/dq
9N+jwcAViCTF/CM/evuBm3agYd9QjiUVtm9eEARXone+8MN89DSS1iIerrktKE9e9y6Xfu57+tH3
kCsm6EzvBl9VV03ZNHeff24fPQ3ZYxIhFrJ3a84se/s0cRtYkTLGFwMv0XVZm+WFnZbGF0Pjo8fB
uIXrV7Mw05/abme0ECWc8AK1BM7yUgbpTjVK4zrKm/ELQvhHz+NI3lG+KKbk03cVq4eHLyO+gH/T
rjoSYakg+W07fDHcPrwMENkZrs9oM0/eusbpR6LGwgvLiafbCJQNRZQs++rdnm2cJ4Maeo4AEanp
BvPP3OZ9MwX2BRk5kHUu8lAVyrK0yPojvbZ2gLtY1QNEmeYGoIxUl9nQCGbiyCZkpyqEBrYDKLP+
xf188NDSALxs4Y8gGOL0oaeEPWaKPhiRV7WL/Unddko8rD4fkPMznT4z9k/CVgRgWcw7758ZJTuz
eakdBa0ZQozxIgCm+BYk8dPgVF9gij94IBP6CiUdBIY4iE+mLKuRKSLi4dh7sb8D5DQuAQDJr5aP
+becPBEdYYYJ2kRTk9q8tr/5FqMswDuUiCM1afBdNdFo5KQG0EeI6yoN0opLTxgrkY+Uy4QXyQdp
TsqqMqD9T61CbyBMvNuybKIbQVmcYo5aUUQl2fpaAvrbfP7xf7DRYApnQOM1Uk00lO9v1qAUUwoh
jqaolIsp74onoHkzSsdwFunoq9Ae1T/u9//Rk/vByvHumidzUBOoQxs1xjES3JMb9jR/g2FIzwqb
OkygF9Su0BVjPNFkMp6bhD1fff7QH40DbHMSxSfAdbzO7x+6LWonZFI5Wl4zrAAu14chCMIvBtur
vfB0HNhoP9A+qQJL9XwXb8ZBnWslOHuV+GTe+FU75KJdikDj7CYmp3uQaU3VJk7kI70qos8zYWQ1
MmU7WxmRqvhL3AqmQvEFau8XL/aJLfR1TTN56WwmZ2Qtf3MPTpqICqc0joxjmxZyHlxr+J+eaMWI
FYiR8L7E27PUaBvliELl8DBkUlsFYRfyX45z2RlKtqkISyV5V07nSUqq2udf0etO8/TTQx7j4Jxm
A45H6/2n100SDJmjHtswwioU5CJyk7gjub2rjW0uh/Cmhej3aGZ0rCvO3d+gJXKGDUs4NmTBWmJl
+pXYDXhf9lB/i9vP7++jIQS3AIEgW2WwXCe3ZxZtrXKAOCqVzDZ1BsiNM2L7hePug7nRwgbCnsAw
+bZO11Ef21UY+90xLbQuXqK9DO5SNaIMOHmNsc5Qr+4+fyrtgxUIkTUibXZ2+PLteWV/M2aLqetx
f9fHQW2bM62JhYt3wfhO1Udc9tUcXTxoAaK4UQV9ZIQa3WypdjfehC3ni0H60cNzmOEFsgkAQRT+
/lby0sxNz6yOcgjUlYz7O0SZ55rIoIgL9YtF6KN3FRU55x5ceNjYTg8fTUYwL76WY1oJ6fZzfxtE
T7XxkD0uE5wrOyPzQD7mdrIQBG+Cv/QJLUVy4iANnsYmWBG6p37xbXywkMzSdh1XKysGpo73n0BF
AnAVKtWxDzhXpEJ7hHj70tvqkzfXEqdpU1tfYuo/GNckw+KGZFoAlf06QN4MgLgga1rmZEz2lKXA
y6EToe7q4rlFIGxofA5Fz2OL8yGZvinzHKq3V3JET6bl3/GH2l/MAx/ezzxJ8RJIdiInS/ak22Xn
NBmdJ7/aMeBhVo3S+mLJ/vtFHKT/rEmvuwODo/u7UU/bmUC1vDymgwjuSNypb7UApe3n79YHF5H6
bORlvrBtbAbvL5KjnU1L2R/T1qie9d6M95OkYvz5ReY7fT9rglAhIIJ3GCQTU8b7i2SKgyHN7I+N
2osb8tAbGjMTMXFRJ6Gkfn6t143M6cVsfY6343GYnU7G54h1qTeC6mglYYbv0Tb8q2CQ4b2O9noi
T9ImO7SI9DvVS9vdwKnmx6iJYG+oMe/xOJWYMB2FZMcsyBEiNbSI+maECljrNdnqX9zs6bmZz1ya
YMQZQixqf5tOQO55o+6JI3YzPA8N4qlpqTpdeIbyE9CgXUucfyCYUwwRfQ2e1YT9tfVrTn3/cCDM
d8JBgtfMocgDKeD9dxTrQ2IH5XhEs0jbTVoxkM5Q/eLLOR0I84lV01Si3ZnSKHGdHFhG2/aVxm+P
fVbFbtVH/QGw38LAf/8FYOVvS8brlWZbDlucmQN1ciWqVJrTOeXRTCtiiYhXtPZh7+jrsA6J/qJb
u0EPdlVlXXCZyV55aZzS2QuE8I9ffMPzC/R2OJ7ciHOyYIQWpX6RN8fQqOsDy0p2WYq+vVTV/lDS
1ViV/hjcJXRgk3ac9oWfd+vRHrStZfqIJHJBWsgX3/T86J/d0ckLMoxTGFVedYRCSUucyfanl9TJ
Vd+bKEZjNJoN2uIVCW0zGxCN1OcfyOmEM38eQmJboCqpCcoX78dZm4V2G8r6aKVa79plI9ywlukX
F/noEeephrCo2b6lmu8v4k14UKepPPojdoHANLINqzkyz0hb22kePJSDX2yGYkg3FPLVLy7+t2V7
fkQgRczc1lxrsE++8gQn++Q0mB5rG7El3TpxTv97urEDK93ZoSXPlUpBlAz3aWjc0k6zcDGGuv8i
u6yyEAz3k46jOMfV8fln/+GdSYJWpMPh2WL78v5zASjcSC2pOeP4ztnUpZQDafwh3vMi5aFzPDKn
oRVu6ej8GBwznU336tr2ous8Fu15Trvvxxd3dHrSmz8rtjZozud4L/55f0dNl9q5qTe0T0YFnE4e
1I9aiMzJndiARujFnZ5++1iXq4H6ESYgrC9YQjS/RQOQBj1KuhAg32TYncQnQzBtFI4Y+5VE1bq9
kZbxyxd3PL8ep68PUzaTJdMku6CTmYVFBfZynh5p56Hw0WPDnNubk60twx6ZL2qpBosZjtCgBOWp
Npet9K0Xfeo5NPOVpuYXa8hHLxSFED5GgvlspvD3n2BFhgLN2eKoKeWE6qhVeyx+CeKk/4fnxtE4
I4gsdiXmyTuV2HoGnX5+bj2DXosp/inG/qShNRiUHXoELD+d2U4IA4NYS7GbpPJoJlYuXFWnM/zF
LPbBUuIQisveBXbmfJB9/9h2U/lisp1DbY/OuZ8ZyVWnBcH3cCr6m8+f/IMP2DE485MiRdQHS+P7
K1mBZ8Reohzy0Rp2BimH9IdL5Yvi5Hy7J6OK0uRMwGBapM42LyNvdrgWu3WvFfahqFpji9u5RSTu
6FdxXOAycLos2X7+UH+fIUk8BZQF2oMSF06N99fDht6lVd8d6lDUDyAsGsOdsh5jfW+3cHVpEFbG
GTVLVFG61o8/M0zi4RdfIXPO6VOzS6NbNRPkDA46p9ZWTljB0LbFQQ8MBEDoTIj1IWC2eRiqiXBe
venvoPPRywhiFLLPhtHB0FGoQtWXA4UuEOe+EchDlHpQocEiIF+dXmnRqeNP8UZo+QR6RqmtaT/O
cGmlRYAFLGVmTregQCfg4DOLWphgqbWpiG/KSJbPNA8Q8khVS8kEmWyMldYr2doAftGt5Ay8Rlwd
X5F6gFghYJV8bvD3H3PSyp+lWfvGKn9lZ4OwtIDRvBK103ioD80rabtsgW6Pr/zthtJpRLDEjOU2
ZkI3tj5EnlorvHZWBLcj/gmA3lYmaDT3M+a7nLo8c7tX+rfKdmYXR3n/iDMSOjjUEkjhwPgTYi06
Xf8+y5tISlck7TF/mmwsAzNtnIvjGc1/U8hJwG0XzqC32wYLWwU7JQpA1o+lCaWXozWz2MYpHK1Y
9Qgl8hCtGnmuz+i5s8GtfVaQZVAZrCUcQseMFFtbGd3cqex0k3Y5ermo6zDt4y0lqBj/BGuxgvZb
b2lfG6aQB882MdONzhAOaw9L7nDpZJ290T3yMhaOUTXtttY97VcWkQC4bCAm+ItuilE8Np7flwv0
r3NUGi5of+HZ1XRM9RIROds5LBlNrgnIQ2aCq9aIk1xCbuPVvGuiPmmXkWHEt6KTxGmBxkM+jJo6
w1jYcxRFfWrKcqU3PhJRSJ2Vt5wcv7pSUp0lU5iJuEJ3IrQj7GEoEp1HLrubItFLVhMR6dVW48t9
jKNZNdAIjMkYKdLMcyOA+pg6YTKjj3FC7QUCn8+RSBm+561Ipj1JAyTl+oZXPedmXE/HMhyz1NUm
q0nc2G/ymwZEGoYWw44AcesRGdYEIMjLsRHxtY/zGq7YmIA6acFZZwtMSmgS8srJ/SWNVEY1NvEa
Xnpt9xAQpI44LB/hvVAT1pEdQFjB5tgNI1kuba+Nzsp3POIMg1QxUN0kbQT+A6/ID6MJGnXt65l1
k5vjcItf2EzXRhgFHTFqKgjoIRriWxWZCUuiGocB4Jq6u+y8vrvCACL0Rcuaj8CT+JufeJwKbV11
Dm7aKezOLKkXGz1BFpj0Xb3NfZAQO+waMXJFB91Z3xfRnWmNRCp4bRXchmWmnePoV85K0w+yWRM+
wYWyixb3rJI1t03rhBdD45HDGwYhU1tJQem+Ue1MBycUoP1tp95gDvHLGpWx0Q1/aGz/ET9AYaAI
8gmFIXw6AbHOf/+Pk1H+hRNyZuFBvXLYXLDl+u1kdP7if6oWO3hh8kdC8jN/JA+/Sb6kb1EQVNkF
sD/4w1/QMEaytLEhei3U8qf/RPPwfoliBApbY1Wm+0W5E2nGvDt4szDXo05FvJqwFHSI+pymHtqV
nSnhJXvQ6saqzOHyzedy+XvN/19Zm17mYdbU//u/3m9sZn3HnIfIksgj0HOdaRRvLyjRJ8I6DND4
k1SwrDRDWdZCeeJo4K0/v9KpQ9PS6dgblGYgHvNwc8f6/bWIVk4iu2mQERej8LVVQpcjUG8KR1dQ
5GEBIIcOa/e8ZWEKGFQy3pd2qsKX0tZpZSKDY0ce0ILUXE+L/O1oEmeHsqivf+q1MYA9gN6zNbNc
tc6BtRRHS/GE6yE7DZfUMOKbtrGlsk7sQW+WSmsm+jmLQFLuAsJ1qHZqReusciXV8udBo9C7JmnD
8jemNZl8I0Id8nKbcX70KTuDC1qmcewBUTds3Ec1SR7GEZtDWl/mSJzFqgHgHh+iwh+e2yKszyo2
i9aPNBpy42BPvnXpy9A7FHhEnxOcZaFLe4F0KylqwO9Lz3JIe4MV5teNXExzctNFEqneIZ8G0qKQ
vcZkZkHn5bNcks8o8Ysxd+b2ORuGSncJKUv6pRYonO8QWaIqhiakOs++32nJY6YEjU5JREmj8mwY
W9bvQcVUS1KUN6Ya7IlyKEDNEBCI1Qhb/GSyoAvKorQLIzwDRHRodmYMmyQnOYecndCOw2hZtkXe
P5RB1JcH6StZdsuUP/ZYMHIpMYBHpdqp91Y/xDUIDlBHNej00KPktLJ7XANQy1SZ4/swByWrmsXo
KczCyMxKqikrEtSrydhHRF8V1kXTsGOor8haKK1kWeAyBkOv9l6KpzI1jLFo3DyQ1nRpNfSg2Kyg
YrPSC2jurXrNpFym3/zIAXexGgto6fCUkDT/IBQzxyriNPY4XvEAnJqXRQQ7PgObZNRwa2UR5BDq
S8JsyPcQmhzLawrAdXqZhopx4TUExK1rLewwKBhT9Y2SC4Oo7OoxXReVyBVgo5QHcOm1jsSrUs3o
ACSBlMAaM0q3XVzBrhiwNvnr3kqr5ykq6mnVAG7rNpNa6P59W6U5Dkt+m4qGesRZ6F+QLxdi8hJe
ymLPZ50v4QqTd8TqTBZAmztWCXmqbxBAKr7tbDxHhlt89iQBISrs2CileOesuKv5Njm64/DHdqT/
7DXZF/u+TmV+1EzOZRABhjI5C8cu0FG+EmdAoj0baiR8elPXW68s57+KQonWLm8FfVUlVtHqDgHU
oRU8cnJvcabF6paEDYTgISaS4kXNEyPe4kQb/TNyo3xiNIRWPbGzkSC6ZDjsCPM01H2hYOuaRcjY
Fad9hVuyaVd1FdfsJG2PhJWOFM1GYWNAg0yabhN3abfhXGL5y4ZWhrapa9gyuMSJtINvPRZbMdam
sRjNIoaEEkq0koEIJE34QuHsqcqyjtdp16puX0Uy29KsMdmGNBkeaeIvHHWlK00MQY5da70tcBLd
xiRB+AePF9neyFK02o0/GAzflZIkRnSf595gbvWGmlDg6kYmy+hxyBRlTshx8PwdaICSwaAOkxJu
xxqDAHxtAkwWqhmqpqtHgVKcZ7gdgh0W/KSkuugFPxGKmZMbTBJyhglWgXQVJ/BnGwJ60wFI4E2o
JV2wlmahsBmxs/IsnihQo+jqZbfq0lZ2wMYynDWxRozbDaOyt5ZjIAPjDqsiJhvgDQntOCyyDpP1
I0c9JPebiqSSaMKIRn3q2gu0yUaAaw9j/j0gy0qIR43ugsO4JJoTIwJd3SLMyEIwNJWQnFUOJqPt
f/plRjKuDTvPA7n41JF7R5XK1cdOMfqfdCXqtLx7XZL+sz/6Lw7ab1bnv4HqDz/GHHzYO1no/BO/
d0iG/Ivag8TiItkXsGqzS/m9Q+JP1JnIqkJEZ69C9eBfOyRFE7OWFDoVpVZeYtov/9ojzX/G/oK8
7hnczp9S7/8HwtD3m6T5wqZFm1JFLAZ5gvt8v49QZvGfHuO8yXUngKyk6eetGcRrGevPXmOnXxQv
3ldk5suhA4V3i8YPiY562hc1hpAEqLYAXwLnB2+LWYA6QPj+5gv4YCN2ov38cxnQW0QDUJwwjZOd
WJAoU6kkDekipWOuLIoT+9hTB1fFXLsnYqXfenWd1Qtt1HEMjpiVQTmL5ed38XqVf1eGft/FjFA3
NWHyuKcJ69XAIQXAF8KXosqfokT1ryhtTATo/srzXP6s245AoDyp96mJgXPSOHtFrNUVzd+4uMw6
HK8RC7PrTTE/mGlaTJaKKK5LNBTXTRfP5KcmPg9rhQoDk752hldUM10Ln7AdOJ69Jg3c2PldN7BD
UVD1l4HqxXNmU+amTaL+tCsvNlgyLa5PFwG0gGiZabL++1SNl4ZTeEezIErNToJ8jb2uv7VI45uR
VRGZOHY6uRpcyv8Izf8VYjGjVv7ns9bhR0I4yvuphB/4PZXo8i+UNdRwIdQZ1pxg8d9Tic50wfED
MSG1TiSSM//8v7ExHMTQe9NRsXGCvMfdKZr1F+T9+cTCD/Fa0ov7B1MJQuX5vfr3iEf9w2hHB0cR
lOlp7kq+n01SL4KIISaoxoNND8DD2jSd10LFChl7+X2QqThEeIZ+FdhGtaZxKXdkaNeXIcmLWBtF
elaLKrk12QOvh1ipIByocKf8QjuvHQ0ftslmxp/qAf53VzZ7Tlr5riga9u0O3ve+PENackZ4E6Zf
TJhpVxFtCIx5ylbcXIE1u7OXiE+I6huKe6NRR+4EdIQojX3C1YtWc5seKEw1yOVIbt1OcTCp+WyM
FkpM+lg/dmcqtNeFqSm/FOF8a/N47aMVrZVA240cZWgbUb0pDEzNpNPuix6XbEAA6mpyMAh1tb0c
42oW5P0g+GMRD6HctoIyjm+YXL9ke5PGa0fPj42hGOtJTW8HM9n4RUbg2rQtvHJLb3vpwAjBWRy7
rRo7q66va/B8wQVmHbxHNa0zkFltaB4MJb7zlBVU34WRJs6FloTfAnK5Sn3Aexiucl5/3yy+eyaO
1rQBmgaT7kWt0ZKpPjtrtZHASCSBCYiGJrclZxmYKVWqwYNe6OAj7P10O6axvgizIL7OKhxKeUh8
uJ6exY6trBRyHqHoGIgAW/VZR3S0bORPClX7QFWuivRWYpKkj9jF7cFpYFQkff+DYFjAQfiUrm2t
OpZxvS8aCCp7b8SSFdUxpxPAYpQt813faA+MqMwd7e5MOM11JrLzovfGBQUxTNuteTll40tlOdFS
r7Od0w0de+MBT+G4jRtCGi0v3vdtQMzblP4Mw/bZN+TFZDKWIBUT28fuLwoVIC9j/4vufupGRrZL
pYeLmcBVwnb1NSm30XZIkiURltGqioY5gEAlubDIqugiUoE+tn6XYCiczkVmGZus70PSsbxrypvr
OkNiFuloY5Aeb9WiPtY9NEYjKZ+9VnvOcmPZjqQGx+0e7MpcFeT0XmkaTMOmSGf+4mUbxy91KK/g
mv+CDA1ax0eLCKHtxaj0tQN/Tp1G7LoF/vesDu9so7mjvnn0C/XGUPgbnC7wQ4McFKJMlhzrwYUF
u3wq94GZcXQIp5WFzfJHZ1RPRtfRcwT7TKCgdoFYDjJcdevkWLFsrFRKAmU2EG7kNT/9pnEFgBrE
ojchUOPL0qeNT/IlSSZqq20jXzzHgS72gULsO4IwyEZ5AadZSfZlLH+IXl9V6cTYwRQ27pyJ7Mrw
cvLP4NizzhHFHdqLUdt6FKtBa/w0R7n/P+ydR3PjUHpF/4v3cCGHLUEwkxIlqhU2rxRayOEBeEi/
3odju+yaKpfLey9mMTPdLYkC3vvCveeaIt426kD3soBjHiYnXitqe15+rIYpDXFZ7qt2a3mgahZc
74xn5qll4M4zM/rwMUrehbEY1pOlQ4RCCfhcT+AgiD7J7Dt2ke+dVz7MyUSBcE0Yqde8Dr77k8B9
yiFFeTp/CB9qQzhoDKIuUCQqfoz9aAS8nlWtGTgCF6b7bt5msVwx2lYJvnQ6qCefJnA+DO1SwKYm
A9H5drIBvvPG5tTJcgiSqW/vAzHpyYeeVe5Yhv7s5dVVdzu7evAMHKzvdZMSvJGktkgPQSuNsoae
UjbeTswm/EfVo0474sFDedeNZmyudUpNDP5DkvBN9bH11Tal/6AHSdquDU0brtjRbUg7jt3sp6yG
qGUtJTmWfQYdcOX3ELC2ibStV3BPYCXGWW/abSct9zvWYz0NWxbrFgJzzOhHJ1tkjx4G9ia2tjZD
SgHhWrIVjq1sWHfsk8uoV1qRbRbuG4chmppWjWwIK19VvaXju2O2/LggyI1E1/rbBIvDe0nspZgL
XnjfCcmTiTEg2kN1Fi0WH95yRGX5G7Cj4hO7zQVS1gMzeHaDcJxvtaA7amqR0Ui587NlAOpAuN+/
161frSch/lgBPNZ0VD+BbTe7HgHCg9EPvDp9vmqdJvSDaVeZ7QGbXnCQy2aGaNpP+bF3RnSNwypg
oFCye2DNGipG4kOWRWRa88HXj6PVrYYg2Oa4x1vNCLUG2BInLXKh5WCMVR8yvsBzWp6HYMrWMD1u
aZpi7R0EMPQ0YiXgncaB/wEo2WIX2JtLnXIu2ZGTtxsxhkrms+spS/sWNM0Gav1KWjapJdrYRxCf
xUEjyFG04xYjufPhYdeFnUn2KE1/v1l4i/ZurP64Cfl5A2l5dnrolmY9El3OcJVX0pTJk8sEzm/i
DaPFZ6E70NDRSt/QyJSniQjz0NThVcTTtWAquLeL4li2QNCBVImQ4FJC7Uex5be5VbVqVs3c/cUE
jcMYpL/VGukuGeZmbTC721kxeayd50Vt4YA6a2b8a7x7y1hEvkjKx7GcN8ZQ/rZKO9lxvxVuBzNA
v/jJu2XP3QZqyrHsmscelrhlsbyEtjCn2ZbBD2hqmnc/IFNkOjXN8uQWNbiEBux/S0p5qLtwbpp8
WzTLztPbX33uHz2rLB4qvvB9RLVl1+RHoPZPg6MuXttnYZujMFwpvNq3wJ4+xfggUOisnIyIr7E0
Ngk6sWA5tXfRRjWsB8olrlJ/+Kmd/g9R5igDPA7/HqFspJUm1u/JupPjoHrP8qX3psOSDMtFaOUO
dn58cq154xBr3zsxiRdBSb7lxDzNyXOwodltST5JWYjKVG1g8OxhQhqgGNQKFM9BTNk70S9Q5Qk+
qCuuF6mCvdFnR7+GkeDxCTRe+tSRhNsSQupxLk96uev8Gkhtg9UWyMOvZ8FEs7UvQsN3fs2D1Bho
95gq1nOIVgtMh+QBULPKt3k6/2lMuZnZbsW6sYu98j0W7bmpk50UvCDYeGet+psNcTiWZYTJF4It
XzWt81fL6Xcu6B9C4h/ygo6n1WOYoWSu7S1n2lqyZtwzbcYk+Opzb22nj504JSnPlgQVNucc9RzG
wa2bmhPAAeqbF8YlkdDdbT++SiAPiM2KP6rRuQUfwH8G27Kv91Lg9wdEOwG/YMEQOp77qsvPodS+
gzzh6j/VArBVWtZHE7mz3QlGv0y2RYDLVHuBmC6iOPPMbZX75R+6w1dj1Itn3kkfnim3XB0P59rR
t3Hh/rqAZfWekkYGI6cvfSpX5RRWSfuUJp2c152T1LCQXjXp3w3mRuTPY7V1yNalhq4Iqeco9OcV
FZ9YddqlzLC5Bx9uHJn5sUuvZepESDlj6IVs8et0iR8xDb06fnpRGWRZpyfNNKm8FcZFnBVCHYee
K0OvPye7OTa9fwlyQ9sTwAxeKGt3ueczNouRCxHNwwkWFW23IYlteRvToeKm/WgKpqmxNOLoDjRT
3jZmDR0O+sXutSq8mwN3hA2Jl2wU8Np2zBXfltK9FkY3rbXafg/k18CEXZnJbqiRCWPzvHpMDnHe
6JwM3bDSbQhZfa66TeYKbw1oP2QOSYQwz8/MNK92L8xptnFAoG2KCZyaqGxfgBUXHjNBe/nG2A6v
hZduOFnTQHCEnMBW9yYrADR9564CMCsb+9a2XDFG4zzW5Ty9L2a3/KYp/yZZ6UgnknPGMxS16jFA
C7FAMIS3cPAWuS+IaV5lrGlbIw9nma6zOT5ZhUeanLtpYZxBRY4cu+jxfHvadWE1Q3YugGa4tbfS
pMLS5qPsxy6qBLHldUI6dWq8asI93tnBFgBOpN7rgvxYcC3BiezYU0bSahJkF+IdXlU5fYOEvCTV
NVDOl0jT++XyBotlnZR+hBIrIqs1i0bRujfHqLQdy3SYX3axJzZk5/b10ciWM2Yi0laGkZ+DUU6q
qmhw9GfDNR8gH20mUa2X+yZ+onFl30MWWOMDuuno78L4Tu/HzNn42jaxbSTY/fdQ1u6O7oHglL4J
WQPvOsjWjV2DlcGauuocl0izIZ93MO9eLF3RzJW+DcIhvwVcssl9eGqKvTWqFwrBgyJEdiM6VOdS
zihIC2qCV+mrIGTZYD5UnQ1gUzuMnF+iKr8CGJ+RKgTZIGnUO1eulZvDXyK4cIxyywTp0NpMa5wB
KYdQB+jYr7mlsbxXl6UxMjhcxi9Z8X/jSd+oOPujAnVSCUgS2BRvyAzOoFJ5t4MdkcVA3HZ9wdam
/hDeJm3pCWzK2zpzuV+xaaJMCAGZkGdeVK+yVsGfbFY9uEh/R2b7FMpCbRj4PiwpN3LqyXnVZPSE
sQWxmuj5qrAR2gXpBaTiJ9KyqK3Kl0ROc5iVeP9S40f1AZFl0sP98iBN8iu8didbqTMgk+uxsR99
L2mfpV1tspYoj8WkOm285lpIfzMunlxZ6fgbLy0/oiBi2kvY6fUm56oecGIFaojkZH4yalKYvqwf
kbjtqnYSKIRTucPzV21aJ19bot+wYSRAxqf5sLyhPBpTR5Vof9pexTkSAOGJnfnZX6yvuK1vtPeG
TcywN0zMFja9UhvAm0Rx5N7GruOnUTUbNiJPYxZHg+lFzphFNXuXqmt3/sgQXjRveB4gLhWUSvRI
VYGI84hwZ9P2xQsoq6orrwit5ZNwPJh3AzIXdKDYyBpoIEuxTcdXpYR3blnMQH1ws48898HgGgIZ
i5ZIGFaDolN4VF6QfMdIVJEopUXyN7bUcs7sDA6dXlfGnidKqyNwl/yCKUhW+LCtfTIIYCepb946
w2wedWPRT3nOs4cd3A4LPVXA59iXOUyF9yCi53U70zwjyT/LkhLXbsDhY7eoN9TzCR01D3DKdhiv
4Nhtl0V13BX6hjXLF8HfcJ10PTb2RNcQ9ePIaSc9SF7tID40MjdeGPJpNHSx+cVOVb52kA22SVsO
myD20m0lGnBNtt/t7VzVj7SwBlwNjcmqcB0WV4SoR3UJ5TpJfOvFStBqh1qiI+vR4tl8chacinf5
D20O/ATnJrjKDk2FemnRKjsn1MDkmC8GAp9E7sxcGm5en7hacrn1sqVYj/cxR5f36pw0ifFQuWI8
lJWflht9zOefu6MybGc57TmB6j2iznk/4Ls+LCh43BbVXA24n4FBam5mPVDkdnrTax4s5R638fTW
NR5aJQRbXAB8m08uOeK/gnoKhJzjbStrEDsdFtDDJMr5J3cCml69nKMZERLaM7LNApKs6YJqfrL6
xPKZ1LG6WbZ4iqfQa2N/q/E8fCKHdbcBiQa45YrDkBdJhEwMGL3u99Oam2r6i1mieeuHAQqImbvW
bXR74hdUZZ8sa9IbhE+22BGWle50yRS7pFXvMlKuOmewSGCvGvpfWd587kNAqClQccWHfy6rrgr1
WGtCZSgoO4M3ANS5zxcbjhLXemYII4ChLIhBzd77mswyu+llzufFejvbBnqjbRpTF7dhTOpjnTXW
qUwxlhGFdMy1FIHd4uoVGz2bf2bU6/7q2Y3+ETuJekeagMK6Zed+BS1IQ+KPZfEVY4IGH9Sx2DWp
bnee7N18lcH3lPZEE1s6qfNzD1KYMeZZIzxD0ed7yQbhyNYyPzjMuE9satu3PidhLVOWc2TkHyMD
FAHStdo0xcHiq64Wn2yZTcHql3K9ltYr/VMNe4hLBrD6PiU0pxfL3gncK3b9bF21wRMR958wtLay
FYcxb+NtYgDgcn3DA8yLhKDc4znpyzscgQlA7dVIp0CvzscmzTlGxMDtvyLxKmOzWAVbgsiHNY38
cHO10Vy3vqWnUJf0pFq7vefQe1TgNntND23a6S0OIM8CJOiJp3qskq3Op4I+EdIj78AW9UQM9z5X
NDvxqAko+0m2af3GWKOCKbqV742ffl+/DkNgPGr6ZFMHVMfCGs+NBtbKRKa5zmHXX41l8c7we55q
u9yUfnWdp27Y9taClq+WcojZkCrvPCEFKNdt0QFrrJqPvMI2DxUy6fdlmnV2aJlz490dX+lRkt8C
kzXnSCW5q902k/3liH7GpcDw9Rw7FShu3EzuiQrZgDOhMW0tLRPsbTr08oDoD+h13Yut2wakCVlN
1fwUJkCp1YLZgt/oxG4HQPl1JFWNARa9FMWIGt6TpmQ9vahi4fQTyl+xeZUCBLGOaFZW7QtAcbQZ
Hv/uQcQtQGPNK06LZw87hPb7HpMKRHIAY6PZ+JHFruxm2cu99Fj8YT/aBjofyxPzoWdQwfWaN1h/
BehChRHjZDbCbDlCjGCD/ZWq1DEWg6FK3+8ZysDgpQ2slB4NsdK3rTeoL0Mq5DUj3TCB4WgHZB0F
7rDREmur5HhCYzg+meQ06Stl6dO3V9T6yimoQ2iYc4c4rNhPQsy+ck97Jf86aZdsFr+DCr4MkAyK
1EnOU5lMx8XtGJcQrTRABld1fHDn+tHxnYbip4zbaxFY5kdMDxaspGKZTA9p87Zl8dEyOLGzvB0e
TC/+Yyv5ktcQBZw+vhoDYJVKM921RMpq1TT0jDsIZHMBidZgnVee9UzYw0J8wnsgtPpEbCrxbF5x
MDlraW3SD8vQkt1YtO9umT1isrgNqEc5RsKRj5KylD5cuwyt11BYEKxi2+Na6t0bIzD+yCzeSBUp
IqQVY2jCgosqQjF0rHcaymiHks0pYnCaCFtO0ns3a/uZSZKxBXptr4LCehwnAvf0sd6CGsGpCtqN
feWfDnzWOl7s/sqc6TFFzJQyW830m7UY3gkx1NfE+UeuHfNezbHlSVWavGrIhTiCtTRCIQ6QDpHE
ZuBN8jVw3R7zOtjDm8QU5ocgoZGQVyRK4zJ4L2nrRj6stFzpN5hq9mry/Yepo3JwgvK7sM2Lbtew
zQRYXgUDwCZWZdM4ev3t8Kw0nMprSxUPOvKTKJECajR4Sm98Llyb1CC9ap7QX/iRaU8nmZuv1WJ9
d7372WcvHbgrXdRRuhDTUXivdcEGgsg7Zk59CWI+Rx9lOJ9LAKmV1ImXUQ/O84TQSmMA0M5kG9rm
gjTTYJhCeEvTj+ua2Rgwkke8KhFymN3UNBE/6sbhRBBsX0pUqPTNf6bZ414v7SEUMjsApitXKfZM
Bq72kycrwdi0vY1KPYhAgZbOGHgthPjo9AtpgX83nYu/STe0zCK9p0GX2S6nTjsxb9jVfpyec4Mi
D/PPhrRK8Yi8LltBb/1ruRSkS11XjwyIn6a7UMuFgcMj4jy7jkMUAcNtUj2CqNeNO+N/x07HflP1
QFfQ/ClcOL6M6cnpKf+OaTZui6Tp19xMmf6QEiD5wkK82o9oXsut5WrvTA6OiqiPFazfP74Jx9ab
pp0+dFc51z+NUmm4iJESrS5/uzhjvKX/TpXx6ksSDGv0HjzxGahH9G7b1mdPz0TlZUyZmsM4vcZ6
kx8YPy9nLRVyU46Em9kFomFIJGotO+tUz9OHWxT7IMZywb0C8bCsb0zjtVVXAl10037bToTedOh4
zjhbs72DnLC2OzKhTOHU55oonnWQu+ul87e6JfS1bkg+ORGSkEDiqFE4zHKmtxnCLqGAAfj5xTxr
gBQJB/TH66QMLUS4S8kL+m5eahT3DlFsk+pzfsLF585dTo0srqJJfcDA5s0zJbr6LDM/lJOMd4IE
jN0qBpQegAB+cDMNkTfoLWCAYPamnq1250C4zbvneRnydy7y6QiU+WvRRPpuL7F/EZ3YVYrHJdZc
2hOg76Q7kyPXyANdkZC5iFLhp6Gh0LFbucU74XewI4Jc24B4WttFfRIKMPnSROTtfk6SgR1jD42R
FIuxwJrPvWOsxmn8a3IuyyJ/S9jD1KyHUGfnu4UpDieaCAuz1qMkUc7ZdHlP766czs5/zCzZVIQ3
GZR5K28UGzRtL7Lt3X1hAGw3GFQbuRUBY+SXZFJT08cJ6yUFgb9SSd8xj+5/s06+LXmQnIhvWM+x
Z9zBIaueCmNlgQrfmqmx6u3sUEl93xkOU22O6IQONzWW4YMssjYaBGRWUfkvy0jahpcC888ORubt
siLfBjl1Vd4xUul2yViunFzIU6rFZFfphggJtGGZY3JUB7pY1qw05lVSxTVCciiQU8YPyeyqbk5S
LXsSkwqqVuXsjOBU2U65s5siR7WhkXba4BhHUXabRfmqWdMvWyx+3OUB1UTN0X6vEJI3rDZrpYpp
bcEs3mM3eU6z9GVqNYIMq2Rvk+MxT+IoKuPstC70z4FWXiVHYgsOXIwdM2By6O97zU2PfB1/Aa0I
kDAuO/xRqR4cC8ME/bc4r8Sv8eSMI+j6yTEOrENuWgA7GhBIKDX5LthurwdP2Oecn2RTIxILgaZm
K9+hbrP+1Nl7N/7KjmWHxqOPyiujSkmdv33sftyzfloPJkVpGSywKga+thW8kAJZHpyGF9aML9aw
3Oo0/az19l2fWCuUookUOlCosHIo+LVKd14tRWJvstj31wEdZgDdzbSUhgG/sykbEA3XfFlMD9dB
ZoT18jlkhJiIGOqiQ3y7rh/7GFhq03M6LD6jhrwm1C3RbEILQCgYm/EeUpQtuwDd6ooYdD1EXkKI
bq6wvpfGunAI5sjT6TBZFmjo0vZfvJz5MpTMZA0gvXuAU/Gt2HYMnba9rzgHLclD1xTJWiZGte6a
5cPJ6muWnUZIQSXxs+ulsGlgivom+RROS25wgBvuzQDuDiuXK2/RSXkwELzyQfPcOYP+6+rf2dCO
Xz37w83dIa3l8IE1b9XVIrh4nn9tHWi5nvWQNcyBoMD+yU1s3fckmcwdnjVqjR0Z9hw46rPl+cpW
yJz/WAxkM+kzpO7dq27Gu6X3VvyxLTNVlhqJzYacqx0nBRPBJwSHqAh5WZc2ewGPjlpztH6JnYNx
b4qVDRd4XSXxm9lmm7Hw2SyaCIZKlo3TZBxkvDwJShCwceydWZHE5W9MfjcTbQJQ9WXcOoqylavm
QXLIe021tXwHFTGQ94DIgioTx3gsj5aEEIsKW629vNxllbUP0OSuEFQW31woyF4Du9lUWretU6br
XV2368CUzGdY4+G8rx54te4i2OWJXoikCJZyxBjYWIvsel0X5HqY3nhjAsy4SzU7kbAMNn4o/Hdl
op2rht4+84qfuMNCXrSvxNzz6llBiJ+bjVCIIDUiUGMihMxax7M8VRSFJTlZEJRhDjMrYqbmqhR0
c7GxljlGjGwIgm6a79EqnrqRt0x39b3t9gwf02NAVGtmxG9EYYuwMZpfXMQhLUa8Jcw1Jq4Cq/zo
zgz9HUJTzCE9l4nxpXK3PpsKLqDR2UcdAti6sNAyDCQDV+P84epl+5ou/bAdNYZ/HkOhNTXjrp+1
d9SpUQW7dGM74xodyBi22cL+NcfU+kOk16WvhjCYIasO0y2xyYvWx+faqKPW7H+ZdbLP1MH/dWJ+
gRySfqihepxpVseWAXUzRPmg0Q758oj+/2g2hNws77G+hA1qPb0xVqR/XxnbEcNqb8nLju7KGJNn
UVjtFim0pDMlfIR+dYOsfV/0nEnW3CHnSvHy+qtyGPgvfn/pGq5mhLLIFR5YD+wbPNhTbX1rknM/
bvtzNeine65sIMEKdVd8bdSZSDqqWJGqRIyB9acEcRuz+AvsZ3JLDv2sH5LkXgrYowi5s+kA9bVf
cSP62psmS/bKBtkl3oj6Z94aFoAYoztltdhwyxLAqrq9YQLMHna6X1JE8uyl/rafk28SdDCMNUzX
apYtJAxwxhWxd+uY5ec1oc/KdjZ2w5UegELv5GtCDEGfx1GS+avBSeSaCzL5tWJOWaKdw8nN9/T4
qxbX6LIgaYr7eN+68xk5Om+Wieo3j191bTgQe+Bn5ZVyc9xkbImnrCAFOPt0MIrHtnbryy7Shzhq
BKvdhb7BordoDdYG5lEhz2tcgscXbBurpiTlhG+zNNsSMrWehM6Q7qoFJcBk3zGRW0MgFsxQVi2E
qRflp1PYr4M3PzBzK9YTs323Og4t1grk9Isjk6vWkWzD/meeIk8nozjNmvmvKWidxGz/TkkVFgsf
lNM86UH+vDiHoOrXc2E+p9VwgdlScrC3dFRNF01B2kdZniOLqLesGsnQQk4cLj5P9sz9GFUyv1jQ
bV46ylMOyISBK+MUO7YPzlxFvoJqvRjLd0fhhP/yOSiWZ78bd6ny2ZOXwTlbfHmSusouSJKWh3qY
jpO5UOqIn/+mqvvfBaL/EKqZAC+Zk97Fr37wT0K1JhgWkVc8GqL2nIc5F67c2hhDfyqvLV7lNDJI
xS/unaahQc+PMKM3o7Fg1Rv9L9/JP5nSgRmivAvuwBMopYhw/0mqmhKE7Za9Ua2Q73WfAbhwGw9p
h0ekIGjkSZaa9sPY3r8Vqu6efSyUGxaXHaabxf0Ph/z/a7j/xbyrq/9n3eUzOYXwD/5W/6nT/Mef
/w8Ft/mvlgfNJ/AcT+eXdBc1/ruCG0EmSmaolx4mN7L8DKza/+lx8/7VAucLlQXyFaLv/2ZyQ6zJ
/+VhaLHJLNb5h/8voktD/wca7L9Elx7SDUz9ZBwbJnQzvtw/YQ3w07RT1mu825bGhn6xCEbtQbJb
f6tiHsmcJf6TTVrameWnwdCXeSKF9obJflZvKNFiMtlp1fNQMGH3Vxa9LKVWTUOGTUfHvVojTfSO
Y67pZugljf/tTzmjyQmyOEeTwgmmHQKlYQoK6R5SZ2/pQryYtpcHwOpbHcI7toSmBSLvJvcoPaXT
dq8BbRgyvUdgyOrbLSuk49hw0C2XG6OH0VRdjNKz1XPq9RPtOqFHUx+ZvQuZgMO4pv6h0icHJwQA
k0dS4QHZlYWnuqeJzFt2n1niWGvZtiZzhKDPJ+fXMtTgx6HZqyk/q2Bq9UdfM8RX5qGrRV0K4ZZg
ETVVWf9HFqWq9vDgpLmde29B2JYJg8y9YGh9GWrKXwS3pTaTOBhP863IXAItFMWx4qA3cTrv4NIn
353mUodalz5G4xJPjAWLfjvr+iqbrL8qTa5gignC6aq7wVoxKKrQvFJR0lD4WX3WzJL1cdIRv+x3
7QkwgBU5JKljmtdOfFuvCLj5TNNGnrvcPgyM6NDcfU7jZUaMUxFumAOuyCXod90X8z5tMhCQduI9
ub1zCuKKcts/2cUcLb2981Czys61woXpBkilc8MnTPte1vIwtt3DMic20R2zXtCVJtcxrrJNXCzI
CmpiSKapuywCIH3nMW8TDptk+86ZX+x6uriJY1/UYJx0zLyIqgbhzTvM5c8j3yRHXoy+KLF2baLl
19IcrNUA73KFfXkXj227Lac5jpiE8dHa9kuvtU04ZB7JWGYitgPxIivZi0ORZUCM584851PhBkQa
IeHz4upZN1E2tggu8j6GYSwpClrlpOixJlR6/tIkLwOGsoPLKBhbgCTREYD6UQ/+wtlkkIEmGwVt
uuDiHtvTqElUyF5o6RrXgjjU/nyJKzdzoppO58aaV+O+1+Mc9dw4UCHxIKz8stmlDsoNnGwrzxPV
ZminC+ZDdxXw219lS30ZLL3B4h+sk+xu+07qnePOTwNaFkQO/RpXX7Vls/ViFOOG+B4ku6IcH9Gp
sgUqDTs0EoaOaUpcguZYLZushlWJLGd1LnwGJJozH5JCLXTBLlZARjkbr/PIrMBm+QgrNNP2ujQY
rghCymfmT2yLmy96UAxwMv1qp9zGgZ5kP16jYMj19vLZdY516seGvjvwrEMa5OnRY0Z2dtPxbnec
kCxbhPgFCoWfn7NKDmeoxIgjxxbhqyJyuLTOGE9cspw0cSa/gDVXORNF1frBo5nGpLAEbMPrDVv0
T+ZLP6NlkGDRl9j3fbOodnatzSdQo8Y2Kyrym+aEvy2rxluPo67dhyQx+Qix2cfbxU3IUCltkgGq
fo+df4wqZRrxxrQy+o2xktsZXSMvW6UQHRKsIH3QATPuPBNyojqNVpaVD6XUfg1NPXREqwAVJE7a
SjXXesQphJ4IiXmSTLecvC8GSCBI+/5Fl3URkiDZnHRHHEB0vM1sn7UveAdMzVx/1fr1PjP0cQW4
h/m+ISrGsuihGUdX/gVAe3DG73xJa47CPA1os0StPYKwObRpc0nRMxzvsgrVFPZDgbpwBctBcaIF
SN0HUrY1wsnD2CWcriHgssrqYM2YnIyWQf5tx1L8ton3UQRaZA0BckULiTsGSR9lrHgVw3w2iHLb
T325vJgVPawuArnPButSYyoiz6a2a1LAcLCR5KpVDzHRKIyKy3Td2tUur7JHSxsucw5Cc0WcVL8Z
PM3YaMrgyVI1kIW89TEAokTCr8DUyGlZa43/0Jl09oCkQENrY7qT/mpI5Nh20CXa1SDW6YgfoeCo
ifnJs/rZ6wWxgaxHmm6XO04e3oFwirSXcASFYdmNc8m5LPeN6Lu16yb+uGskR4Y7ar8T+aqcOQ6T
TS4MKA1lmM7es7CSd0eMb55Te6eZ0CWS0mofhcsgm1VXdKdFiHDOlr0KXPVWZoI8wUAhMD45y57+
f4Ve6SGXM7fp2MnQcnj2a/knbvX+GIvJDw0YaFFCCNnU5ayx0m9OOrXKktg5w1awn6j94x9r+Fs0
RWTxVrNk6Lr8Ee3Hbs6LK/IiFkvTlrCXE8DDZK03kn7NJv62dPUPp5NPxNqdisR6IsW+6Z2BLXq2
ntBEtAvDAgncrFbdTptLlJjQT5CWJPVXQBPXeM5hTIwz9emBjNlrbu51bcK2gX5UHIyYQBurog6o
14k+MnMmLGg2VFgZ2guJSziHtAfZJ2UYw3suzfgvh+8YIzl0IXw48PBTu9i0QXbytd/GuCrk2V5X
bCgOXodg0diBZXQ+SCLo4YOVl+Zbu0yLdD3K/Js1R1g3N9P68un476b7NvvBMY33nhivGBEAGT56
e8b3GE42hUUV34je4jUjVI5w+uyeOkTMvZakKJourfZcaviL1T41sx1SfY5kwc7nr8/WuG2K0PXw
jU6SKJNxV1bq4i4cPh9Ll4aKE8VzudtdL/T8i+nZZ17ZR+pJlr+UPK2/k+x9R2RhAVhDibU775ot
8JVDZ0673pAoKb8Lwgb91HpMyjrKcW6WxBd7AVsu7d3RTiVbx9BgsUJJoNbLEJxLNDZB9poX3tq9
T9oC9jk/LKA4p8z0UUGs8tL4MNUNAtTFjVphhXipI1+TJ/K0phX0FeafdR/U16Vjh5TYB6Bv7KOo
P6bgofEF+69yh3lCdglKjbgmJBCc75mseWeFhZxnRTeba8by5u7nh/s1Oi2ZyZnfruEXWTtmRXtW
NHR+CGgsNNodcTk8LcX8DZd8wHFR5Fgvpi2ep4dxIjTHlYbo+WU3XMN4fK54+My9Y4/VAQhluotn
6lJfbUYJj6/Oet79qn/rZtvaZ03tMQWD9XMPyEzbqzmmT2X74CVZvRtKAyWJXB5MvzsaLSaRPmot
f16bXq0PBPV5HJF1/sSAtfkzWcGwc2N+A7k3NAF5vHTi9q83549BMO1j/spqtIM1clRCClmUEA+p
dkM1kyI7g1bIUSJAtVuNzXzy9eRZWgWZoNx3vH/7ghhCnPOkT4xNxH9CJ6/ebNLfD+PY8XTbgp3G
v7F3Jst161i6fpWKnPME2AFkRNUd7IZbfd9ZE4Zsyew7sOfT10c7K4+t45Tr3HFl5CRTlrCJDQIL
//obLSl7Uhr0W8+KX2JLHiuVPlYRSHQ52rfhHGOc7MNvxXpOwb5x8zuLkYnn1htDikNqeQ9OgikO
LrIwtyBWXqOaZsXbcHB7fBQJZeMs3hVGssVQ4MxMBLBaxMSAk6THsaKbAmupqL2jJKnmYIm6fUhx
jBRh65NpKJPpKCfSMM5XizxKvBET1ThEkG+IJzuh1oRIGM71LRZEFwhh6A4q+74V+nH9LanzBzFl
YPPGs+9m5wSQ3Rim+NoZw/3oNwT+URJs/BCedUPrs6OSulzG8raeQ5KO06CYmnORmycGaLjCvGKO
BYyqybo1nfZ+ElgBVJ/bnNdLOUxHWpyKXLIC5DME0k9+P37ytDqn376XS4lkafIDg4SHMqnvpyq8
cOg/0A2XQdoTUlzr0t1HnbDvR+UuQJ1GSNqRO/O7ONBgkkPbBVDUxeIKk3VnDw1uK4w+bjZRDTer
iKDTAGls3CUKuBTgfTNNBwxQnrsBwkoMFeEo1FgiUNE34ww7Ndn3XbPHXeoaUoNf2p+8cDrNWCvd
FKFfiymRYsGHxYs6136QVt5JRKPUwN0Pt6XpyO25TqXxp8UD/XfLuT0qa/GCzcpuIuKIVFJ0PdVl
Cr3ACYlBb7/GnXMCT2VnNP6Lao07P1R3UT4cJBFMZUEM4yCnz252GqJ02ziroZkFcl/GPk23YdoV
sKFCezlNfYEghnapMWbpqZyorh2wYzgE7EI2lfIRTiPoS2z3ieYdjlTz3rKKQI01+dbVGCg13yQq
OQZrvVji8iwEOQupVNhl9k1bPeeZ3Nec7KNI99YaUDoMW8/Nz+rQPYnBieBAKecJxG9vd1+jysAM
qLzGVAFSer8BwKb463YTc4RARhRwS0p0Zi6VcUgskxWJ68WSR5hqHBG3HGQRNJGs24kifa5yfW5I
46HtLhW5SiRPnLew6s3oBTMTojJnP4ikPM+wnUi78aEa7GYb55weS2Zkd2QvcD7YejG3bXSRtnEE
Udf4Ku1pb3maftEa+NZG86k0J+A7QrRmweWlyb9kke/0Z6FyKfNEVnHDQcUCeTmyvfRR9ZliI3Qm
avF+qcIveZzAKY28flpu4sonIrUssRE4KPxpzd1SzOJNtan1xSQ490bHJebwoZnIl7jWxbMv2gK2
Tt4hmIDeRt+H5NnzorD9+daZc2XTWZ7n5jwe/fTY7upZ7yDwlQD10CRbdn4jNbjaZOblwB3OICfa
bOU2lbautlRZ+gXtG9xUi7BvYqNDAFG0TyFebhUsrvWqRUw0Z1YRP+ceLS/a6Vqc2PCa5Fb0veS0
zq1s2nhpCxGqaPouCpTdq73A9yGAuCMwE3FLN95bsYn//FQ90hSwzyGIi2e78SMUkoXgzg9fCNbn
ZMyz3jdTuY81RfIOjBwPHQ9DDlzQaSphFkQLFfZ3ocN9aciyPi2ZXKqrARhxZ9iuvI/aRbF1uz0J
jMmAPqi3TUrA0Z31k1P0azdO53SwaLa1kjCwJDpbYJ/SF4PndsEHG+8io6/PRsuw6YU0i7otlGLR
QJHP7tKJRmfW+O794ofjV8M1R2LFhPZzLneklkJjFjAu8na9WYzTar/h5m5aBg2d/pC0MmehcidL
bdk1jWribYRVM80eNgy1dQaum1yUtbwJ89oFt4YXtC/mAYYQTPbROCMsEaZHN5FZEhA1MWpeuqXI
9vZSTt4Oa2N3hM9j25fIoHLe/r5Xl16TT8BMddWfUll61hZaTE83buKw3OLok6/7+Oh2m4gO663Z
uWv7l+UDqzbB7HXTekP0kmSF8WDqfI5gnmSJuB1Hl4DUInTEp3FaTBcPk1TPu9FYvtCZylmAGfKF
1fiiNLbzOJv/dBH4PzT0H5b6UIV+W/Vd/B+3/etL+RMmuv7Wn1J0XL1w/AIV5cjz8Xn4jola9h+Q
fvkPTdM188tCpP5PTNS0/rCgja4+EzZcRkD4f5la8Es+VxcsSrHEEFJiTf83hOg/O9MqQhTwW1gh
W3xebecvXrlR7MUTMP4nl/v0HTQUe18izaVNP7MPcfKR6jDAp/4BMP5FS0Gt8vsfxO/rsMANKO2x
pIbyiRb+Z/E75CzHnvPhodJVme77zIumQzW74RNdp9rfrYnhI9zQgivboMZuW8S9usPQvPtsy2U+
6Kyy3WNC1JIcklGSktXcd671MMlUrXffdnodkjk5UTJsRWCnDn8iJRXU3bc99UEAeciqDy35JOdR
1Q9PYYcjBeGls3bPYTDYct962XwZRUwD5DjptgdD9SNBiXnmfSn5trPzFez2tgn4bsUmxmdBXmLU
tYtyb3CN/GuXiDb8RNKNDbk3TdgSW+488WTV+wb/G13ty3I9yBe+4jY/9mBfyKfYz3rAU5A80Wz0
FGs33dVwn/wvmMuHUMRQwpbXqGrF53E0008VLe3yMHE6uTdeUtnnDg2P6IEfTRJJosfVMNBNsgrY
e3NCDGqmLv3TfnowvBx4aZxb/EA38WDXgR87GnPsph8UXcgIW1QivWM93dS5xh6jEq239y0lWhCb
XsAyduDPYhcG2S4a8Z4/9JMBrkR8qnEOH43GZ48wkmq+dFfVbFvJy2oEPgnMRdfm0URiqk8cMm6l
GxNJp78vVBlCCnAt2HxcOHtnvIbW1MV3OEp/tvRI+oE/ugS/Jz62AWOxyOc6qzTnQhoZhIuTg8ZV
Dnlwt439no3cXDqPdr0xsQOG5O+SNG6bzSqzK+AYOXL41ClQGjIVzBnuo0+ba1d2plPvKU0p4IC4
E/oDU1pzuUyWUpwKjEACQrRrmIeDXMkrs8Ftlnk7VGWFUtegKs1hmecUoNpvi+YIbegCh8yJThcH
EwOLELC3fhyLt6LPFsWRHYcRGcdu/IY/FCajkUAODgxbQuvgXcS2pLaO6sqOYJ8WVY4LpOVE6BrQ
WOottlvjGVBjR1K7Q3G9AbqcUIEmYfJKAPdkbRs71E/9Ary/sduxhksQab2TIqmJZkEU6SAqbJA3
KsshhJSTGmb+OKrjEZ/cA+CfD3CBef9BhYBvNDBTBFmYV4lon2dh4eycPnJv/LRuX8l3Sm7GKOQ2
LqZCXySeWz04YpDNfjHaETvwlLfJyzJ9U3FSt2TKjB0XkyYqDgNK0SCNRTuCVEzqYOpuRUyKaTmD
MLOEO2spqe9yiLLT1gOHxTFuYTxuP/Zob1YnNwm8DaN+k82a0qQAQALxHQdcMGN7ynrcIbhbIJjv
9Z0HDHidZrjQb8j4QBAyFcOnyW3dZ9Do5dFGJAwfwkr7K/y8k1tyQ8uLZTX528169L8OSwVUxeyC
4ZpRDuPJG5uGnG36lmjhpVpdyOa7eZ54ieXQ+TdOLucHyH35izP4MTm4ITyMLepegtW9IRdrzno+
X8EiR2Dk+Ubb7WtjygyMe00yZ7wJnhtneok8RcCFRQRrDrFFnK6biSCD34Bdrcxd4qzz0E2Fs4dG
Thg3jdTxNsOYW78lNh0KRJNLd+5L2khb8qYt2JduAS2sTssaglcWWRZiVZb71lo8DUfQwn4NqY5T
JsEyw/lCEOpqtw+ykkc9j3Ttuq8FhEn3pI0Ax5KdW482cjoI5IQgimgaMwAP7dcsVTFFThIF3gKa
zY2kGdQUwFEwHviSE+QPevCcLZKNmPtLmyvijarOGnYjcHemaLbMZdsFRq2YlwDHPIKuZW8s8UFK
lNtZAAMyI3Nd4wTLVmRFrgE4idC5Tc8rvSTwo/TYLdR8gwkDr4TkkW97W3OBdqZmLi3+tG13FtHY
OAqy5Ac5+4e6KDwzZjYMmdU7Qg7DgJgDASvLV6jrQqObKg3IX0nnZD2iuLxkNmjWUZP2OIwtXuGz
x8VcE4Q+U12yjMQn+za9fZG2rbyL6EN4NoC4NgEJ4r5Uh1qSTYFBBw4rw104ZLH1SYsaNEfrFK8+
GoCahO1kbL/ObhM+jBZZopuey/VbZU21dVyKaGw2Khdk887p6B6GMHY469xYPLHbhV+XdozPulQU
X9Ms9I5T/AyRwxmwvuEUelxH04rmLlrxsD+HJOqk2B7bk7WPxhJlT9LEj3UUdSeGiLuXHheUDswi
az4737pwaTHxwHhI0YAK0foRqZ2Oab0jgXtA4TC4gPaNrsU9mwdWSLM1VBfsWHSkWLxwLWcjbo81
ob0jFAyDa/AwNCEGe6RBndIXojOEv59nYUNZqpcGtrW5cVUNZllMtrkE7lhBmQg5++GG9LjDUymL
V1JB9V1fkoS5tTnoIJXlmboB/Mz7vZwt3IYtu6aFuPi5+KIR+y8bv86jW18n1udpYU1j0jfyoP1c
T4IsA2PQHLqY5cVBncdI9WSZQc4v4nS6dkfPe1iypuv2graou8NzblB7ioUZShEW2MNWt00R48YY
IUvNy3b4NNr0EjdVOscelxXHZKNrGi4onRmrewM5OjoywuxqoH3Ieju4Jfa4GSqV50FE/vQnex5d
9PnIwF4nXmvcHZee9G3J+wNVsfSt7QQfHWJd3kONRrgCpaWmPwd8XaXqwqFFne2ERUb01vIySBUT
t62BiwgUANwPKnHqxxPX3V4n1CBsyOj2Sh8V+zmmQTmnUE144MYy2L4ocRZJvWasY2spaknnwzEe
s9EGS3OX2Up2i/Yk4uLJMRt6nrRLj7yIuzjtjIwdXeoZOe+SWTGAdi4ngJhxbubDkrAxIX+n/iHc
QxG3CrKfH7djNTjc8B3VH+YFs/NtZ0dJoIpSyRPyhJoj13ENvAKsEOQFWbZkX/LYcfUoMT+N0zA8
K/nH/oZEAyiYhJHTJpfI75hiV4XuUQQ9ocUhfUofxxGzkK1PQMCwgbTZIg41FEwvOMAgtyOgxBbR
IY0oiIPOVWoO3jV+YsYR4kSzBXXCBwe8dEY7Kg33okXp94xaGdcLpFveFp7wcsHSnJ5Jt4itwEEx
TG5Mlxsn3jCoS9irwIj4RCZvxAtNV+PiGl3AHdh45Mml4uIfDXeGIZCStrNyu60JjgJWPHvOC9AV
+Gno22+o1mreTgcv221Kl4rdLi4IOS+BGT0g6S8zRivQE9DSrr09HT1NVAtXIYKl87Gds0e+rf64
HrjQb5TXEMprCbiCZbLg8W4ZiXWnm8W0t04+Kfxd8wmvjApz+kPYwL/Y9S7W59uh8tJPwNpIwPK+
oCUzjF4U8v4beGaQ7wV0nAturduqKTGGFEanbnMyTKNDFcuQRnw7gQJAVMgfPUoVl0AKtphNHKWr
CI5Snx0MgRQ7gMC2csPemIbbaB6geCqsTOFGuo2LZqqa5NnYwxd1c/zg8fd1Buibi2+1AURgOkeo
S7661qqFRJbBIdma6qlkwV+1eerQUOq840Fhh87kZ465jWOIpiwF2k7Hja9GZLwhSNRmprPABd8O
4ws36/y3sojsZ1oV1bClPSeNQJQOm4JLCZ5tlDEjJ/azoiH0y7Szs3Sa1qMHHV4ZFFWPtY2foKra
Ohmbw6YbSpHsU8Ms8GcyML0HtajCBjGL1DdmkherHUFU+vuxo80H3xlf4K1PQdcderOHE4nJRLKn
kmENEjOiL1uJ3dG2lokdpEvJ1qRKt7xUo+k/Ffh7wGNLFptYghnPr6obkahgF0zTuSlM460EuIKO
kUR9cZaGWRvvWsZb6LHSDwIEkbG89URoQ3KjTJxolBSw0wUxJ/ATE4q8RSMj27Tp0LpniQSDQ0vV
eMeYoDZXeTQbaLPsqMOjATNXnIqtbCTJgcjCVzPMk6eCl+B+As2qN1xu4ERiToDQqzbC4nPkqelT
MhBqGaCvpx22EIW1GRyLBifvt3gGraVuhYcfbtgBnHttrWhVaISIchY+EKzuis+TpUn6OXMEH8JC
hnxjVnDv+cQ1zLOGTPPdqHN1cNoBdWhOABHLohZQ7sGhmmbXWouWR8ot9Wqp6pfIy2vBvadrjOUs
okYu9r7dj8XeYFtFE2+0PgQ7q7ePAMG6mL21GZLNaMdo63gT1X01NhIy/bRuUwkGWHITO4aITtjs
mV90Hxbg08IJtxfwIJ76wpuv05AqZM8blQ37ToUmkwzCTHe9N0CtKBHRSaUEJmEPXdg1xP4xJiOM
/MLqAOuUE3FS5qRI3KZnR/N7WGjBGfH0hMgYlO0bXPB/4NI/LFJW/j3TbvOmC4Cln3AlfuE7rGRI
5w/pKKpJXM2VJLYFDOU7rrT+CFDJ8dZuOFJXyG7/ApZWRp1vEovkYnvuwYL40y2VH8Ezcwi89EAr
lAMN8G8AS/JnZAmiplBEvJLCC4qCKH0lFf7o8N70BfKvqcO50MyOYzc71F6/GXmdHChMGIRM7g3Y
2w6XiovIy46KoTvwoWC/Qfimj56q7FAhn2jmB0IwOMmaLc3WbZz5uHHi9ow3IOpAosTynW+/Ot2z
T2tyavojL44e60zf930ZhI0Mojg9MrXYliMa84rjctl1qAsM3tgo7Q5xFz9GTrubpN7BNVi3I/ah
nPagfYB1dpYdp7Z/pCWaHU+OWz/Bptkt6D1ic30HcvcU+sPNEseHMTH2md+dSveACGrTFRD/+Tsm
sPAPi+AX6BnQ3w/Y2V8ndsXWfvDqBxMcZBG2OkApeYKWFUr+FZZ6+6H5XZwyyOSHI60//2Gkuqmz
eKr5Cn3ryrA+DebvAsT/+igeUZcS9qdyJAvy3QCNMkqQashNXnSeiHRbeLdLFmTcjaWzycRdtDrD
s9l4sKXr+NSuiiBDMpumlwA7W81OuZbzOo9PWq57cnjs7XYnzIeJhRPjRtWyQ0f8ftpV2/Vvdc18
5sN/wbYNfe21QQ+px+k1xeYAYSmG7BV3IBwpnYiuNzIjIztajz+bVnnlnjSV8Rsg1PzrDDMB+Iry
jhBMYFnrBP0wwxjQqrAeBx1okNa4Sg7TlzQSW7/HK3M4ytiWKZAcNfGMBDMzKbkVBrDE9393Sf38
Md45GxcCyu4MdTBIfU4++PCITBDeDhuy7IOPh1qR3T8ZuOvq/Xmod2zyql4RkGhiW7CXnQV7E8Bi
MwAnfTzMupP+YhzQcZ+IOle+D13yY5goeLDDm7Pu4to9JsOAgBXCaYr6YMSP2j+TeHTS09Wiv1mM
i6oa9u3yiMcFMWvMdY0rAQ5X4edwaL+fZ//bDO5/TsGfH22luf/wpTttPw2wijXJRy7p22pH+u0G
zBM2a7SP2uYwyFU+E918PCW/fNnMP4d9tyH7xjSH9cCX3Mh8h/EJRXEKDW0I8rD9zbr+9bL+c6h3
WxQITFJHPUPN9AfbVdtRPH/8ML8b4d3OEffk7PgkxwYIjDTKlf43W9OvJ8v38Cilwvbddy+mFLZX
p4pNtjcvu/lLr1gd3Br88MvHz/HL18G2uUK6sOKd9xm78LX9qWgZB908CWj0MR4wzP94DMd5l4P2
fcURFaMQEXqm/S1N9ocV17qREDTzNXEmRLymY4BhCO4m3rG1iB0JV9gJhxuQuQ0hAkEiT1tXEA+E
04iyH6YIgl+tvlpucpmM/cbTdQrgNN0PXY+eNdFYg6Me3WDRsc3C4QhH07Niuk/JWXDyMogx7ipx
2zXgNIF4E77iHgQwdDcGosdayF8uOvVFNK+Gw++r+sSoxYkZXwzEPXvg+S7x5rAWx2Vv2K8tbF5i
EPVxx4UrdcjlXvxjbj87Lh1gJrw1OM2RSIPLcBiMxaoUrY/DiYx7oYhY6HZ6eWgM88Qe0iMQsqNu
PNS12FdtfmGVb+IkMavPiVZfXWd4kC6Km3C66dQBWHBMpus+V18hu+xiZGqDqYFfxS02RNz84tOO
iWtjdbogAXRieMU9JJBC7D2YtRLWMYR1Y3zW5IMRLnVwweXwt6F1jmdMdGE1/p4lclV02UXWWmdZ
89pTQuCbeN01XzJuzpyN6yOMpRuEJiFixg3+KiWOoctz7zxim8jh9OImxVU44Zg19zuSEnZIDnZL
jWkr1k4d/ZV5ksGKhy6Td9pP1mGM78GtgyaDQ+YfyMzAZRYx2JKep9gtWF11ti4XI3ltMAoiFueg
nPiGr2cH5rTtOSlW5nFUuWdzbL3CqAgcL7yFy4+RklAtNKnszLas84pGEUZGI0rc8bZuxqNetYep
uQ1jmM7zKey9XY22obfwoRDytPDgngAIevJIgD6P6/GQ8G3TvVIVKBfwVh/q3USPyu0+kySzm2P2
cWObNK8T/ygh8EGXoEafOxi6eGDvE988JsD9WEWnFW+Zq+LjNH2xyQkxsQ9gzsuIOrQ7d8T3iiCH
k2H0RwoQBG95PKlIDKttZB7Frhv8u2K4bFErUof4SAFbyr6u/2ytdoZ641sXFaw7cYWn1AZO3hYm
y02FDxRU991UF7Aihqc0cjj9HHz0ecvI/qgQ/umoDCzcCsLeZz+2zn1oMk1uEQWUX2jlvJBk8gwZ
/rKU1UW1jGg3vbOCUlY4X8wwOqHzvFEUoV3/BU44pB39YBvYlKr7ARepKuamWH3u5rcRZxJRAxxM
6ZHGymZ1RzJ0e0t7ZR+ji8x9vYuveuhxbcp92kHhwnlILlLCx1fdlsLp4IySeagPpqSSxjkNFsgW
RfGG1gW9WQSkxh73vTMk6UeoNE+LptrC2D2fovK55q/1lrX34J1aBp8AqAa1StRdVlnLPIx7ZBwb
iTVHYsS7OX2gp3Ec40vRGwUL0g0y3LdnsKje3sfSCaoRW68Icn2Xnnve7WhVGGW4W0OowzCBJrkW
XuMwlikm4Z3LKL8mrvMYl3HYyvZxFk37RJdBDm/VFfjWOjj2pXKHL2QAj31TxtA9kr3TTGf+rC5z
I6REQw1eF/RBFpZl0R77ROLBBsYXAz+6HGEpTwhn+xZ86jBYz8MY7dPydo2S4cupx4sW+4ykSFYn
92dPG9fYzJ7gV3IGLXELIHzADdWQdO3ArNrlObVW5zf8ddmuO8g4A8ZgvGNdXSH7QZ5Z14FTjMdO
CDe4dY7skKzvBNe+ZYBEh0sVHhjAYgAtVxSaO7uBBYMdSYL+aS7So8jYLdF4ZntARY5zIBX5NNbR
o88GBanrrLC+CvCTVlzRTT0ldmdrSKiN0Rlck2tlDRd28wwydkPH6HgYzmuv3dmE6BlZTuMU17q1
y1Eeg5VBX8oONtvdmE4XmCI8QJ6iHR+fQt+8NFVxvmTZUe8SmeUme8vIj5P2VkfD0cenoLlWlj9V
nlxqFf+Vwv3GnXh3pBvzQgxyX+nATaoTLIs4u9gMLLjRnr8RVh4UJVdCC7r3jASA8CKJTtPxEAUN
4pxu4FZ7w5URP2Sj+s1H+8vx/O6TvSu/VeaVOQWZDmTh7WwdXgrctS2E0G77kPNd0kcOui7ffTwh
fyk93o36rhK3+7TTc1vrgI7a1nceuj49OLj9fzyKv9Z6f5l2ku/YmK011uWd5C5WLTQWK+PhcLeQ
PeRBg2q77656oUk9U7tq8vfmSMYxBUAaE4tFJ5o8pdOh8Z4ivorc3tOjRm6QoR2HkLzyyVasMN/E
4L4O68rpnXunAbV3sEkjKszmrzbiFRNF3hp5PMqH7qZL7jrT3kw+3gUtHXJzPxytwWMD9kchfrD0
ziE2703nqQ73tkN1ErV7ogk2tTcGZBEdWjlfaLu7chQOp/ZbkkVXsdFere+cNIcHNyqejBYbWHxh
89bf535xHg6guNH4EEvMZv3xuq2tZxyXEQbeQtouNpOegmJebqHr7eKhPyrn8GEe5VMO9xCF2Ymw
9MFAwp1zG6tV+nWCWtD33i4qkGPjgNCCmSYcJHbKCx3b24+/OfM339y3K9YPVSNbYKjpS6/L8kKs
Bkz61sHFDhjHW7yzgTleHrCOb6sDe2/of/l4+L/gRyTBfAej6GA67nuKUNvgF0KqvQ6q6tDiwFwf
xxdJ4Z515f9PXOVdVfDf/1wxyS8VxMwkirtv6Nef/+ucJIaqrb52H/6rw1t18VK8te//0U9/uf1/
334cvVVrRNJP/2P/TVd73b/p+eatpQHyPxjc+i//tz/8pzr3bq7f/usfX6q+5E2+eYuS6meSms27
+O/hx7uXcnkp32l911/5DkA6Avaaa7tCrnpf2szsp9/xR4scFSLpCS2yTALiCWb6F/xoiD/WBBX+
P2BLpSAcevzBdiXR/dc/aK/9oZDmEtYI+Aj9jdvQ/zz91fcthYn7t9fsn6+IhCYBPlorQGoSnwkO
uiIEPyzfIcmsqMMZH5PCKQNT95sqSJpyig4/zMo/x/33UZbrOIqlSjSMEo4vXfXuOj8DltOs7VNM
uGo6M6k99l+cZakegTfH3+zZf30mBUePHCq5vhzut832h2fK4FJUDfU8FBw8W0sQOqKg+/xvxXR/
fyJ02kTgrCk54FM/z1zc4uAvfIsnmg3rGlUUrxxNz/gy8xa6smQzFr95rp/PIkb0LZOjgfMBlZbp
incjZpbTevACmD2nRd2SJ8m0i+HtEbyZRtNvjtvfDbbuez9MYiPmZZxtXNAb05uJkrQq+x7mo8C9
bIqa4OPV8ZdvjFgy0tR91xWgCayTnwcjOViUBNwBItaNcY1lDk7jqH9+M8ovHom8MDT0nicBnb31
5z88kllgfG3FPbemek5Ps8TGmixTCwa3ZNv8/QdCyU/YIJ0CusrvhyIysp8h9iDVrM1jl4dBYuiO
v3mpfjVtDoUBm4XNDqPevbzoyd18ngG3de2YByhOULpBCk8+fhb75yPu27ojLxYOLIm8K1D47tux
DFUoIahYM5iw9U635AfhVFXXcXco3AEpEIypoT2n2928RNpIZzzaEJ1zf61jBNVLofWdNfG2b8vW
pztLpj1Kd9jp+TlR095AcmHYm5A1PAx0EOXTHYDgM/UI8StNiI0SGEbp0Yy+jm1ihzu8QxG/ukPq
v6Ddx60a6U2ykNFatLDsRNNgt7qsQYfEpHyKHJfu+8dTsj7xn+Xa9xlhoaLxBiiSvnxXi7IbYP9r
rKbCc+ahx5mRQvuqyq8r3WU3Ei3qhoAnM2gn4aKZNRL/8uMP8Itv3oYwjBOE7UDNeP8BunbAJXak
T80N36NRpOGt2Dj6fzzKL14YW5lC4IDj0yB7v8UREm9Ac4Xg3zeEz1uD5Z7anSBjpMnkl4+HWu8V
72bUES69MB7L8qWzrsEf3k3Yw11CxUoaQ6bLVzUNWbcpXRs7CKnt5LbEhdu9+HjIX8whxGpOZxuP
C9DFd1+iUU9JlXgMaZqcSD1EkiBJvPk3x8T7UeAsOY5j0WiEjg5B+t0oiY2ODjnH+o4aJt0uLFRp
VKgRTfffexy40XxFrlgPJBRYzrstR2eyrWIEaqAFaLjNBcabQuB++/dH+V4weERMus76Pf7wPVVT
SSoYvkob8mlIbO9rJC8eFKG/PYrlCZ8vhlFsVuDPoxSj6XSl1eN8PJJhVlX0fUiBMa4+HmWd+h/X
HI0TFAKuBVEI2Nd0381Y6ic94VEAPH671NeJWYA89db8ahavFqjtVMIe/XhEcPH3Y1KzeShq/G/D
yvdQdjnJyB1li3y3gMq+bUVJKkrMpZoocZiA5TGBAvLRGYYQOm/YwBVjp+mg8rhWc1iKGjsQU+RW
ThaTTbbuAGXK2xFu4KFu1rSTwaDs0dvjWtbBoeuL+TMxd6PamqsFFMwMnX1Fa5jjJig7bQFSOpjD
SXvBUc63u3YlPZdRfuJmTgyXs04HPJXtBY3zlFrGpZVj/r0t8TPuyHSxx1vXn5znCNZ6FPQAnCRP
EbfCnc23R3AtPCFQBOtixMRXh3qfo7R9m816XLYYVEtiAsax0ht8ne18ZeuOsPE5NAVWtCaCyBqC
+FPuNXLZm3jKpUh/mhozrsbUPdqDGN5GGpsVrG5rRETna9vMThbCOCGLlJxjz/m0BtqR0IdHfUFs
VwP2FsdBn4RaEPPtqM9OPRvNvS96PPcQ3DkRNOkKYzFyicwydfIdJhz9ciL8mVZQgyWuerRiLDH4
hNxLOfcQegKTmW59iMtmRC2eT+MdKb9o/Z1CjviBDPMY5psW04UWawLPM3ZhrdHLw8Sa1FG08tto
32LOYLMIyHvzBvkZjXs8PhhVEb6oalhwAzd4taFjefONDxL3OmUm/c6+KJq7oU8Jx6lx7Lsjut5K
th23QkxqpTneRp47RPis4f66cdK4WPba8Bvjnnzhyd14RmI+dbKNnw246jCcfav+1ERlgp6z7RRZ
wCkk9yxwrKyOt02pWqz1cY9xto05EY0j0xhi59Zq+sY+yXA6SAHUjOEZOzpRP+MG2Dl06EhPgSTD
1WD1NiVKyJA5sC9elbYRGG1ETmjRLkA5BhxY6+DEDWplXxjq2ahMIhUwQVngEcYR69zPbPsmF3Ei
cR+UTffqgNLNp21BTsAxbGm4do3I4cQbPhqEIENCcsW8m+mjxSEHbTUP8+4e6jtJ2H2D1zakTKMk
riic1VM0lWhYo6FOb/HgSezjcq6Z2NLPm+G4mHHF2aTFEIkAem5mb5s5A1hI24SujywEdM9Nazvp
l1blE4bSlUgVmW2VnZx4ftOleJL2kYksXg7159ZoCzK3S90vxJkPMl6OXN74+rUREGFx0hy13M39
MsHFlximXM/+GJd7YkUMOE2wcd3VYM7tcaXMZYHJj6PNDQaBMDSauWjusRV1yCfLawzZfdxDSJzy
FxXtXTtxMAbBHhy4GxFRcS65R7XnMeFfRbkn4GCMcIkkhVASksaF1phoFFUQG7f+AFt/n1SuU+6Y
6Sw78R0SzHYRV712G3VL9TwPkXVcpGrqr9hy4jawBm3iRlrSWe4aGkChqz+1aC0JP9ZJz0XG3Fhu
igvGfpL+Sm+JNfzI7CH1iOjeTuOUXA4D7CuUhKmzACpDeY4iH/e8rEH5NFg6Njucx4sIW+Mc3UDI
tHpQFwFb93Vt+XeQfQUpSORlK4huXfMwedCu2Xsn2pRLZdN6q8jlw1fXkVhF6sKBOOdwTaAvZWAK
s3FcVD0b+uQg2K1pCJDljOvCkdH5OIrgPyf713GBjAtpuunb0y5LcF8hD9EWh3kaovDciahT9zXJ
VO62JpeeuIelIH7GG/6bvfPYjhxJ1vS7zB59IAJqiwACIanJTOYGJ0UltNZ4+vuBfaebiWIQZ2o9
m15kn6IHXJibm/0CCsJ+0ARQiSKd7hthgPBhqUqPmWnU+GpxAFYJyL3MDSwZ5V4x71ALxyWtbCR+
fUTWgoldHaWPzQCF4UHUfJ4xJZjGwUUzGCptK28wSxyLuBxQuy1o3CTi5B2LrPcKDkrh30VakiIr
zSEgm/bCR/6GhuV4O+CRGldhHdMLMojN0oiuqQU+o0eVAWs+6TDVIqYrCOkblLsUGTio0Kdfc0SB
va2Ua8lfTYn5BwIDMjTNZPJADBB0svCo5Ib3QzB02m8FLwkINzhQombbCcUPQW4RYGqiIH5SpKhp
dwO8OvHQSBIqVh4A5YvQe5nsNnUIrhVeNapClBTNZKcTVV5A7ouFLUaV/DQMGW/IAgIIAOvS5ylR
p/SwUU6ftO8FVydcJdgf6MsKcv4tzRuchCZoTwezDME3yTUvIbB6LdFal6TpRdDJxmmuBAi/hFrT
nzgcKow1xM8vm0gPUVloRUQAJtmrgSuIpa9ZeWEgZDNUac1HIgb6jIQ5CPQUDiwNxCHfBH+FOWfk
mZ+p5ocq7fSEDSRE6tcpGLWCdqlILTesGwS3U3Q2E6et2izDmACOxbcN/xnsrbrUC3juUo9gemVM
IM+1FnXjDsiWitgEIrKP7QDryVFS38AQq8LiFGOvJBaR9xLgvoedhjtbbgggNwv02/OjkWQ5uu1F
SSc6l0uhdU0qKuJuCkIcLMbINLtzBrkQFzcCT+gM8mbEm8XDlo5eB9YUIl6latwf0oo7eaeb5Ri+
tOIG6fiywYvL6UvMTm/gazTQvpU4q8SzWevlwB2eDbVxr/plUf3wYIxUv/vIaxvcUWIUnH1uB3Rc
Cczhfqqho0HHKaDjCMQWaU/tKniuYh+tTsDC/bhFUBzt+QRlCJpDninQcvVH+pQaGHQMO8aGlmK5
0VJwbGGl1scoKbiN9EY2+23QhiCt1UzLuFDJnZQnMNItpoNDBgMjS3j77zMwBiFXczcpyKuorXyI
ehH9fFWIMeIog753jVwhhoYlr0En02LuMB7Js6BoOCuWqKCnMzQjSMrGQEARAhcPqvUl9b+bKlQx
rOtIW3BCm7i33BY1jRAwup7/pjEFrdIIA/9ZlwRUUkIihXcyFL3Sdpx91JMFsUCRiZvOvPidJvt0
yzZhue2xi9vY0qhFz4Eo9Yo9KTUwgSaB++wUWKwxv2AEXtJ04owYSQKbJFKxP0dcwZ9mxwdBdTdV
U54VH7SwYwYjakoQzpR226nK+NLWnXBbl6Wh2bJZab8NFo12YDkluBMh7os7hSd7IYr4FA2G39h7
qa+eAFzvaQiGQXBFj/wTFR1jHK3OV/Eu70n9viixp/4MVbHIznHREuXxHTAIaxjWjEelR3MLyKQA
GlLrc/QYVPSrtibEtHgLZp2GYFvU5jMitkE264iGAJGHUPwatTpYCJ2rlPxzqJCQELJWn21zc+Vx
g2ZBdfA3ig5ToEI60E4qnUe9ngKttuoOfQqrqTGMt2Z6JgPlgfqUaFH+Y4MJYuSWUOapMBFRxW0e
06pArVvQYLmYxmDc6xl1HYgOXa3fqFnEHSiB03eUNoyRE07k8giXI0BtQsmlJyzSgBdjipV975rZ
ZApOFZJ3XMQVtg5yiYRTPWxmy8KqQtuAN0GGmadaKr/astJlKwsT9POkIKW5U7d58bVC/Rp3j2RK
KR5iHzDC0a0A8NGuRmlVwtFMQoBjiimf6kZ93yK2BRCta2FlQOiRIhu5ABPiEXsShx+t3rwUreib
W7K15NTxtjF2al0g6tdsuoHXSx6O958/pZRlxYCHlCQrPA41TRN1qHR/vhFFleQU7ipqJQAW0yMk
nZC2feN5SLf5laftwqDBEXMsvM1k62GPvA1c0vFukuCjobULAXI30gwY7SDDxdU1hnQDqEJDnfwu
Qb0xe9jgrmFsA15sNLN8IZIPfhfJr6iXZ50zDUTDe57auA3iCQMHSEHz7lUTjUB/kiZdOahNRj/Z
aAtcTeRoeMGw1jNvxySU0NRBCVhzBc8TTItCEnQGlCfb7vXzOfr7FM3dRGBTOrhJqiuLokpQBgWU
Bsw1jUySngVt8vaeSbscbG4Eu2wztk+fD7gsGMlz+9IAOqUDsJXRrvhzTboR3ct4xFB6SMTk5ySg
Osyjgzw5nxpppUbwwVgbmfoXGG6MwkCF/TkWJMiuSTYhiv/VzOUsM2MHpdKHKh5nK8/2vz/asbSH
ik9/TaLcKi9qOGbmhTVw5sLy8M0yw3i8jEZYrczd3wdB32rz1ieauz76/P+/q6xEpZmWWjeQmARt
9DuN5OCuSov+8PkKfTSKLgNsn88MWLrFCqVGxdOGRw5mGUm3lzD93aJ3kbqfjyL9fXHmv09JRTdM
WRX1xTBATWNTrSvIaSwSeGEKyAMpIqKLkJIqVdga7ZiRlEEPAkCrDZosPka85XB6HSSoYZhKb+Qz
V1Op4TwkjfohkPxYx1cwBbP1+Y/9aEpmFsAbhJH/WUy8YhbChtc0E683D0qB/Wgt5GvohQ8HkXUJ
WQoaexQF/1xdCQ1EmvIj5cyadwiJLcK09lgUxrhSmv7bzCsUpNmmdNnouJnLAlOc6V0JLxxHWq2B
CtwjlIS1mSEA2O0BGX0+dX8fjO7m3GubexCivOxIBROWX+QtgIeUqXKmRICv3hov6J6KK4v0t1od
AWyDNDFGWjIax8vIIm8qOPDi2NLK9zGyH/P+wHUW3SJa6F9wmTGtpjXF/9dzP0dN4HSU2ecejroA
f/hG1cq1QfcgTAsPw18MQGWMWv49yv9n7vwfWWEZP+udh/1CEWb+D/7dOafn8C8Rdgz1A5RCNhIK
Lv/bOZck9V80o/hHasM6m4H/5n8VYWTtXyjBmApbUSONgrrzn765LP5r1pWZMckGbJtZYWbRJv+s
bS7N/er/1o4FWYIERItFXPSxO18y8LoTpXNxlm6Hs3GX7uW7GKLuqXkWdu9m4+7ff+19z/zPPf/f
MRaZzcavxAHjDOms3bc3wYvV74SVxECa/8Tff75ozo2td5eMjpiugESDdFbO+oN37r7kZ7w9f/i/
NyvNFUrpV4ZYHJq+V/UG72KcHIIuvmuwhnAAiVYOWP4KFp2KUlpqVsMx6YX9KMMAbcfQ2/fUE3aJ
3AYo3JUbN50rNkIfSds4KUoqrzVAGi8ObblWqAOmqbofS6iB2CxIuDgUya6JDMPpN+BkJznCu6ZH
vsmnGYirZNDbOt1TRyuo5bQQy+02AAYqVZrxxcBeine94f+UxCb/3WNEtdULdbPPKKbbQojRSSfS
GDBHcrQxovvBowgTTg1EXhZk4lbyH5o62zdmV1Bfg4QYJW2wz4zY4BGMbx5AO9PxhzS5EyHON8h9
KFSt2+hRDqEiUe03Hn3o9G7XblqrKfvm1yyeCmx6k7oYM/hbMAb51zIylFNdVYUr503moAMQYzmV
CHaupyB/Yvl7DJ3WhWgbAtKtpUsXaNnTWI1UYP2wPwFZLc5xh2uPANMWji/gKy/CGKhBvOGnjuGq
jUE0emhdibJtIPiHWNQxVVDU8kSxAdCx1490CFBhoXIp8SqpCifxJJQylfI1lcLuQn/AcDLote7n
p+Cty/jRXp0vn3d7FXRx51VDKZ116SxsLqF+qtD9K3G85Bkt6CdNu+/Dg2EefNSAPh9z3qMfDblI
BUwP3bdcSLAdVXD59oNO3jZjDKiRJN7SZITbPWgpjhBI9cpVc23EOQa8+8h2k+ttO3Ig+cC9Zou9
pbiyHYsrH7Rg+vzfWCKai0RMH3W/HOcDj7H3mFraJWqd4S7lc4T2aKIy+BBkp40V4slllcgD2RLt
qPAIyHPqHj6f1Fmp68NZnf/93TeamlGqpoAJmwGC3fTrp15PnamGI1BGl80mdLLUvMlyRUTwI7Zj
XX/F/DJCUG/Kj9UEkTp1Q5UCrvQlkDyUMdDeE6ChT3r+2gvFiYiyMltzFPxo+eU/f6jeNPQmsno6
J7OcaXePYJy1sfUZQFif1F+tvF+ZkY9vEeACfw6kGb6iBbI/naPOBRtBk40WkTy11le9t9D4Q50X
KriTByf9OFsuC0iyWOWzLtzhmVqlj0W80gq9tv0WV03d4Iw7jaidb1yMLdvezpSzVvwwMQ8yV58e
V752BrO9X3/gb6YkJfF4hvBpx6db/EfPeJvaSGdfugPi/hZP6ENr59veER3e4Ja4G7Y3pW265n25
e6TDcRidx2pr3BwTR7ba09pNu3iv/Od4GPO8vNuahthmVGX5aZLhiiLwNyogSCFnqHvb+W+FojCt
JmzMrAQPO6v88fn6X8kiRGNx6gc8nSkfRTDZgfqnNMMo35gOapWAmW/y58wap5NmRCugkWuR1FgE
gRpiQFO3BQfQ9ffBlmauBZiZOKMc/d3aXF4LNUt4FcW6JDBMRtFcz21fskN1rrd0Fffeo/mc7buj
sSu2nhNcPEc4RCsvEWn+hg/O7JIdC2MM+IDWTGesVnAo+h5Gt5HiUH/qyQmCm77HTEt9Qm8HEr7V
zkZjND7Rq5UPn6+lOV9HH/2ARXTTdGpIXpdP50yHYtMmL5RGbsCc7AxIOQacpEg/dOapyr/VPgVZ
0MlZjFE0lt9loEHT9ROsIF1QAQcxar4nCElbjao7aXyKs1cToSgDW0sRja9i/DbhIEnqS2VVB2gM
YaZrnLIGM3AQonOdPxjZk8x7ukxOJTXpNocn9lKLD0gcYNpyH6pfIl5Q/vTSi5UlGvd037DRxXg0
FB0PkoI03ioz+1OL7TH8qdPVqr2DN31tDTeJ5ZOU5HcR1r5jE50CAe6Y3jhK6WLFYhsKFpDBnb9p
DkON9lym76QQj/QLNbD9gAPk0D+Q7vTDpddaZFzFg5qHLNRm3KraozZIXxqz/TZ03OQ1LDbaJTd4
nv4MpPZSQuD5fKnkK4FIXxw70wipw0+EXcMNT2gpi5fkJO3jEyap2Z20b5zpu/FTPA/P2pfm0j/K
53ol4F+LM8t6SNgiqpIGjOwLdzKM2t7KgG1WBw8nrJec6nztO1N6nGcKaVxR+TbI959/9Ntj9YP9
+TcoIuRJo0mr6Twk7WXCF2+iXGYmXGpt0LszXWOK1IMJdgE+X1bQQBKQdkJ0VTXcTfvk4/lZmw8Y
nmZV/S2IR2QaJ2fQMeTDHALrd1Eqd8jEUZBHT6p1S9FJUiTkKjZk59nDBrpmiWYuSmlN3znI4tBy
jeg9jccI1lUlYGmRhI4e30z+WZqdLCrLi1+r4Sxqt17rFMpjgN9PijfBpnS0oD23Mgkr2kyopn0+
RQug439ugWVxAX30oUPdRz6rpY2KYf91FGjH7Ua3/Q3zZWZBWIMDYKJ8RE7GfP3OTzRuq2fZAkGQ
ylb3ElnTTQGTp8IVyRrOG/zYDNyNnz7/fW+1mw+WcAlUShGqotgmSOehdYPdOLbb2eByF+m2qp+i
XUHbF0HNx8l4jl1oXOrwhRBfbPu/kECU9/0hV85lfY+0pNButZtsLfRd29XGIl8SDYF+ekPshd4A
JqTDDdCGygoDE2ma9CKlrw30NqKtqR1hxKKMMtt2025LV0B212LvIo/y+hRmbUJsrDUaq4OdQdTC
lXRl2q9dLYvkKCZvoWtUyuewKsVvQwRMo8qREEZKyANtZXY7vfPUXY7CKo6Mg3zUA0U6JhJEU6Pq
FTwJ0eSQEw67McXhTvI0fV97bYf9rMlO8fvWKgsh3dYdrQg8sFG+b6T6AQDZwNHrkuZn3PVBv/I5
V75mieJFmhFpJJ+5ItEbuz0m3jSUdCsefn4+Xddu4tnW7H0uNRhJm20qAs147G/MHX1QR9hidkFc
lZzfwq9wFxyztWt/fpF9cCSW1fIxLKRNXyfjOfDRZ/K+YWmGcA9dNYTNCa8PmQlGprE7gBzVKY9u
K+UfTuPiug+DXiqSkYyxzNwM3VY8cXLhtqKl9Pk0KvKVL5v//V1KavZdnvgZONTUKb/BjX79WR96
+yBZ2ssOiwLOe2IVxCNjn1l3ooWwnP1T2jaubrc/4h9kO78+/yHyldfQkrIBUKnBZ1kHzC1dNv3P
ETplvi8R4P+WvtT3XbjTXP20kREetGBgHeHvhk/RRRDdivqNaAuFJf1OXzt/X8tWcFzTHpCvrfzi
VHZ+hY7tBox5JOFREH2LjZcGG4epc6ffyKbiWDyAG/+p3JS9qxbgAe0wcOknWPjKCt6hHmxa/VPg
jPollOkUryXZ8/gf7MglhwE5LiWiMT2epx3xQPje7jonteUvGtnuyopc+XRtccLATU9TiubmOTjX
TnPuH+pL6ZKwZafIzvbmRfta3kX7zEHG35Ld9EW10R/bSXcrw89p0kdfuEifKLyKGAASQcbkiwlT
VwYrgICxutmGA9URd0I3XUqQwNeQvLOD4meyj7yXaUDeztocQKHV5f0mfAU5Y1eaVf/A9I5vaVdy
rLd+zUc/b/HKUcF2pgNuGmcPkIEqXJrbRm1upvFU1duue4aykCuOUunboNs13dF3tcpRMcsuXDG8
UUBZBDsj3g3ZS4ZJmnKsNVvA0SPJxEPSXWqMi9AhCJu7OrsJKkz58nglll078UsSH0glU8BaeTyj
92IbTrQldNlQ1W28n21imI2CxBabbRv1zK1/QLvgoNlufIB0vi2OvKmsZpu4/3CR5733Lvwg/KqO
iZSRLoYz93hwdeM1nQ6Cfh+K+7EX0YO9qdChzNBLKJAeGCtyixDwLNlQAF5xaHZ+9G1quV3GbK9i
QxeANlM1XmIdYJP7XgBa1ME3//z3vqlzfLTqi3gMhCnX+2o+duQeuCDvJMoLvj39KG8iTKWhRdiU
YrMbUX/2I6s0bWlY48fMx+6joReROi2SUmwn0jI0D9q9TBdsOx2RkctBlAe2ccgpoFrm1nupv8Q3
m33kchsBaMWMTbz1HWXcp9Mu+iphr+gMj5jAPKb36W/vRhPuCgAvNXTYlR12LVHTFnlSqnSS4WFM
ycMHxI+NkeQupASgHPnNt5iEHwNHtT9fkGvVPm0Rn6HUG1HWMhbuzweMeu3kqTgbx5RUQNimT+Cd
3I2lH/27+OA/FVvhZNr6ythXbix1/vf3e1cowKd3DK0d1TMVFHtwov100VeyzWtlm2U/MCy9AKld
/r4pWc3T8Kjvuy/CXxpFo0tMS3uthXIlq10SU0L6WLjcMAzVIeC9AI/66qW2hMuwbydHPqCdCOwV
uTXEyFfK0Autrf8+gRbHXurzoQ5lxgw6VzRRRrmXOb2PqgKZWqUeeRueh/Kkiw7Qy2384/O9slAd
+O+oi8Obtp4oKGisnvvjiFVTLu/qCQy2/7VvHRCgBOyfbXcXqtkh1050ltHZvUNVNQXBu8tXxIzm
VuNHx1hdHOMAAKIADpdjPOxxbc7KYw6G1dzNvkJ20Vg5r11nFH7Ld2C/4y0yuaFvQ+8GByc51SVC
eqD7Lcp3PWIIG3RU7o0BadsjshNKynPH6n3cc/dIzBr4qLyuzNyVbENdnOhG8JJenk+Zcus9F3b7
XdqPr2CxsptoZUtcO0yLcyz3YkuPlRGMe8l+QmL3FvWg1ZB0rVr4psb07qzqlTD41XxWowPKRcM5
PyUuWucHxa4vIXoGuwaIypY4cRjvJFAh23Rl0ylXjtdmkUV5kK8QUWbkEY+jm/BF2ZUPhV0fM3fc
w248TLv0e3InnTSreREu2l3uhs9o8b6YR6RNbtj9dr/zL5TvDvnjaoSez9kHd8nc034fuprMHE3w
E4SWRyFHw8fCEXBLkZYA/VW08wPh8nYtU7rWBV6CgCBD5GI+x7GatziUn635ULwoqS050SVcicXX
ihZLPpohbQQtHRiks2MnPZo72cndZFfswC26k63ZKLA+jIfmtLHLM2YUF6QtT+rd6H5LnOL5nx2T
zSKsyX6ldRXasmdlF+9F5y8kbxzTFQ5rt9219GPJW+xl9LkgBkjnZgfFge+qXbRxnsJtYYk2krZk
ccLuV7ByJq8FzCXozU8GgFXzygXeD7xUp/pCKQKvZ1tutuSsCorpx0Z4DFwskjDVDC7C5K7hpa49
8GdExvs9io9y1hdzvuO/5N/7h+nQ/x7O+l57FH/mT4Jb71C6eEz++nzp3tQdPzoRi/jje/VoVBtG
k7eGqx2fHiD40rh4QHidtFja3cZb7dbfwn61U7t2Xnzb2xor83zlSpj1HN5/aQSsajIrxo6tjZNu
iQTO2u2+wK/+585TFuGnGTEQwB123jEVNVcXbClPeNEqHTxNnfQhseHT7GoHcMNe2UkWyAmOzB1O
Kd9lO995JI/4uJ5okfH8stdwVm+f9sF0v92O7+LxBgJ1E/37uIoOrprn9gUL0qNk0Xg4hHtopc7G
RYsOabwXqNrW8Ds/e7ftLj0PTuPueUkfZFt35d3ILdHvgwO2aoeVrTDfxB/9tsXLDieCCtlwpqza
+fvu3DqtO+0LJ3ZF+oWebV7Qo77bfAWdfsHqwkWge/f5yG8V4I9GVv/cCEUSBkZUURkWzRtIU1gI
etAtMRIckf8HVs0T6IJHLFQVRKi0W7O6CPldr1lw0r0XGQIeqj1IssH1emmLnXw/YDA5WkXp6OUO
G2m7jnfIxm2iVwguPqqsM8fvbqJDZe6Hej/gA6FZ6HyLuOF42AbE4FpeVAWNwDu/ARRy6z/k6FIp
WLJan3/xm+LQR1+8iJhKCgaiU5lr3HN2yW3pSjsaRE777DtfqDa5g7vZiTvpWJ/WTvq19+9bWf7d
1pvRFDpm0NJZpdGbW4H7IrHOkFtteRtwCQY74ALWXxLdYFTwHHydXUwt7WdIXi5mIofAelz5+Csv
urdf+O6XoLAX5eOceUu307l3NHezLW7LrWQPlnyobX/bH/T78q64RJeVEa9UZZVFTMV2SZjZi+DJ
/MkS9dsIDX0LvSQXiw8kJ/36u8TOw9pxG6M/Bkpn5Xq+lvAri/AqKoUHI5aBc6t30pv4mG8P6r0j
24nzuHZwr5Vk3kqL7+YTEs2kSfDez7Ir0EC6TLWl/kzaUxM4EyuMt0J/B1nyMOBoP9kVnLx994Dw
HkbZoiW/SIc4eVVym36keOfRU9hlGen0jdHfITqRN2t7/sqyLzGzeucDyh8M6Tz9FL5OTzS2qGZU
v+isfO+AI9wiSRigJ3lQHpGR+1F+WVn7a8Mucj7JFIummte+stOH8fdkFwS1YA710haMGtcaCpJA
cqq1zTZHrQ/O9ttV+245orShcoVQz3ni1v7LUx7b8j6mD5hY95BJOVuUza1m1ua0zaeVj7w25iKC
yl1SR4nC3I735i39tbTeBb86bKugJ1IsspRvFRERq5lRu4ThSjH22qCLINYL6MMNtQqqavgmqS9m
CDE9WkNaXysDvFU+3k1jI0SxXnVMIySZVLPki/9Q7OLL5lH8CrNPevl85q7tjvkyfDcKRPgKHqXG
AcU0lQc5ap8l9kRFI8JsMrD4KCBNF0O0Mty1fOutaf5uPLxhqUxFjFe+6CCeb9ob76W8RDjNWyCD
nqp9fZ6O4QHt0N/1HrO1o7yj9WI3zwF5++effC3DfHssvvsNShghOdKyWfrfqg13NrGUr9HdrFDr
QoMrfivH4qG6Ce61h3824FJ3D7OZBOw4A/o3uAd6Ty2eDTy5FKs3LfUv+Yv8iPF1EG21X75X2NLK
6/1ajewtvX/3nUGmJ1NosINuu8f8oZnnuH5Obnsbh/Pf5tF/zNyOjXXCuh2WFi/T8rZ4zveff/SV
w7HUOW6wb2m9ZAOuUsTbsHsISkh76kosvfauf1vad59W4rkNv4ptpLnysTmETr4F3TSXRileB9+/
fxf3kwPNgxyxWLnLNleKIW9lz3djIvaAac3AFzGX5yA6b8CJIrzL294/yXfptxJp0wOX9634xfui
HxtjmxUv4UF96Huc1i0QN0gM0LnHQeQy/FZektoqjsaPQrX7L1rDOgT36coWvzb5i8iUR5M/jEi+
nQGgOPFTuHKXXCnWvKkUvpsBoW1Ns8UU66zhtVDsEv3b0Dz4r6Jnw4CURvfznXOtJfg3QSAdBYL+
LfL9DB/kG+kAJxoq+gFla9yNnxTZ0p7Ui3G7sfxnzUb1Yq6fBTcAS3kkXPKdQJ9wTZ7q2tP7LTy/
++bJxHymrNlp6BLs5/0F/W+b7FQXdX77L2Vb3wZOuCtXTs018NBbMeXdcEhC1MZQMJxuhQ6cfWfa
BTsNcL5m38Fz2nYOSYytHTubqbj4K3v7WgolLp6iyVhvBH1kZdvj/NCQ8ZHah8jn3sBsD0/mQ3dq
Xekkv8pPGIreCfbmvvpZn4JvxT0PMioA8IHVHa52x/RS3Q6Od4Lk+PlumNOUD7IJcb643k3IBg2q
Bt4j12CDSgtvZGA/MnC7COs/sQtWRtGuDTP/+7th8NdS/UiUpHOiAZEL4m47GcKlFkIn1n96KPXq
kXERh4MKcr0RSicCyWw01Eby16p7bGTBmYWEjDmLbPdiyGYFQNzEP3QEioMO/XSM1KTmBt3zJnou
6OIgu3AvAGZScHqagh8btGNUf5vx/POGrEVhQ91Jar+PjJ25ee1ip8+MgyfK3xOaiUkHCWAf+S+m
bmmAeIEeDmjvR0+VdPQ08SXrJTeINWtqoeCZ8hEXDzdKvsTlbYyZuyLyvsdiRdh0lJnVNVWltyjw
0UrNj493U1hoUL3bvuZZ83ODVmthCz/Qq68em6PcuulP0dtOvZN/+XxbXDuX4iLjS9sEEpcwkdYK
PwZ8LoXBAa6BHHuFb58zZHfasK8vCXLn1KzLQ4vVPICqBLxAtOajceVVJS6irNhUupp7/IS2wtYv
5k7YQYrcz85gKx95JeCKi87FgKJOUo9MabXr7NGJ9xEZYLPvfgjO5vAzephfpYkrn4Qn4D8rY165
O5ZsO0SsEUjxW7Jad3Tqm+EknaJH/xjY0lHbNS5ckfGUuZ8Pdi3ciYuHaRIk/VTosC96eXxSR++g
+MPTOIV4Sai2Gc0FiOimDDauZBTbaVScwYM4rvwajQm1C2VfzPrhPNya6tsGcGioUS6HvrLy665N
xeL1mmabctOOCgU6kouL8qrvlcfuNgIHZyvpNy0/6wDktl5wzoHWq077CCRX2qWwIJ894OYg0nor
Xdnw86b62+nSEW3983SVWYP3LfqFZ2P8XhlPLVInn3/lh3uMP7wIsKGR59HgFWTkKGVJxwr0npS9
dOoBKQPkuZ20cj4faP6DH32B/ucXpHgqVs3AF9RgpAPkGnpFcCL91IyJmwSXevj9+TgfByK+aBGI
pkbQIi9nU9HluM2/l8f+GZV0J/lufJ1eum/xyoq82Wd99EGLEAQCG/dQlZlDzeimOieHYJvYhj1t
sV11NPAUPCmgHVviqXhO9lQXvqzd1x+32vnERejpaCWmUsDQ1Z2y2aJlNVdT/W/6Q7YfjvJP5bvR
WN5mHf9+be0WgUiqcPxU50/tt8ItT0Rnsod9sEsoWY27wg3tVwzotmj4ryQk18aT/9wrZhuiZzYy
nkKxzrSe8D49r7GVPm5MMXmLoLMxBBRNRf54A0oByzNoF9F+cBAEW/n1847+aGMs4kaAsTFULjZg
knxT+l/qfXnoZ1nxlbrDx1ET6Y9FLAg3edP7c4judvlx2Fe36bE8Rna0o8p16k6Nk9v9rbGH3HTc
0MU+ReXK5fBWt/vgy5ZMFrWr+yZCLuPMqnxNdh2aKzKyxy5mKpK6n4o9BotzX3UvYAlCoSdx6sLy
X/3e8ltnPCkOtEi8Lsf9mNiivtXt8Fa5Wzn2H17HzMoivuh9VBZez6yXgL132pZ86VcYW8IDtK+T
eS/b3aVzU7tqVlb54xSEARdxBpHkyigh757zl+kcf1PsJqSjrF8wiXkEp20e6I1pN40bvqa7lW/8
8A3KkIuQM5Kox9I8ZOl49/F+Xu0QgA2Eh38Y1JZMF6SZhtjDRZZwRsWuv28O6VH5AibEjs8wa/fF
Hp+PrXpMvmc8rkVXf1qr4147l8YiyOih3vflnE+pimPmT7mLtV+mWsVpiI7BKVgBVM0h8qMtvAgt
KIcgh1JSFYkHpPoLZZv0+89X5+MKAauzCCzRJMhNFPKKyhM7evWnbfygSNvq1lNe09GtWvy87bbD
jXuLXFlTPfqbB1O6J8XHG6Z/kvfeKUtu2lvoiWhARfdS404bx/9d/xWEJEN26GGZuD1G1Dr2KlK8
1ePnv/vqxC/i1cb3fASeCYilQ4nI8t1oh8qUlbnGwz8bYQkLTyOlKEozm6tBP73U3ijoYPQlvvJ2
NyJv1ILCeFnn9F6Jv0uMeIL0aGzkPesAAdTpvuq3vIEemkO2iw/TffCCbcsNaMLie75yLq9cV0vK
z4ioOOLM0VwkKI8I+qkONjPDX6sFxHkDfbBnl8SeDbpI0sitAlefLfUloD9bXESboGb9Wlmha3O2
iCyRF26yWY3w3El2wVGPnBr75URzMx6cBSU28yw/GojW9Udu593mrhpj+ov7auVYXht/Pq7vXo8Y
TG/EUvJp4mA09Tt57I5esu3WehJX7gZ9EVokXxwDRN/F83Q73HrfuwPydMmd9tw/+EdEHhERjy3I
r9G01X58PqFX0mp9EWY8zR9EI2bEDoFxSiqkgsf8gFNQfrcGUp+X5qNdsQw3qAoEQsGU8d79kZyC
jfX5T782WYtwYIxqlXoVf9frJxyta6sTboLSMuO1i/PKAEsQeyGahVkMBuINIfXT7Mm49yl7nM37
buudpaPgZk56Kzx5a1DHKyF/iWivW18Ox9gUz1j72PVwXyql3WsIxd0g5iV79kQfXIIseZM/Ia6W
tfefz+OVLf1Wa3q3pSV56kJ1nkdgQc8cmEu5+nD+uDs06+X/eVwEBKfTwWMK/ZvxJbrLXxT6egpq
hN/j27X377UEZwkZTypTisBWgwM6oH31rJ/0r8MhPsroC5XUXTd4X5zKW+5Pw7eoNH0+a1diqbYI
BKh4TK0oMmvNgYZF/iy5yb79gWHR53/+2qIsIsHoddEg9uQ3ukltCocyCBubH62+8uevPT41+c+F
qRG4HLR4nDuRY2VJ6BX2eLRbAJCtaXrwMJfEx9Jum5VK/8cddjbCIgjk6lSWMRImZ124SD/USw9z
PbL8Q3DvpbSyKR+ewfStjHYl4ixR12OD7pNYcw/Nzz+wWCuJ05U1WSKqMZ9H+VDwiM4aIpHjC27r
lvqCiqlproCq35AOH8TKJaga37/K7GOd6+VYAPRQITmFx+Ypu9NPgE+O6j06rrfIaWu5VWxF6A4o
+9kByCyg3S/GCf8pSz+sAb8+7oLq5hJ7TXvG6M1oLrcDwMp24lF2Yyp63lNxas/0MrajE+yaY3Cj
7fFo3As2+Z+9+R/Ovmy5VV3t9omoom9uaQ1u4zhOc0MlmQkgQEIg2qf/h2edi7m94/jUvl01lwlC
+vQ1owHkyHj9/RTciMDXXNQiNWyhjKgg2/lggm1RYEQ3BxLOxO+/f+MQX3NJmxGS1RzS2hvH1TbS
DgIqrnRIj7//+M9KA1i+qxABP2aBCwS/vlRvxSYX6ymNrLeBn1PVhxR0BYxLn7v35lG3mi3GdciQ
TKmFZS9KIhA9lsB+IKRxW6gT5x6GdwXSy9L2oWUMfsw5vzfivBVIjKtAIgmo20FuE0n5+PGuwV1X
DQcz5DFpIJHp6qu+fYY8b33ng/2MT8eaXsURUxVQ8qZ4HLFjOLka6rdKvYIGOtR5DU9mCzhKyMwY
bAw5RFz0RF1Wchk3UF0cYYmdSIAO1pBz3hRAExuwTIW3KxtzT1vclFiQD/Uh8QuLD+xsaQN+FhGv
uvZeo8UMSD5vXn7fGj/z9vAaV7mLkKxUYxa+FdkswD7CNJEdrRAyRH67HkNIWZ8wFEWDzjxM39nr
9F7sOwjvnLvD78//O9L/Ic5cA86nbLII7JZBog7lc3/ud1mi7TCq9I2AbUiCxvGnCUAZPcp+9T8m
t9dQc7NDC9S6tIMugDZjzRIrLB+adYERJUTqX+W1eBBRGvz+hj+jCiyotf/nBada3LGbAXeAEp6H
ECXJVpx4RI7F1viYNmnMNvmKxYAbYvYTZR7Z/X8wjC5f8afVvcp6nG7UFr1AQgKm0QrC1G4fLzS2
Kqise/kc1BAW4vP/VpBcI8sVSIA7SoWkEW5+UxEMj2n1Ojln9fn3dbxx511jxiF7nVpdh42SjjAR
dGcHqh5HcMfme4PTW5fMNWgc6ktQSGsNfChff1pi9UmG/muUHrTnS5KNRhgQ6jPQ4+CM4Vwk5PKx
ojfI6H7cMzK6kXdf48glw+QDEUzfqDoZXJVmW9YNd270W82Wa5x4DQsq3TDwehdratLE9CSrIUo7
PdYcmOGGg/2U8oPJzyP1F7DCmoAf7dmj/Jnxs71Aq6R+sUk8WUkPLe8F3lkY2NAlGdC2QVFobAbD
LfR4ikbHzaSVihmiVa/h0QlxZ4cPd3bZjYvy79v9UyMwKH+jjEO6uOxF9qSJ4wxtkiKEITKcOH7f
abdqhWucudlIo6YUhbKRz/lJWwn08iZU9261RXrj3XnIjf18DThnndlbXS9QK/QWlJzhhZw/qRjX
G6va8ab5W3fgrz3mAeYyr11RH3sD4lPSoYOdqGmwfePcyw7+JlE/BIlrjHlPbSMXlw6mXK4NOJVK
cjiwE++PfN6bKXTc88mznvW9CoZXQSBCFrXzErKd2UQaAAw5ZLCWzqfVRagGws8zIKTyiuxr/ash
VQipPnjESDIA01Po2LCilt0coDXpGTbjRI8KSJn3wnfwWpWX6YGpfsngYsKX3dWrLYF5fToWrqYn
tNi2fPL7zAfbIVBB1rTFRtbffv8eN9oPf3kB/+yrqlsco2kwOZa99tFMvoaEJkNEot9//cbB1q6a
RTPMKxwlbRGHjU9ZvKbZnUN9Iy39C0/556+GkmDG6wyfbqn3mCewfOXAeCe7K1F14/64xoAvJlEN
qqNqHklspH79NCRaogQoPCbkp7+vza3E7Rre3U8VkawBvc4hhHaHW7pwTljVMQnTEE1H51DdOXI3
irFrULfJ9F5p9RKLBVl4s3q12twd+vj3t7g13LxGbjss62TsImwgVLF7BaqRUKlDGlWv2hiopDWm
AAF2fLuiZ+CWE3Fuo/J0F3V1IyxeQ7pVuxW5znJ0cN2q9pDF6We6tjcF+OiX+YrjFdES5AFgxc6r
dacm+hkXav2XqDErSY7YgV1dxUOYRl00bMipWNeB7UO4PYSkjP05b6z/cZ+ol0j672afZTSHKI7o
mEx7Oym3gBTpB+kIqzhPfnYO851y6cZh/Zsf/POcvGUDqW1ser3KoJR9cVo4/b5JbjWI1Ks4MIlO
aLCMR4rR99tS69AQzoF/SfcWLJhkYwq0zvJY+jTJZsAXTMJTzTckMEtqWMAzsWl0LdCH7zt/zaUe
+yHw/60J/nnRFJqrxkJQFgp/DLpjv623XwKLCQOy1bDN76Tbt7bmVTVY5nAH61R8tlYpN7I6eN3E
goEv63oq/VavY9pNdw7hrUL37+H8541GXYYmtolnQaknAUklAe7H3UgRA0XLuPOQvx/rp2W7qvxU
Bj9Y64Kwo7EadNHlIVlQbtVX3QfiMAJbqF2DDh5lj1VEnqyDFOeOO6OkcO78BbfmT9eAbCCAgNe4
vCagJ+ClcQ+2Ei7YqN69mOz8vDP+Vmv/rONsk0FuFTTJ4H0OV8FMXsEevIOxUGCLpM/v3Iq3enHX
gOt2gWKuNWElpVXnpn8/GTg1Cehs0NCY/XJ/Dzd1632uQsciLZWjqQjOogsAP4HzMFosxaF9uIc2
uvzQD3viGl9tpGkNIXw8wEw6F9nxw7S9Bwy/9dNXMUMMZW8Qhp/WrCdNPw9pqJVglO+b/E7b/cYB
/ft1/vnYHE4qsBTDA2Yl6o8ptEEcdCk4GGyemd65e2/V+X8v/38eMi2USKivsPh1AGG9nr3nlQf/
+iXRqFvOOwUFRgfZnMzNKPQT+Lfq+FBDLhzIG4W/x7tbvY5rnLQKz9EF5iTY1Rgo6zAQ2lvVBrBH
C3p3pTvKZ9tn0pkVo0+mqBcv9rwyoShQb+0QXpoaap9mK20govTn9z/oVri6xkrPaZHBSwJ/0PI4
+NKa7dSgeIiUyDBc8CmCO0+5tfkvyd0/S9/mplTII0omMT9fHK3mtcwgMQ09wcV847A60PsVBPtR
3/nwFHJzNWH2apbW1nSS3+noFuU9rOTPNAQL1tL/+adI1LIy1UGPwBjVQ5+1YfFa0NlzLHM1GGGh
jVuibQvtYSZwwYkHcoZKXa3EskApsa1lMDDXKc3v7MkbB+saKd03LHdSjj9GmuHeJUB3UiFzboHX
CSnO/A726EaGfu0wgWoVBmI5QlxjreDcA9jjkefo9cS/f9wbOa18eew/37ZfSsh9N3gHGCT5ugJ/
Cajj5sa9QeCNDOEaNEz5AEu9y0UD4nPUbBZ3WGu7wQPLOQBaB+2P39/ixg69BgZLDrqptY3HDGH/
DmVp90JPkDf35nK3cvNrWDD6qYOuXIo7FcJSh+xx9qp9mZi+9VK/D8/qiwXlSMgUZVvFqxxPad3S
z6Cwcm/GdWsPXHWmC6WpaD9cXg/olnKKIcvuwHGwIXemTDcC+H+Bgglc/vLi8npg5PMd0gHPxgT9
zjG5lbTKV/GjWzKYlkhI820Yp6vueKah/QhR9MAe3d5fEuFZpxktTOOhWv2+H34WVIBZzVWc6Jd8
YexSL6sj7LTCYqWs4DVegX1KXNiLheqqJb6ZoWFaHqRLsJzvPPkGVNC+RveqVMiw/8OTp0/w7arW
V4BJw9A7yCJ9X4WSR85QxcCbOtvyVEKuCalXcC9N+ZnJg/e+hKp/jrNTZLAuh3IFpm7ZG8PXXELd
SxEgH7NV6s+vZTRv+y0wsj7IO/QoPSytCxXsLVmbIVv1cBZ086873+CSzv53SmNfo4Kz3NFzVUPk
gk+wT8NhvTx0oeY1UZfcE325+Z2vcptW0Us7NwBBrHfOC4V5ZOENGxzFc+pzD3LJmzQ0Aj0EydgA
iOvOcfk5ZtrXWGCVwiWTTIu2sQv1WxLAHtozpIYb+vn7yv183G3nEkz/+YgzOv7wSMTCOfscZMxu
cw+xeSOBgYfTf/5yOULPlOgo2OhGfUcTHCfjWXxqIfplzWY48G3xhC0aFBE7sI3arqrCqxLjVd3M
d5buRsZiX0OBLQ6V4L+45hYaB+9QC4ZtBdgHneS+F6M3fdlunt1ryN/oL9jOVeCZu4XnrYHJyQAs
sEsGrwF54I98sDp3SRb0uT6hlN09j8mYmHf7sj9X//Y1VniyJDmdL1tSvNRnDhoH0tFP09f8NBaB
vC7Du7Tay2v8cMCuscFDoykLnwDc6I8SRFJcK5pws9ItR5i7U3vfepmreNLb86AshcBI2a77la3C
4rsreXvn2r5Rh9rXgF54gENVTsF+zN6hESUFgwc55sx7Uu6BT26F42v8Ltxe5rzvubyxHrMjpsjk
NH7rZyCSYFNQFKBeg0uoHOaEbke/qtzZp9u7njmXU/XT97ks6j/nuNTJ/4N1LSgCkjZcrH0dOQGF
EEEZWiRofX7nWN2IGNdA3k6ZSLXoPfBWaIYvcufO5s7uFVei98QUfs6wYMH0n+9iEavNZvWCAEhD
iHa3kj/n0GmtgUiCy3ALeUNyp5q8uSmu2iMzzIQWYSH8WePjVPhp+95bumdBAL/PXqUXaXop7ml0
/pz4oCX3n2+lp44B82XgcGnha2CaNrGo//ROOFnh1FX+/xTOr6G4eq3YhpxybZMqufJuEtg+VxOB
FlA7wgi0qZ3B/f1Bt+LdNQx3yNU0U5p+2eQeGQErhl9s0b1Uqd8DEln7kLD2NQhSwgmZ0Rj2mcPw
Stvc1+6dtlvX8TUs17LtrrLIsGyGNBnZGr6iLoWuCw1kEAUhXpu2oEhGPCmmuE7j+RNhv8++6mrT
1PKd7fN3HPnDqbuG7qbCqh3o8kN2tT2BJ3hxGffH5VW2glzbkClYUiiw2cuub3aleJt5iqRBh7n1
S12EKaz0hoo/jTA31WUwNzn1mtk6kmqlQWHYmbKg7XlQa9yrYbpJK4iQVijJIhOiuUq9VpsmqMn7
iEkUVSERKAdqceqsP3Mf/o+f+CrhKWSt4FOJFZbWaaJ+0xPQFYnlzWG1a1fKAzvB7fWRPN152o1T
fy3HXTgjVegA74/ey1YyRD3HAHPfMLuIZ0G9Ln9HrxdS1VBndu8clp9Vgyz7GjjMlNRWYEAFuV+w
v9VT16GTROlehW1zVT11Jqgm2UE3IKy1nCgxotwEO52W8IOmG9Na9pyfIEsCowIcAQjrmmaQaUAr
5G5N4Hpv7vvZb3TmDgqFI8LkWnmg97tZmHfO4F8I3U/b7ypQ2lYp4BI7wgMoFZCbwDhl0cPFWJXE
QifiZIPB03U4l2jR9OocqfmfUto1rP0DkWs3g7tq+d4zJZqzL7t6pgoaWvGoS26rrwR5lsi+h8o1
tI+dx7SMSnT1CyhZwDN3XeOUm9Co7gAASyufK88wgfdkg+51FjWN5Eryg5Z/QeXEa3IIy+WSW9OX
qa22gxRVTtDBKGPGz0ERx9HoFmQLmIoHJii8I7szIr0xqIMQxn+GW6mweCkMiPrK6AUovnSE2baP
hu2Zxzlwd9KdoeaNqG5dRXVizmbPDX3e2ADU6xBUdjPYYGQM1Oz55Ayvvx+OGwAu+xpUXWBDVaMB
fefBH7fwTXHC8ruNgEE1VmqEu7dzMR9cFNvrI7KxXgYlgKOVYbmqx8bGVTclmpfhUbpYH3WrIff6
Ds1M6GgMOwHFEPvOhrx1KVxjsXt4isLjAAcKAbmkH5AUX+v7JZAvUkTli+XBTrQ2wJXxYP98r9C4
QVuzr5HYRmoKOZuIjJZwA7x/96AvGC6Asmjui+fG9rNmvyinsfnsu1B+4KkH0/fJftGVye0Ee1ZB
sQSD7bNPF1/D1EouwmHczrOXV36Npp+xJbl5p2K/VZJcI7uJCj60pCFFVLqEZ0voEKwJ1Akhs6AE
XfbqgLUPwHf7KvN7LZEbO/Qa5700oplKGY+EHt+xCrPYXHWHe+XprSrvGtBNZtqV9EJTGECwiFB9
qzujwQrHw4d+QpscYu5QkFzPa+PkPNDv4dhW3nJQIKEdsfW9KdeNhr1tXlexpuawqrsc9gczIa/w
GorIVokVv0yGdbWvt+h8SNB+q//o+FN+P5MGHJYRS36Iv/8FB7d1wDqECjH9mpx02XmQ55dGKj/o
0D8wzRQWUCG54iolUEULNAqU/kVTjoWRJW3R+W1Ht4xnvoooSB/m9GAXIWsfBvZIDFgF0tLjGDvA
OtHV4PqUTdMhbaCTX89/8rRPRDbvWqNe2QzTedLA/YdAeFmFkHTZIQFqUWw6qVdz2FAW7XpJBbow
Y5BVWTBC4bPKAy0F1VcWR0lxZrd1TMiPsNBRFZ9Pug8dfNdWY1pvqp5vR+eRg+ypyTEwbYGgdg7q
3l5JAzHZnqS+48rzRTqGvc3e+yKWjcFT8LqG/UqIDkgOvBNkN+0/agY3k6p6nZ3Go9Z31jkre+q8
clG5j+umFGEzPct1KAn01JndEq/KIItQDgXcnA+5XtWupjS7rM4hpjmPwDkVYxMuogxEPyVIluw2
hl1WAu/ftzSr1vDtfB5I5TslfTLyKWp0/RWm1d7U1R/5NO7FlMeKE/UNdE8FlVdCOC4ID2pHNk3R
QkhJxymcVUKhoKQXtHc7ZiBwaWZAF/gSQOJKfS3LqFYTkv1hXe/rUACSbd3NiY3oS11rAFVXH8BI
6RtZPPDRfOtsbee0DolaqzfrwKpN8jnUKv/oGa8hy8LhdECdCSsINS2YOkkT9TMYSMZSBmeKmncW
nNBhoTS0Fv7loJrBrA+uoSF4gegfUAcS11L7kptt9mIw+kzqN1GJYWOURqRMhs+G0l7Bt/1N6eZq
xTSje8lzaFI7Ov1eGI+WsYO+ZEDEY5rvx/6pNfd53nkSLCGacBaQkxxW0MRHRm/R/JC3Xpk6gZZF
peKRNJlpDauDGhaLttNjQhO3OQxbH0o+g2r2J9VdtThooBPna5LFNVmJJpnafYdUOC9TT+sbP4Xc
0+RCMy8fXVn40KbF1s0Rh02/lqIJOtWi2Oj9Rp69Xn+AsHilr1CIQgDOlo7DtMk7QFrMyGg9NLCt
AE6+mpeWZ3nZwiuiHoGSbGW/VdxUmteVzLcpRENgLe5CCu1gL/nRgWHjDEIKa3Zj+dhg31ovswyL
MQ5/y0fD7jes/ar514Qzp7cwx1DfmwmbRBuOncgju9SfMa4DQ8xCSSJNfqETwP3kHDKfvYcq3ctx
xpXmRPXDkp7YqLLYovIeYiP7qlW2rdoGHC5f8Syy516xw8xEP3E5lsquBrFtGt+Wkq3xGvOI2aQE
4Z7unPLFGxyxnuUM+GsnGbXUiQVVH7VZP8LTVjvZ6ditaljhSrkvaVO1NgiaEji8TU1hPEQhZIWt
oWOA1ULribgNkz29etZ47k8zOUGkdJzxzXNY03IrZHw3LAv3bEuOLS2ohzqYShiGtGE9Lc8DB0Ed
Vm+DIyEXdads179Ws4lFrffDCA9dCXpS+YBWeQF4OSxOpAyDLBFI2CpGVYQoz0AahSHMeJoUErbW
4jND85jV4SPJPFa4T9VAvnC9oPrCNlSiGfRLt5LlD+iqyJCMDuB+5F9+R4cr5LShBtTuVSciheGE
XO7YSsuBaHfM5pU3+qFR53RTZ4/juO/5lyCtC+dhMUclP9n46maBbpHwwTvA6ajhPm/1stdpa1Na
FTZNfdrvFki42gXfSHkV12j2Z3JZe23hnFKYC/sDbkNNMh9V0cH6SyoTLPAY8WqLzpOTBb1w242F
yLaX0bq2DoOAhimYS3n1IA+uVL0BmW87j3AOkYcP00kNVwJc461yInlewUHDEC4xPVF5ygf+T77E
RHgNjDVsVxk9BVBGDAQ0d4Aiv1nsRvjwsI28uFl9ZMqhgOYVDQQKmIyHtrIW6YO0fOc1KHr0U6kh
3wHvCwtitWWfPQ1tvpJIFZt59SQIhyBtydSoq5Mcgw7e1ZE95FaogYVnOHAAnsyow33VayrE7kuv
69vJK6HAC4lSA1eagSh4kXJcZ9oJkbyYYQs0Q7LozcAoITPWDuornY6QoLAazzBWubwIj7IGT8iE
2HJqFR/KY1uEkxGkFbh+pqdexrPAW9aRZlkRyGAQ0J4sTzELF5snyDrdkxgQKAV4SNlhNFR/sYQr
2bBStLYdjHbsDEF0ievvaoG2C2gfxwaeDCWM0GJhlp5g8KgjdHzVu34/Cbi8wVkBrY85oNUGVnKl
CrkyONkNQa8kjRZIecA1zIyhaiPwXNvx8rEQoFhg1d6LctdBjrZEWTSCg7mlS6yVqCX1L02G0oDu
z2xH5Kd6kVyGToBILDNQOoxY2idIR0VGt8l0P8vBC+T9g8F2zRB0kOzS0QiAMWoNeyfxuDwMAPgQ
cQQVk6YtnPNoAHMR2wr6Au4C+tM8Ix7RKTRBPe/U3hPzBMNqv5ffbPLHgkOFQBkTFl+9jSABJi1D
nALgBaBZGNspMXM0T1VDRQmc9tRmTwZLtEuocM1hy+ga06is3plz0EJsGx1q3WWW1zSIc6/S9Fgv
J4aiRe/9IY1VcNr6iIqVA+dP9PhelmyN+aOOw7Hk73CRCm3V2Tgm3yLLg2/viE6+pYig5zXiEJmP
zWzEGb5ok8l7HVVo1RRiQ2DbQ9sW4yiM5zydL4GzTAmB+EiQyR2umLncmzb6RkoeENN8t9/yNijo
gk1LPM1UV1lXrSFFlQyXxUdH1x7LsIdDKF/gisfCAYG+wbdA50ZMUwLdDk/hvU/nXYUp/cCtQys8
RyRVLnx14tHcD9TjLd8Y6AOYcNLWNb7nYqNKj6lWrTv1HdbKdE7BzhfDQSukAygnHodAKFQmT72F
npKUmBLsTzkkJqdRcfXJIzbZjhPXEJ6oCY9O1q571WKes8zIrJSVmr30FlpGvW4hqZI7JHtIynLV
Cud6qj+WARc+sTSf1CHAyxBDdlikZ2Y46z1UmDq/XzS3R/cfTUt5azU4v2WMS8DSQSJnS6LPdqhS
lJWqGeV83E/jC+bFLtc7T4Z2YFuPvgoPxpnpXm5snMoALpvOa2fhsCeGpAgutsJ8bMYuBLES/pFw
k0UvwJFq2CfL+QtNrUhK32W0DNBtcxcncawHuJxGTqbC+PSymUEESqnu2g9tGxl1mjSO/T1rmeYP
RDrUNE4b+V0h8GEq8KmNgUdqM2LF0Jl/Ehg7LZH9CCC5YdiuY60B+ObIQpb2bZ6nyGkh8zSca+dN
lc9iOesz0rqgqR4WWCcqIpxh3AF99zTOoVmJVMBTTXIcVe1rAL/Lk2GEAt23Hqi0es+LZssGR3U1
KsVmgx0rtStrCFUWyTX51C0e5I6AhO5lrMgWmMfDnLWlZjBWJnHBnp/gl5StOa3HzWh2MMWjIo/z
eUoGCG67IPMeB6ZsTTHnK00eXhnu8BW4l07E2ndlIQElztc0wWOVEW8wz8RE+g7IPvrsxQHW7jDl
VOqPkqAwGWqY341QfBm431WAb819gmw25qm0pgpZ5U0awWb0DPm+ta5L0TwixRlo8a05kFTO4DVn
wNTest/k2UKShm1nwp8c0RIoCUZ3uJzXGtDFXbtZyFvhvMoGQsXOKp3cLXHg6QBTT1gUlEGDJlNn
dIHEEUqGCTI7GHevu2WCvTOoWG7h9PlmEvaqTbV9Y7UbA0O3rKnXy+SAwoZioE3DKiM+UyiWr5FX
umAYlC/zZsrqsFgKz5ifZd18ayaUaQpd1woOFDquxPgi3WuODEnUDRzjwQQIuGEES9/t1UJ4shbm
6keHWa+t0UdJOTYQT2nHJ3iibmq9OkwiA9PAxi/B8GfX4wlqN0PtvZqRtGnPXcteZ81Zsa4803w8
q+jPTOqB95uJ5l/wvYD3JZzP4JE1zCnuRcxvaglkOjdtThmcMRXswEcBLxGchTIomx0iLGOB2q1L
DKGVcHaiunp0UA4g17icXb1JhKOuFArvMtz+fMQugYP4yep5zAuEXW74swRkqPI+yidz9nsC5pCu
fKlV/2KMf7AJfdRjiB9eWtdBmxM/LSc/5Z+mBbtx7YsNwWLxzYxErhuLjaLJriS+TFtyFbhS0yfN
fqgLv7agSI5WN4MMxYReqkZfNYMcnFSBN5FUxjPoJNycEeMwQh2Zr5ovS14ls82eeAH0QFevVNmr
ZQhag0RTGb7lJBbyRO2TZD5iqyjfdAuL5BWgYRCsXL9qikAvTinYtfQl13wbAh6ytLHlVf2BAWNr
eBkkw+nrqL0YdowsYZmiskMnQ0mKET6oXZ5YTmhw3NQoU9bG1B+W0d5mEMwA30juqC9h3CsEUloI
pg6mN0DNSpTQTEVOJP5MC7yd4NKlvaRzRGDW0IIuXtRZoJKdzt9N0JfsgcAYEaXdEMrmtkTnFiKY
8BsTZcitxGQ7RM8WN8xANhq4mvKDCmHJCeenEb4tw7QVXoW67Tv2WwZJnRbO2GpsYAaZvs9POYAJ
/KI/XKuhtZwnUPq6yhNoOsFlRIkbHCi+S7XQSLe2A4MiD5VOg4xPSH5v7YRWIxatKwG128XZ2ciC
9ZIHCvSg0BDu29JXyh7ORQjZyLK7OoszVFyaUwYZqgW1xLGWMVM7zhRNX+E3c7aF0F3UCVQUk0gk
kYeOAs3M4tJIKGASxYNMfKVwFS2qOeQDQ4xjbtFGQxa1RgUlyKdWh8ZOVCuBVaV4iXZNqsxnRENu
XPimPO1HZsVGhnm7rv2RM4hR1e0KV/tBGvVQqsIUCovTSwr+RkureJYDzUxY/W0h9EwUZUegoF2a
klgFstK1QdvGJCfu+ZulxwPA9Wx+75qDDtYHdTFfEnD6QQSoXGTf5RBUs0u/4PTgcmae6y5W852Q
XuDuHUkjfMtsiARATA6rbwsfPq62s1UqZEbp2sFVOzCQ1EjD0CdjRvHnIg2Jatmy+oecjeOrweXp
VU95h1al3euJJLFQG6eIUBGgP8G9PC9DE+7QqUDlq4LyTdi3jbOW0RaC7KOeVO2UjFkRqQ6sI8zl
sCgqGFNlKOYhpkr7ZzHNYosU+OTIGV0BauJBsekktObI6/E7y1C4YYbppmluRSKnx8YGfyq1naM8
O6Y7mTmqlzmFi630wNTZ62BHjffy5bn/sKshj7JU+ZZsJWB9+mcejyXfLZ3XvGn8EzPCHtQP1Dy9
r1Ve9WlCYIwMbTD3lwTOEmv2LKnwwYEaHSTq7OgybLFRkenbpgDBL7AkuGX5yujONFCmULB3VuCv
d3XlpHdu1Xi5fqEnxDixOguKKrGV0OgyL21DmKOhxTDXL9CnRCJIAfn1hbxW0LFrOMzgY/gNOM6h
ZqBLf5sfyl4/a6/SHMLcW4mU3ldMv+nCqnjsybY3Og+TY+MgcFkbmY9mBZis0MXO86hkuxb/tcLr
Tei2uV217UlMIb05eJREHIqXzl4jkQnzbICKqRVwWDKjCs4SCYkOezIhKpUeB64Gfe0O5WdhhilQ
50qsbzUgEdkCtcUPi5RulWLkeeZgrXUroq3ruomJGcEEHlTXUXzkva8WcUq+pPw9XU6Z+BzKJW6U
sIUaVeOj9KNoE2YtRIJdONJ2PHCaPbMWhFPA2TL0wMoEidzSsJDY785AdpUBTWET/wzHw4DRQQO/
XJ16E8HWKOPyUWsyVKBHTgLcJTPxVQoJLJJvgSaOeJdvdHtj7o1mAxa5DSEdwGYa3/mUBo4qO8is
c43OBN13Q6wscIQvMaqHbBg3UYevW5IgTZBA25fhcwBSpfNUO3FjvOQKCIjVeDT1TwsCvQQNJpjU
jwhm9EVv4e0omYHONzX1c/lPp0Lul344wM/V381wMDD918AtZwGEPhUDDY6tWr+izyTyfdrE3Hik
5bY1NgzseUDAa7DnAW6SpQCX3tzGihojIVjYH5oGFXzLq9q30LQTAeRQXRW9KjKJCw0RivD5YPr5
N66kFFaDk/5EOx1hNuwlNFrgQdxvkY40YJl9IsfzebNSIMn2XDPX/sCl0p3Zl8HDjJ8qM9bByYfP
PWx1BJgdkDQWmjPs05o9wMHU1RosJozq5aOTRjCwzO0nvIvFHuijnp+zaQ+tYWl5ajVkNnnhkYLu
GoE6HkW1mdeAMvWRKePllm36TKUFlGk4JhmxDq24skHnZl05VWRRghMPiUDHV/KDlOjQkKZQDt/U
nJ1N3JIVkjA1RzFbnQ12yGaX1Q+pwJbfmihnqI4vAEigrEP+Gb6bs5fZh7l8dJYFad8Wk/Wh3QOu
5lrWZmYHqj3xdGcgoWWYglWhlvqDuqqrdQGeda+heViG6FsRGndHhjgIceZOxZZFXfPY0NAy3/ol
qSX0eCP+1pWrEcRf612DRY6MSxO0wen/SDqz5UaRLAw/ERHsJLcCAZJsLZZtWXVDeGXfd55+PvVc
9cR0VVdZgsxz/vUfP5cV+5NMPbvyXeoB4OYmr/ZG4hHCQgWJbXnDL2+ZZG97PYABnZhA1nNivdXl
75B/mk13AW9HhaB1T3Xv6Bnf3Qd/1zK9z1q7aVooQ+sFsajN19fZchCDRdTVZS7uS3JcSQiJProy
2hTaJQ39kn082lj2mz67wG72MW3BwTRfK3eosxyLk2pkEQMEyuk/sW5KczCRHWXxYWSU5Rwxnbbj
eX9KufcHk3Ve4UxZJRdoiJGiLXdMQCzLCe8j5UM8C+GMo3pDMjuol42RzfZC7rroU6++p/yjax0d
TxEhNPaprEqHiF4TrEQ5dBU4inlCxDCWlBr5VnpmdypVrk0z31jau2CsCJ1qdWQUsd2lIUuy4PL4
y4yzVp2L3DEjP9J+DDt3DfM1i5w83cWtP+gBJAfX8Gg5E3UO9Ru5wWlObJn0vJTXji7t+jik57i7
GSUA7qGTpu2IZyDN/832TpP/mOgaKXJMphSVOSY+ZCsWtsyVZjQ4TtPQirEpeeaZXmTmkU3cit0U
6te+iuBP+PkIaqGW1dh0P1MV8KbUsZu2vkiDtmV4ee0aadNFv6F5MMP9igg2dq3cH3+alFGNBCds
+sY2fp/p4Z1dtTvhG2YW7Fjw1FcbxP1JowZZsKIALsm8ywlXoG+CkkjprolyN2/fM5M29ALC45AO
DI3WTuo+V2E5ZrIvyDvsKke2ghKJM00bKtepbx2zeaur7+uvltxUKtUllt9biE2ec9ksHbng26c/
yo1K1+LEKp6RkkjGTwfc+rroAmx7UzzKbDhHc4pxe0/CMEmLE4zA/DPr2/5AGvmiIAECXnzlBrJC
EuzUQDW/s/mjPVdcLHGQkNvCmBb+mvltQgkMlJVz1OqO1ocuGp3RZDwHdgT/2EzdbkEtaVj3SHvu
dBJzMm+K+ZDmN3U68CTkDRiho2HHa1y7O8o90k7AXlfVbwngg3UeZ5f0J409UnmX4Lt1kGSpMd1x
BhJDjGFtrOa3Co8TsdL2Tr+b4DkxY3OwiFNFr9awMQW5A++TVLnoHjfr8vPAA+/Ifi35SZ4vM5Ii
Vv+68pduW6eePDmV5Ibdtut3xFbLyT8x7rK0dOcJJkweLtoYblZL+FFEznx3KWfeMNZPg2YDVHqn
tH6Jxm1bB820b98aSkBJmP9j9wyRQuq3CLWi2IbXAUH53fobMjdWnEomoT5Q7Q0uHzEF476HPxi2
Knf0r5buld9CJ7mfMMEo1LdD9E/0H7Ny0V81YgjU8dJ9aItf8TfStuuyAlW+lJESMIPQWOawxYfJ
v1WTHQ3JFuEJRmntuJLBZdgW+Bz87AHZcfSeIuNTSTgpt31xAKy31d84cvPuK8l9kFYassX8pkiH
rnWzOQhln4XP/NMzy2nvqf5TD5+AvFRGb9J/KiP1NSsFD1n90DRolV+AvOfHcG52rfkMj73Jlyed
W1caQGG9WgMfnKmY/RxIABAX+a+qXlglcjPQo2rTzAej4pqe2Vt3VvbdKD+a8fLA/wmC4mRTi/N/
wNLjkdM36VMSB0TH2I5RBfADqLhkgKF4/TLTnUwTs/yW85VP/OYVg3R2BW/ewLVa4VW+wpt0dDOb
s9/Mb0Z+TXmm4powcaJqpxd919fHWvOtxQ1nD7QEQRhlAIRwF6gb2WV4u8g38lt51ygez5s1/xu4
FqKn3thaoTNEfliXLpWw1XRdYyIPDnZzBSqevoeocaoPXb/ytcudm5NUbvpj6wFVT1gevlbzkIbU
GlAxTFhhw1AjNXxry7sBPZO8d9Lv2joqD461wHscHkUE+kPH5thR4Wj11lYqdyh+SHuwom16Xtub
poOvKNyERO9/kBUnZQFTdL1sR/RSEte/3+pIAOhubr+or7WNQ274aRbkimMzu1KRI0gX630hOKO9
nNWXU4jadKkIssHn1TQLD4Rbop8POCn3ZPs9/lx6NvUCbkp1xjgwrKOCzE997pvAVr8n/s91N1q7
OtuU0i2s3+rPUg33YfoGc/JYeuwBkX5LzFf30T3rQPrtrDlafmnNgzJymSvYlt/s8DbHiEIqhy+B
WU1h0F4NN4US4yTumJxNGPJxI4+PAKTEzSq03fzTXpmo6ld9Lg6zydKmexPPVoYNdSO9mpgdil9d
U+6Vgvc2B8ubITJwV7Wqxs1xWEq3N+tn6//XO40NFQ1QyzQ5MS1NVfWp03+Ac8W8WI36IQFAbCRj
eHDYVeF0Law915AAeTaKDJSItpqoe221Zt8t8U4tK8cc6qCtwz85rf/Zo/iS1MRvoJY3mZk4eheY
WeYVk761xFY1Ry6WTRl5OtvsGSETAtKNUNwq/lHjLxU1gnoIhc8KTtlgq+2U+vCA4WJXNv+g7Isf
WuiDRCN0G89edWquQxNth+VvGDUXBUrHxQXmHOj8l2Vtq6za4M99EzvEt3mjsW0VbxVeCdViDMnf
bO5VqJNZDPdS37KMN52ji+k5a8hg7sfD0vMSF2BiKvYaQGo1OVYvdnePDNlLJ2LdmsyLrOwCBOBl
w6O+S30Zx8diD1A7U5Fbt485WSbenytobudt1HC81uszmFq4jndFXBMtvVThLuVXG4b0oktXskXb
jGuCoPtzHD9zb06Lt9rMWE/GXzT9TiitIxCADQM+ERSWq+iHCemiRlpWRKKWw1H7GHphhvsH+rAA
fPfnKQrKcb+AxEJWQSVo0cUu4S/geXaGclhNIHd1W2ecguu+WoCJdusKG/fMLZwMjjA9fb6W5G23
m9DcVhg0Q1pM/FHudtVyrH4sNFeZNZ4Bl0EpxvEsDXvpZe2fqLPAQzlad0NEfLpurvqFFdh1hLbh
1yQqpTqp11nbFRnZfTtK7jYZtY2ceuPgsXDr7atuv6B2IU4aOYGkXlUefeZkvqNJd+fokDJlyAwI
5LUIotQgjCKCpOjgG/mFgNfdV27dhymw1N1CUhF1XfPPiCawgMA7jZzl+sC0VmwzaOJwJm9ci4Nu
PBXpu20+L9Mxg2UF6DX2eo/eDnC3eZQAzo2XDwlo/wfROLAnV4Y8RhSFfMa3cTk1yrX/s3/yxNwM
ydYMv+sZACtJrrM53BVuhoXfPMS3qv7MUYLZ02GkyU93psSDFNV6V8Le1Y+OeGpGhVHinjE9Mkbm
HvidNm/swKapKjzlmZ+XV3t8asetlJ9kuOUhO9DALjRxWz4aUM9fmV0b3NOvf6rw1xBOZrP0o1XO
ZIfPXTaO6+wafN6zQ3Ku6Sw6g6tTvicTbUlKsY2Te908y1+CXzNk27n4Cav3gURXPTuzAkJCwh7p
+vNapW6vc3/iGOyUfVR1B72FAySRCIqxkHfryCYBcgzU5/Eu98xOz2b+nq3Q6chZBsQBeefpfLz5
jeibWV8ODXOcarp2/7Qqp7xx5onQZ5+gDU8/hNaj4lTfLs19luH5HV37XR5yChQ19pbtQ0O20jBs
PPabTGWwQEWSOxWIHyMDSh8bo296714VVpPa6bVgXrfai30e2/fmltoOzwMgKGCFEkFuSX95+Y9U
srrw7HvJoKl8tMAsURrIpe0u5SZCIVu4mrWpY9lVz0kJHe4+Zrf7snhhGOAEksVXQ9/qCfQcizVM
0cnmOqgUPvTJ1/t9PbDR2HR/qIdm+MKS+2SR+a2vngSNuX6FI2qJ8nW6S48kmP5JQqXR1rTY9l7C
oSHvZlalaiXo7znSUMU+7hlYBbXehsPzGh2z5d4kH1G8teV/MhRdot/MzPaNp1nezibc4yEHgbeh
fyjukBPzzVbkr6GQDlHDTRMS9PguwPal+sNMOWbdmEZ3QtDHTyLz48xl1yhRGYqnxSDiyuTLQaiv
/87hvkglX4a/jsOdPPEBpddhbDy7yPzGgsOBuFtPNVq6CAIUIfb4VIecE5Fr8mrX1XcaHxOQ6Shy
WkQkURuItnAW2tlYGOL2y5BetWJCHDShycfuyRsSWQzvSB/L2EvXkhkCXNvklmrMrZVN28VAj5NH
AA9adurzaVMr1vMAo0++s+Ro6mWIrlRMwnVHNgKpDfP2aLWs99lLXJMIMOZGiwYKxEStg8yk3Eaw
hRe5F7MrwjyDmPQ3UX8Kxee5ZBkHUpSm57b6zG2eiQTAhelUxNVREapTiovUuY+Perzo/angD4zy
T/5rVoqMUVxy/SesScu+pTLyfIUFXH2VqNmNDW9ee2KOWHaZk0NU4RwVRaD8qYD2duyBjDTLihwy
VHW3NG9SzYdyqDkK18/K/uqi6PFbDjz/KaoYM2JNeNYt5u7EUfWXaY5RfhV3rmyhACda5mZEol1Y
2b/OBELNZzJtbuAg2HQQkEEMfMjdUxn/dfDwC9vu+LfqnfufUOW0GscBaj1iR2s4E2UhPipGoqT9
GPNsrwk0WXG6V/mLR8I6UIt5KGblOpBJMO1L/TXMzjpaxih8l7upc1dbOQ39GG5b9TFtVvc4T/3i
IM13WwG/RujmDPwow3tiv6jq6M35vlvhqcJLGYEoaZc+2lcqzOGLIgWG2K526Jrjb1ttY9gV09pR
7sq0a5S7RHpL1JFJ+9usvnQgpqTfGTp0yyZtaZwsQd4zEmGLl37qj2mhvuQ6WDX1ZXGxN4hRLL71
FrlEv8iwzgVM5/o5dVyksX0lxpp3bm6/zDl5k2y49no1vFIZ4Z9QPmpttWsG3vB+MDjXrO+hBynh
BlYmSQRDJj7DeNnT0/caDftZfbOQFVdYCJLmZkjRpQPUblkwEksanxPYfeA0ITtlArGbMbR4hibH
Xq0aL5YZJVdNRyDURMz05VrtdDu6VhblPTrC0epbjbKtamg7qUHNWKy3VX5AQBw5kWyj+z/mMUwu
Qig9fCgD2Rt1u70VNlV6khj3+jTiBSBXbaOXajDYceg0qZU5g9yMftzrX1FrRR5MKKqFJX4WIQIS
XRvpDlWY7stTKHl9HuiKjb/NxXcwadO7xP0eGudlfGX9bNMDVRdoAxK3RJFUfhmm7loUIawbo2Wd
ygjTFzhhnDb6S6QXjZIillCsMrY2XahogoRTEDZkCh6zudeoCWyql1xIh0aRJkdI2tYgl0PlRbVd
0V8HI3GVMli0T0PAf6l+3vM0qJ/tzIpfoKaoS7gSOEvxIOhIIa40xyLIaK2bYxvXN9NUqNweYaLU
LWJ2fZ8qxmkkeBOYYGGKFUBYlB4zBgeJCVeg3fWYjMo4HndtVzyN06DDaoWwXQQMx8JvGpkvE8Oc
Y4kidEKp0zdtoyvbOOLztmxokkFNFxeC57kr23Oh2o7gFJHm+qh1/+xU7AuCRppxqGhwMtzZRodq
aPWPIT1ZVbFLogFv3JCA7xe+HJ6M0UtpQbGxZWn0wC/SSRME2pIUUB5TjcHZYYq0lIASCo3bYo6e
8SklTJ1L8baYe6n1VHtfGX40X0dx0GkzxR7A29bX/YXHOvJ6Cjugs/QVrD6VwCM1NGAK0ixlm84a
uL9ivdEQzDVfEtKUrP+6ud2Dr7CNVr1TtK81rRkR280JeluyDnr8YhrbjqiJzrUTcCaI3oSbZWCz
yNeADcDGIIWlVYjtgKNB2yJ/8CoCbIfFcrWIH7feRY3YDUvsDSgQBpXFsnmPp20zDEGTa7tG73W4
N0amFM0homfO3/fmpQJOHcS3xbnN8NuPn3lvE1ij3ev2B+AsbMtjHyVHpQpydXpa7V9dAHYXbCit
ul+MzltMPoda2on4S9MpbZFc7GekRe1zpasdu5Q/Zdun8tFta+Qvdht+tmVDgU4aIiJBjTcruitV
5mdiKSuTD8WA3XDrFTlQ0/i6hJkTNoK2O90xwgQlRCWhwx27xe9ai7jPuRrsn7Gt5e0gL8KVlCjZ
Kkb4q1ToUXmptaGjULLukQ2nMn0LhaFV/Avog7jmJl8LGUlnRyOYFdkHJNiaCwPI29ENhZelaTA0
9iGeZ5g8ym9QMU0Q8tUcgY3VxuzEXeUBtVWVjuRsBL4RY5ke0rkBl4rPDaa2BnhkyMpnCTJOG5Vg
RYk4D9V9UmwvEdkJee4xS9JL+DAoauBOA+P9im+lQHVjmqa8lYdy8Mz6oRA7zsZB1lPxsiLtrCbT
9sqHaBeduzPFxOSH8c4cN6soAhupv8FApbOdpHiTKlQK2rXnlW+gl8KiZWTr5a05fo7rP70JVPZO
DTlZi9ImZjzBoye5kfnSqcfZspl1apdm61A1NmrPX/Gvq4n+C82nDAVCy6BcWkzp5mcmNWwwkunO
xa2sszdFLOZpgeYGS8hZzR/qbSXT3Hw8WfXZjN+lFpR6L5fV44UrE3InC/OrNnnQtA80Ld6QYUeT
URDHWvNXI+XPnFF8JFHkawlkRQMKl8m67Sy92FEbRPPSX0cmTDcz49hXJBzteBrLnyz8ikfgTl5h
sfwiMpiYsIsUP34PSrHIyrY1vXXwOtwR8nnUfSu8hMpRC/v4nOHc1FAhXo15/Unqcdqn3bvI/T43
f40ioWZl9A3kYnT5eSjlK+1kTvQGjDnEitvXTta/JqbqmOTDWpOTo8bNtD7oH8o78q7Rhsw2ml+x
TfociOFcNc9LjOAJ9apQC1j+wjXjNjBjlNhb4u2shSYHnq7NRLjUY6gt4SdkmD0psHMJ8+QHly+y
EyRcLSoQma27/peQ7FcoHK/6ti2n4zrtkvCgilNnpE7EEZON72P7AukEtTwVEKmeXYK8ITq1seU6
kmJ4o8y1BkMTj9m/UYpPGdO43h5m6d8w2R6H9iXRG0+a3nRNJ3p1wpuguWUmGReDWa/IkTOMHSdt
folMYQR9u5IBwvi/rcIB3lS58N8f1dhBxMSAzEtbZf1TwiZWFOtzpJDUDU6hAQL1YwqtupxEbj5U
TIpfyEFefa4LiR+z7rSr6ijKvQ+rvT3n/By4YLNPy0I7xW/sHnAgPKTyVwwIYNVuY4HJ93g1Ki1P
XMDwdTGxnIJ05Ovepr9aXd2ijiFICPIuRDShK2DtTaXfQpgoSFE3IrRPUj+OvJp8mAoAO0uCsV4E
+92uEeN5lhfcLWOX1ISqQmiXOcS13rN+NgSimN0C5qB54/gXN5Z4QRnQbMa4HM5DDKLPsT/Da0Wx
sriyjM/DBqhKn+QhbZyx1t8tZCgYPCrTONel5if4XPYtrmSMK1IZiII6R4nBe1gEL+yKiHJWw9h9
JDp91DW5v8t6y9ZRQrwRKL1ccgGCjrRJ76vR80yTU23pYtOo6amUtjkCkaEiYE7TWBctCWZBFrge
8zZQRwlJ6wwGyCB2GaToGo25u8yaeOrn5XOWwA01Q25doaIeriz7pVGoTrPnFxDXrL21j025U6O/
yiZlPlHOGoOoXk+ZU9nWWe1glfOTGr6iUs+3WfqvoXBkvg0tl2bdXENx0QiwRk84yDQJiPc5+w5Z
vtrmFk93hcMtFq+9eZsNUF3lTQY0TB+KoFuqQxZr/Dkuj83RnvAOhHHTPFkLJFNo5EpgJbH6GeJW
LSBOoxVOrgpD12a4kkdPeyx3A8R5uDY2SKq1m9pM/+zXZjupDYbm8HVOxkALLbfIZuVVFj/hIDlc
C0aTJO9IpOhlMBFktFptoQiepK9WjnCgpJ9dV/xGawxKdqvXbtek4bsEvCAPr8kMJBubCG46I8+C
2JpVXh9UvZXsFjx+G84hYVgKRoDoSTeDXP5eYkoGhYauWPsuEvEMeDGsQoZOZjbBloP0jXPcqDgw
Lb8s/7TShGDsiSSaleEgz7FCWPB3Nd3MAZ8QmLyu29x3md8tRWCC4kXDZ0VK+hC/4sRC7o4KceTj
5niY3oYJaagul2wrqWuAqKgr7JClJ0HPGA2CDjY1PX6atPXK5gItm7PJ2+LeWfJLVNr/irpggAa/
NJdCQlvwCHdA9OgXRfvem4x3AG6pOT4TSJxKHrrxqJ99C0MUCmYdQkS4bcu206YPmToVGZtYgt6A
0C40VC+Gify7To3wA+CXA6z5NdX6a+SbRcehxEhHCdvLzgQZA5NIL9JwFNTSOB37hbs0N3IdUbNo
kVNMoJykJQ/YupSBc5JlrqiMS8E/lWzd9mO/G2REIKs40HK6wVY8K4haWuHkfeIn4UKPMfCMdFsi
vrFGea6tJyDI53YE+BbmWYmqAPl0EU3tx0yPbDlU+IdQq5HwbPX87xL2g2V5WX3dQsXX8mIZRBvW
f1MIkFfN9seQtVDPMVu3hMO5MHVwGb32MCfMZJwekbU3uy63RbDaDfBrrD+VKWgfs5DsRpXdPGsD
SjOhtIiN5X2oMgynnZumBltdxFPYySNzKU6UzkCbHtuwhXp4MScTAMkyjpIlrlbWOEp4rJb2yWSi
10TsdQKwWDgcY4fMZl6BAIu6W5MhTpnmoNK1E6WAUHdv8JALHgt/mn7VxjoUqb3VBd8w/Bd/3ivo
bltMQTQ2u4S/ltKh4R/fKmXyjPQfB3+wVMUhsa0g7HyW43h4Nt5CNDt1Tbc3qpWuUpwQbHe1RgcZ
9j4O72HL6ciDgrgmTtanOjK8HnZbn2egWPFWExFXTbTSmGcTqTd2a6hn2WnWXx2lVh8Ou6b8Z9PF
RPzDY3Ka0MaVP/Zwk/TrYP2gA4uTz0iGSEHHNriJ9DmR062bNj8qiEZLdUS2uFM9YiJLUY/DuQHx
Z/pZS+/hdGY8rXowrJq3GNGFZHlyL13Vqg3sWPNa4uOd5cHFaHO0Y0v3NYECfqmCUbpNTeabJNna
yUGd32vMSOpIr5suOyLpHjSHqeStk48SYOTjpZ842FMCW4Zv25jiQFfDXWZY/2L6bccm92dLp1Yc
w1uJ8aZAkKdmJiozhAmmckiYg3TMm2EXPXfjdZoSv16w/pn1XsNCgClwS6Diwwc/6HxS0gjZiezK
0jfsyCP2+Qq0jDUpMuZ9htrDAKUr4mtrfknJVTZd/EXI1+6L+qXW3xa8vNKQ6jrcq3LFA5pO38tc
4a2vy7tSpec6IcS20/qzMltv8SqTX1CsTm0vByk/1DYRcx3tdmKngIqlbJWPzyGK+WtaWBBbvicM
LXIU/yBK4j4+gB3zbnF6VlbmRxXy8wwq83moz3F4ZZmJK0jhQxE9bJNeM6Tb3ki/DYDT6bpIb8z7
SROeRwPqaiYAQI4mxNZhz74BJM/+v+8zdODGNF1kJKkrSlt7GYOe5USIJN+oojyqzeKuRrFfYkN9
oS8LTazW45lM+nkrBhS4ihJxdueKXxvLtyqsr1L9tPLzKgYnbyUELmqHJKuwo6Mw5k8U7FVmb8cQ
EXk4y6DK1WM6qsLiTWlB81mB3SjtB56L8sGEP9IdmGzmemHXJXZDK6GyFnbiOrICWXhKS8ligrq0
PNKX4/Vq61i8zWTj60I7ZAXkci/C/ZxpVz2NvczQ3MieMWL4deorEspSpO2D7qqtX6ZHSYQvmCH6
5HuarEu0fBjRD1ZfqHy2UNOQXDV+UYxLKmnnDpy9teqjNMuOqQuvMmXzxZozlFCxpXkscQQ4FZOH
FfFfMuG6mkhoK0Sqf1phRtrs2FAGmk//H9elHFGpkrGeiEaCOGuwAg8D35Mxe2uM5gjD5FzehPhE
+bdq3zVkgYbkYXRniRmGA6V+F+b6ys60M7l1SgVuxI7k44gJSuq/5jU7WvlhaWA6ospNyhxrhYVo
aAmyefFjER0ltAbNnD4bab1XIwOPzGx4Q62qLv6fbW40oE7yvglBDZI6fm8zeaujaMNhS208iuGq
8/piOkZd6ETQK9W6oMtfU1cTlptXExq6rlE+69U2Y6AVIl6lW2e1zmBzogY0OABc71TEbRNtACZu
NTePAGlP2nTn4B2Um1h2esiX5mCzZNh/WWPiW1CtvzBg19GV50O3L+i5RbezWZlD8VqXJmzMdTW9
uXrqmSSUBtBA7/1JhFfer1ImTk/6rRDJa3PmtPrAW5LXCBPtGqlUWkuuooneSaKOD1gpi33eTWTR
AfKmqduyuUeJ28DXNNO0t2rzhfKt2u2M6tJ11yX2Nc3VE+1QgxAr2lvfVIzQEYvAtspDbdM0WNIq
T4Z11cTs5I/0JbYVrTyl84Bx/IalbWfLpR8pmeqvyvo9my8Ts1m9nm3pp5hv0OGs6A9HKKU4BPMa
YnXCKvWga/PFQLcp9g3KB9EFcqx8jV2NyLjYzwAxarkX40+krcjPk29LzcHCJe4+m1yw975KnmdC
wCmkE1/xyrIWautBh8FfmSWG+YTfBRRl2S5c5MtJ4sUeZQMrgrJJhvkDy1Bv/yTan2IGa9edC+ME
kwlNvOA3lppj3JauhiM/NdrnfD23eu7T+bpt4Y604tKWdyt9X1ruQbzm4pBPaNlb5OLasSWbKmsF
IOWDr/AqC+tU4uYPFSL8rMHQigqtW63nVvrTiMzN8Q2bLTaYh0hpSGq8+WKLgygml67rA3qGnCKJ
t1C8C42JKo5bD/GzagonGke3Wo+6WfKLYeRCCJGEu1VqgBYRomJJLPNgqZ8K9UllvpH9ft2TGQuw
v1nJQbJmDK3r+4P4irZVvcOhm4BKGjsAI133+/HUDE4BzBVd9WjblAzZqLP13+bRjQUwIrI3CXUH
OgmUSvETYvJNpn0J9mfYBPRV0gjx2uLQlY5DjBSF+tsMMZ7NUq5qfEewA8kJRlMyuF5RVjRh4SRd
6U3L9FR3kBvPyXDolvuiu6lpOGp26NNLNz+bCEbV5FTLEo9mnN3rQt9ZQvDpfdv1uZXKvWnB8rY2
qkyskdIXY8eOtRy4D6M2ONK2y2N37cW+sm1qATFuseJWPbz2bLzL+p9RlOi6zH0SrW9p82krQ4Fv
BatDMyku7lR3UXvkD5kvpQhkxSF6/ETDF2s63zx6KdBprH+DHm7Lvn6Tx+EpgY4ZLIKj24M0RtjE
pG3cRq9R+ngqkothJ/uGT1oNFQ/WxdHaYddrz0JeDBJRGWHTqKPtLwvkvjtiNma4exVR9YFRAwEA
hIBHDds2VXdhRlDyaCAqWdbSXcYvw9CAiwbggaj2ycUCT23Z/KeBpHLLUe1lp8jL4jaTTiRn+VSl
OcksMVNYOfagK+YYzV4oerrWGtbeZh78lYYwLWtxd4I8DXP3lrQVb3sXyTTcGWSs6L2qniNJMd8e
uX2ya7Lfu9FoDDtbATiIbLAE3Ua3KWZkoligsKRIy61ZT0g7M+Ujaytn7UgqQA/fwD3fLa72Obo2
kEAGxgm79cK0/dT7c2tilljwg01z8Vt2mJ2XLmRGHVD2K827ReVwWwyMX1P/HWvqU9soe/HIgqiL
c012kVmJJKjGSwtwDKe2KtkmAgQTEMeWwrWIZWY2DK8xfyg3IuconXfh9BthUbZjFrg4vNgjY1Ip
lvpUtojU8NePbJ70zxp4+yblFD62xxoqRJPvuWJ8EH0kVcOuyNO7FuHHLYvlxaJL4ApqGjB69jqY
13iecoRPCq6Gbce71g4vgrgeZPtJ/L30OzWRtrK6Fdawg13xa4Ke6ry4xuRlMTetSNXIFmREp5kB
dd+i/4uyU1G4EfJsVKHJgrphOSekmm+Ys8kPQPobS9a5WFdHm0In7bZx132rfe3zLrljFx8GNict
kxwD9tHKoa6b0FdBhuL5qi8MZuZVgLq6XbisjlXkjNikY0nF+Fc8HrjEo7bM18wnBDtNeJ10ShlF
49eP8QLUran/YfkdJk8kuNnopzLByPlZsR406v+oO6/myI0s33+VDb1DCyRcYmNnHsrTFD3Z5gVB
stnw3uPT3x8o7V02xKq60tuN0cxEi02YRJ7Mk+f8zQYQkczoUqNnlNnXKhi+kPOFFiHmbME/dsu+
J5WA8gZ/0Q/i1Zim7ONjdWV3ysSJvKW6k4UPRbGBeAsX/yagGTpwensEL4p+gMpb956AN0aRYeMl
D7JZu8OdhiaLckZYQmnNnU2pfO9qgDXhpjGXffkd3LeHv696V7nnfvcwaGetu4s8ZdUHN254GYM9
dVa9uI+LzdD9SJO1kz4HdOWt74FJc+qpposafPNZK7onNV7bmFB1e0GBU0mRp0k5z44V5/vkpk+o
mEttAnkGl55NYnMdsWg47a1lrtL+SrRPqXEvW+ta8czvOXtnLK/IgVdqe0VrslKbx8I/b5wvOsly
Th08bt1sXTmWey2bbikqPloAx6MRkMA4rGD5Z3SNfe0UiB1WoOyz2DYu9IlUWxQSyU/a4ssSjfNE
q8hEqytMG1f9GLJEjQk1xkS/rkvQWHo27BpF0onKqnPXzlgWmkFsWwBYywLalZZ8KdTXOBy2BVyS
IceltxxHBHDagL9kXgy6e6aF5VmZF7tYgS0VK1sNEoBEESa59Cc/mH7tjz98uZRueK1mtUOJ2TrP
NZWThwZ6mqrmmUPTv6Ksl3ff/Agj+1SQwFj0NrSt7tj3bUYWDxz4ojRJiAboeEXyHd25S1/lEJ3B
CQ7929ZOWX6HrUQjp0+2tXWti2uhn0lKQnQgVfsy5qheDXtpaguzKMpzw/bdVeibX+lNIDhCm7v0
kZCisejzxVvNePWE3IVwvKKRjnYEAp8uh9/qhLi+sAScLASy1PAlkaBefVozgzC2lG9zg6RWjuel
Hu0TvboPDCC/SvyoeMGFCzbDVLwrswr0hcwhodXhzpH+TowQIlBY67NhhdRGSwMwvUX7Z6GXT3kI
n6FbZ8ql2yAZPSTmMp/oRxFd4tuGqdqyuOoTU9mKWOiKwgLdbek671nfUd2mNZ8tXE6LvughCwRV
smgK9atSuN+UkLYwnSnLQu3AN39YbNZlvNYA5jvVWR9srIB0xR9+emF4kTog2CEqkEGZGUW6YUJ2
ptvGadY2MDZfS9eudet7wb4Gm2OqVCmm/DyGgZtazrlWIur0IGxk5GywQBGFXTprdbEK4cTjYW7C
LqyUJ0+UK4fOQB37ADZuPZ4IWHdoFqtxpLebDj8KBxiIQksG0Zd2gBAlk0ubqmEJwLQJgBSBClzo
9AOTOF1XRnHnZum1Ffs32D+f9Ym8yZt92CGq1DRvAGlCZSeVay8yV0hufNVc/8JNLHUZ+ZATyPJp
QzoLalj7yAXjFPYAio/LUWmT1tVnYlQzwbvIS8fEdjroNgt1+TJ+gfC8mCQTb7sFnMETkokH5Kjn
HsF5FLamKkwQfMbGVx7y+q52n068wPSgn7yAOdNRLwxfHWJdaBeq2uUTQFSU+0H4IVBEk+6QNuTF
tybqoMaapUlG79NzfWs8SVvJGH3QByee44Cq19xNOKpFWrYO6Jyxv5rkc2P47LQAN+MKfBc8JbEu
4iV+6fQ8XWUfUm9QT9zaPjQEMwnkstat0bLZGXoDYV20uyzPVSHk9WtqeaCl7yPsOendQK9Nmvii
1c867cxqnvsaoYOKCaYU29qBqwgbJKi/FrFYh4rzg12s8nfEL4W5lNG0FgW1B6O6FeawFAOZmsNL
FXf+8CVlGa6e9ULbBeA/VAeSeehZz373yB4K+QlK5lLCMHPzHuuJZheaynlsVMDrUX4fGzJaiPNM
bB0ufrKwvAccSewShbOCyH5WW2iV6a5oyp0W1eepr4BFMjBpJSv8EXM+EMW54N/1Mcw7nS7u8U+q
T+P32dSaPvUHdeQ2j+IsSdURI0b/8nqVnLs32TZYvKyeql1UL9Qt0BJ18UVZQq0DK7s47xb3zUou
KE4vve1Pb/kKB2mvgoVeH38iYR2aZTNxVV8qolJsT7/0RLtDo0oF46EUX5GY/1raYpE7OuVJb03p
bmqCgWoFNRqEHQwlnbwc+Ua6F3FNdnbe0K5qST13BYL3L2H1JSA3T1A0NW8K/8bR4p0N0rvxUF0f
6DJ1CJiqprgC5nrTvar5Y2xe9D/NYbqBjWDXuEvSu1B/UlBJzNegWbxr1Ue1aoIHXIlOQnD60oLP
S61z+K5GswbueIvj9Nq+pyo9+o+DuVGRx4iQC90rJDTNyiYFpAPNlDr3vtUaiHDgQJAT16MB53qT
dpS8twgU3k10Suq0PzsbrAvUwyXOLupef0WCLr/pmmeddZm9i8mRRBcxDZ8xv6bn2ufw/JVzAJml
7BcdImbtwkULKqX+QVWpe7K/0L419UudbYx8sWl3tC4gvFXdmYVuUBNdTSpdif7QI6YLjEz8qHKC
gDOwC5wA37ERvET3Yhrgkf1mEyTjFRRFdhjfFwtVtZjo3k1cenCCjKdYGDdBuPcyMDHOdQL8EEGC
kBJRta6Hs0oY4Djvpbhq3DfMbOr+Wu+LtVm8jOkFlCI61U8lHCwLY4+cAEVICVaMRiVL3EeElFbc
l0bQoLwt70Xe3pRN+iIie+Vw5tHY8pOUMx46dWhDDBeR6Sw5SQTlukcpgMMmGdxChi/CxRG9zzc+
PVa8rnNvl7jPlXqVkkhzbM8NiXYt0lcCNRNgTbsoZtXRr9jDRqrzOtDblKeKui3oUmB5Y4iOSU6S
qGOSpn8ZIAPA2Aqrx3I4b9ILAcKgBOsMhq4IoX0HIeun2fyUiLa5KnRHo1tiSW2NVAMwyoPDYPc3
jbFPkltUYDTvzLGQyAnWpIodju4VPLQIZpz3rRLBV+n7T1G6S9Wlkz9G9W2eipXWencKeV/StlCe
sQJL5dJvYJZUur/ts2gB+DkHAtkk2f3xeLYPbIzmTIqXKdJKZ8iBdKLGAk0F5UalfQ4q8lzQii1A
VouOn0/CNsbarWJcJxqsb5Qj6YN3frkA5NLrMA8jah6xu+8K+6digG9O6omM8ZxT4lI5VpLHt8it
+7cAjxFIuPABNMOtiBoAjFa5BMdZ2GQzhEd0plUV7Zp9p5zX8V6R521y7lga8IqHmI5bDDgmrm7z
YTeE1U1LQSh2KNXnTb2NKdwuTN+/NQPnNXPNZSZ/VO6FC9xHBd6f1PfUhNd53d9Gffeiu+3O6Iel
Dn++j5ELFt6VMX7v0zO93tvjeCq/ObA3qjONz9TqXLMxtGQ/3Ib0pZBkfEvyjSCfmwAWS4rg1BCO
f80DH1OdfUzb9fMmVbhVFvramUxLyPHoCfVTU/Gf3WGWrA1pLnO/g79hTuak42tFR78+sdsdENJW
Z5LEqVJ2IflQtA/FCoSiCmYQss9USF4VMKBOCbAbn+6p9tz2xojzIZX2GO0zGDWKuNbjs+Nj8/nO
iPjzr5s1ib9RWkET0QVOqHJW+sI2nM3I8d5MxdPxexz4wub0Uh8Sgga11BinJXHpRkRWoLDjssiD
uMkQ4Tt+C/n5AElzPmFVB1R2rPSXtF9gASGwVyK8BuQUGVjTCxcSJGjixRtQJPsUbEQeXSrBq4vq
uOKOwLT6VdJejSCAlbeooL4cRGdeRVOnVDYyPfcjlmSNqm8Otryimpe0KzNxVjqg2GBC8Rfp1qW1
x/kK/byoknd+/Kpp937YrqiHLdmAS21fIQOmVxRBo+Bbk15lQLPRyXBi9hfte4n/ZdNvHOUp91+1
SL0tR1p6YbJqfbB3GirLTkgpXmnwqHsqjNsWJ+06uQJI0ecYHPTf8wBJcrwOGtoig3Ou8BUpXmLS
k77246Moacf4yVXZQ07hhEcHNKQZFcS5fSKOtQNrhjkLM7XmoG1aFa2DeusrCNfBtf2qGN6j4UFQ
OXcTdGQhubf/LPLMeeSlaTcAmVAvai+37u0yqq7pP0ETSLLMQV09TZEGie0VoKoIWTRpmzfH59oh
4W1jdnZSlVHV83TQL5SqpHc3uukmGqx7pSHHScGCpTZrAPVzU62pfL0lhbpulQoUZ8dhuaG2mVEy
c9RAnpj8B/zppTEL4s5PqtbzC/3C7yoF7mVcuzoa8qnyLchUNJwCen0/OgE+22htGjuWUEE3mAhf
GnWMpIdt9K9lFE9wmTg/s9BZRxUzrdKLuoMIV0SivO1tshyRudVD51ghmNdOo2s+BR3k/wAIXjyi
6NLIyj2xaOvTd/zkGGHMjmeNJsJQRW90bzUWGnw2dZZskyGlCDlq2bg2TTdaM2r+XQHRaspsPwQo
9wzXnh5MPRiwGlXwljbJfR4PWwMYcgLgzcdhUuIT6IElLctm15W0aGCfdmVOQR7BRjtYJ551ypL+
0DvMjkK94biqiJwMwaeO1hQ4mqX67D6jMh1S+kf6ROow/uTO1CkWrYBC5uCz38z7/DZon7tHhfMG
PbyX7oqwQqRnO14oQJR4ffDkvBBWI4jjvFglUhs7O3ymRomorFg4X+qfUXwJqJx5+BZjyE4xhX3j
S4l1h7FWXslPFVAWaEe+ASNSqnV0XiEcAKMZD7otyPE6RRhtUXyHyFyqi+QGbUpprKPqFnGS0ffA
BV5QQk9P+Ae8K+t/9q1n5zMxaEU2IuZ0iUj7Rt9F57QlLkFSLnzco5XFg8T6y1ha53ioLv2NAwhy
oeA9lm8sbJgszo7Ryl2Qve6oq02/tUqWkB5XyKMsDSozz/oaUts2XsIuvIbGcBVvSagvUTsGHLul
GXgWb5tdc+Gv5QYq1T+dwbN9z5KeW1oZb4WL8hLK/VZs1VuoqOg94/bdrZBNWltnDPOiXxgrtEqX
b98evVW0odp5Acu7OCWEf+BEbsw2x2Bsop5VX2DYRtdxBXtkOQ2RtSCZW0LsXwQb//HE4jilbZ99
yunff9jsS5aHKJru5e6V+/QMW4Kb4RWB7WW6/od1MWO20Tg1QJBSDPal6wASL6IrKUDjpT1p1/GX
+DwpksZsa6nVtpB91NmXmjJRHxucboowQx9d2ThxcdLy5cDqoM/2kVR3SuTWRwoldDvzrlkZwyNn
CWAH9qazcC2oLuT4EjunkqQDuao+2yaarGsLNwb03jZIyKNMqRTnCYVXROUQT+lWucBxJD0xEQ4k
fe/VoQ/zQKezasQxHTM2ju2oPuvwvK1TQ3cg29Nn66pnWPkQGTpmOZ592xZQ8hBHPP7tD5Wv9Nla
ZNuJzCy/oSJZZigWRSUd9ch3rHoJfwKZ694azbVqQ5fNQddcaz2d3sBEZArxfn+dmD45J36uiFzr
aAY0RU11JHO8RT+qDfhggSjIABgSrxqk0VUluLAqoZ7F0lcvGhQjVn0NfaWFyY3YVCq/GQKNRpx2
XUBmwejYlzLR0Pd0XSSwYtX50SAyu4zzHuh+bGToFiBFd3wkDhS57bnnpK4RZjIMon3nheizWWk7
XGtK2tBQZdfXfLaQEVvKHSK24Zr2Rrd2xlTfKVr/EtVS2Wle253wfzgQkfpsKaUTW45gHfGcqJDj
Qeeb9WyJosFCmCf2oANvK/X5IlmaFiQfbuHrUbAtQestUj7murUBv5mara673q72os3d68Avm/M4
geWGyGsIvSofVyGL7Im84VDszNZQf0hofdtWzxwqqBgE5xJQ1RAUJzL1Q4M5Wz8VS7dCtfeGS6XY
46gg+o10UI858akOPfxs8axa18h6HXOAIC6pWqMHW+1boa6PT8oDzy5ma6ZaB0lcgIu9tCQqMobq
fK+QSBVV9xK34amJf2BhFrOFErqpP4pR5SYDJZgmBDWeZO15mBhkl/6FdMbrUR/sBarnK2EASDn+
bgdWNTHLeAvUZYrCFT3st8cm+ZaFJ5ymp8f+ZEt+PzZ8WIqlTfe1LLiup51H6SSjBypbg2Xpr61x
9c+efbZqWkHdFGk2PbtCb1pugig9sRkfGpVZ6JdoUdhlwpUnnbQ6uu/UE25Sh6bSLOAb/EMTl8Xq
Emw/EsODtgJZjGre8QE5EAZiFsNl1XmeIri6afsL7C5cgTD89vi1D33QWQADyum9cHpyB46nClNo
YqWndxLNDPXE4x8anFkU+4nrjW0MlMUQEL112sYWUguv1DyPv8KBXOTdXOjDnAzSbvSQvM32FtBw
Tx3dhWbb4sxokdPDC08yUVl7nZhueibQ/Tx+1wOJ8Lu94Ye7+jFAq9FIs30TNC9ZpJtU8vVkG8XI
KWRRA8cBDd3jtzrkdqnNotlqmowtcQz38G6iK/VxTKAiL5Xb/lFfDCcmwoGv9F6h+PA+eRDIHNfR
cF/rGQeGtAjQjC3kS2iD/cxhy59y3D0w47RZeMd94Gi6WyG7CogdXk0cPNn9hTJAQqu+tn5+oqZz
INa1WawXiRIbBvjOfavK4LHgw1+4Tubujn+SAyH5vvN/GC3fCz3Hy8twb3ibNngI22v1lJH8oUvP
op3Oca24RhzuFTQ5E7tHH3ddlCd21EOxMgv3zia71FpGJXlCFT2FQYWymYaE4HJEmPXUOnvoLrOI
N/WwBY45jT1tuXZb/qBnE+LO4C56RDXejn+CQ1GhzvbvQWp1O8TcJUTTqlyFLRYIqCUsYL41yrkL
VaA4sYIdeB91msofvnYU1BE2xNwJIC9IeIqnsGVltUbjvcSS4cQLHfjw6izKHVxm3ShDx3FwvrTx
tziukLt4PT5Yh649Rf2HN6gT03H7IEmQKrhpYbeig+3XwYnhORDR6nTTDxeHcFXpAhj53tgjyt5A
KKPqfaMWayM7sQIeCGZ1FsxG3bRtm3KHpn5Cdww+3olH//zC9tx/3jFdv0mtPN5X/bViXOIic+LC
B0rYtjMblMofYlnESbzPIeo7tO3AXkNPXjSv7tcKliLWT6dACYdeYjY6+ag1vkyKeB8C6y3sp7o6
MWs+3xNQhPj1wzZaOo6+5UR7OSpbAxGOkrJzgIy6fWod/XwXtR0xu0NslEqecodGQZO9Rt3ixlV+
1iV6lnq4Oj73D73FbM0bvIAKsxkwPBBcG+M+cmlr05HPxlPG14c+wGy9i6xssLTep1srkqe4qsFo
Kt+OP/yBAZo7xfuhrjjlGMX78bV90F7yn+5XCIfHr33gsefe8LVetzEs2nhfD5aJypb4UhrKiXPn
oeeeLWY1IhyeHTDozU9jjenek7Xxb48/9qFLz9ayXgXoVYQekYVpAP0pIGXCQAtkDC1MtdCXdWPn
H47QLIjtPLEar2aE4DdgidRAyT/+Dp8vmfZ77/HjklngdoXOGDOmBvRxkW7UGye9yJ9P9ZIPXX8W
uU5Tman0GH5cE7UHfL4mG+MSTucCtMHxV3jPpP56FrTlLHbbPAt89f0Tm4vkqnrOb5Q7egv6d33p
fZO7pbsGhHn8Xp9vwLachXCt/M9sUplNypWFZGO+Rx5ue/zyhwJhFr8GOjieBoGNvo9An+Elrp6O
X/hAJcie+7q7TpVZcZXFe1MssisgyCDB8SRoAPb+HB4MoMfmyv3inTidHximube7kuEzGAy8R0TZ
/6l8UO7gitKs2Wb/8AazqO5l2dHk5wZokYwo91xZ38QDCnnjs3livTs4YrPojgpFk3rILbzn/jV9
jX4aP6tb5Q58c61t5Wu9107daZqnn8zfd0jQhxgEyGMLmq/xvvsZjUugfBCLUTO7EwZG4cvy3H9r
dsenwYH5ZU///sOdQkW1VOmq0V5JQd7Za0dXTgTGoSC0Z4Hud64Y4gnN4Sso4GQeTm2VyUEUZTl6
spUKdzvAmyJNqDR3cOdWSm3na2lVzVVdZcY2i+vsnH3eXR9/1QMLjz1bFAyrymo916J9gY8soLuv
3qM5IeIW8AyO3+FA3m+/g3A/jGaldjDXMTPcp69wvYFQxnIRfxGv9q37lVPM8bsc+mSzJcEpMlvF
UiHe2z6VYcrmWVmeeIEDl557gvu52oF55/lVqvqJjaVp6J546mlf+mRKz3281UQfSvg/LPsj0yxV
YPbrbd6jFNkVq+MDc+gWsyUgU23kIcY22reoecGTR9LDooVw6uh46PKz8E+adMBPl7Q5SejHXQzB
tvNP1IkO5A1zQ+1E1WssJbl0d4tkN4Y65ap/Tu6PD8uhfN+axXhfBKYiOyBBeDb2D+0N2JzJDfq6
/l5dt9+rlxO3mebfZ194Fu9xESB/EfES+LvhHTNM3hELZMy0bUD3DdNm/cQsPRDIlvh1zeoD13ED
wLh7UChocJk1YoPbzl0Er/mp/PNQJFuzbX0yrzZQuyO59bG3xXAFxg+ZytouN4A/0PiXp/qVh2Ju
Fs5Fk1TYLjNsBWaErrJrGvPEOB2YsHP2Q6hq/egW9ChaBSk3bJWVbxlCWcc/94HHnlMa9E5pRgcG
9GWN8ptKAudqd+9X/s/X/r+8t+zmjylT/fu/+fNrhqxa4Pn17I//fsgS/vnv6Xf+79/59Tf+vQ9e
y6zKftbzv/XLL3HhP2+8eq6ff/kD7NmgHm6bt3K4e6uauH6/AY84/c3/1x/+x9v7VR6G/O1fv71m
TQo97e7NC7L0tz9/dPbjX7+JqT7znx+v/+cPr54Tfu/+bXj13+L4rfrLL709V/W/fjOt34WjS7jP
lrAMdBb4Gt3b9BODn0BfkY6qo4sjjKkSn2Zl7f/rN0X/3dZUy1FVoZmaIZ2pNVJlzfvPNJXfM2wN
fp1uIIKra7/9z+P98oX+94v9B2iimyxI64rn+SX06epKU9U0qUEo4Vxjzyu1KFagluUId9HEhrIZ
8FtfeG6H1t+ARtCHkfnz1h9v9eu8+/NWtmVyMOcfa15ETY0uSQwh3YV0J0sUBa+o3I7tvzW7p7vY
umrrjsqo2ST38+DMiqENihjvMIldklWCH0oVT/6t5P79Lqbk4o5jmoKvMCXNH9KGhgwMJS4ULBkn
uBIu7IyqroLN8RF7r/v/78L8fhvbsmypmo5hm9o7Bu3DbQxYVt0YgwuTNhy1BqF2HF9hZDYh4iwC
6ePRPs9xCsyG+NLE3WASKjLRz8hg3yLduhizG5Fj2Dr6J3amX7e96cEwcXLQwzE0IS17vqDXfmUm
UgW0FqKDC68zuc88VnVoh92KmUQdGCH1E192lpb+cVPh2I7moAppiTleF2JgV5PegDhNQ3nWZ0p2
VqsCp3r631tTJvmqswqE9+DJnrUOGr1I012lPnYceExCCbZC7FlN71SlbAZvfH8u09Zt0xG6aRKv
sylXdmJw6goP9ThVoNRnuCUbpSZQ/UnGAT6mQCRG7yv92snz4KYK9TOrhz45Bk72RYYKDpKG3l3K
0C23ow2EzJU2wW1XnsQvQZYBZTjX+taMCM5KQ4x3rWh7LCcna+tQCQyYMJSK0FALIBccn4B/DVnH
JIhYnVRD6NocRd5Zdo0UMsyfwR57TGBwcyk8o1sdv8uUhv06y7mLFMJSVc3SzXnPbYx0SkYB3giK
Cek9zhBUG70ET70M61QRhaeQwH9d8xx0lCdkreQ/zrwFahhBkdu9SVT5iB4ge6Ms1GSwVsPQ/T1c
/B9TQ+qqDnTBkCwYswyrjIdIzQvNX2K2CMFa1RBvCUW6Pj6A7+iC2QhaBkAYS9gqn2qO/NWavPZD
lRGEWIrOUIcHpi3rEiVGCbAut9WNqgX6pkHJbRnH0r52Q01sRousqNuj0Y04aIdvCgKpEHH9oU5u
/MShOlsp5g7xw+9SRxM985RmY2joLAiJyayZIkkfh3q7aD10OEUsrTPpuPGJNfDXlPF9BC1r2pp0
9IlU3u3XlVZto6xv/N7H3F4H0GTLCgm5KMb0NUYdHL2BFRQZ4CJV8Le3K8eyHP5rqroujDmWS5S6
VXmFDettwG3CKUDjKg2Mm+Of7pOFdOJyCvSuTUvT53A0oDtxiUsN7HApgNJK/KbHHhu7tHUm0yDU
jF0WtRM3/WxMbRIPVSXaNHXeAs7NCUkYK/4y8eEljX0I6cCR0X3cimJXBlrwpdGHeCPtNDg7/rrT
15pNVPZm0gxO2oTDPAeNiJGxG4JgOTQ4DygplcTKLpoT8fBJgDtsjfJ9oyCRIrP6uDvL2qAUjdj6
MjZVm/VX9Du7UFHqChXvxPScge1ZtUjAmCKOrRvMEWlPi9uHLVoMPklIjQ1BVGpwHeKVj0GEpcCC
70qUMa2suvds6GeKZO0fyvTBTzAzsC0ptmmAjG5e6M1ZL2IHglUa/s3h/uPhqAibOn1wVodfH85x
jULqGg83NqZ/241jsocmop6IFDH/qvPbTPPtwxhkloW2V60CafadYa0Njbb029xcKliKvUQqssyV
6VaXaga1vsDTAScQM1kFjd/cBv1grurSfe0nKZ4gMPSzEtmdjTIk3xh8ubaxNbptnRDjCFgna72L
sF8JwVZpjfN2fHL+ZSMnryYXFtNaTehbc2AhCzO6p8XER0VmXDpB8aO3YueJwA0wSbabF5jTWLKh
7oc0Q2aH8DIrbcAkcCDXyis//pbXioe2PsGLFZ6GWVYUJSi8Fpmu3cdphZzbkJkQdpAoR6EgCjps
KzSDBvfCa4MYlTeDs6rZeK2HNhnadcdfcFYHnSarIRyhorpi4TvuzKuUxegi01nBoiigMcCPyLpv
vFa87gPfOSfryFacZdol6rjlmpNRR6UUp2oHA3o3wby4QvLj+BPNt/7pJCMQC3AMFnkyqNn+WInC
cyIDyJors/4pNvWfSmEiclqM3toy4uHE7WYFlfcBQLBXdwzcK3SLXfnXmZrUkVGlBDO2aD3VPu0y
slClb3okbpomKXHoxeRprFxcMiWmslkEBEB3+hNhKX4tuEyPQUiw6JPDsvqq87gcZFROpwo08gR8
3E6NvIe6AclLyt1cNj6qNr02mntBtf9CGTGW7pwCK9gkk9gtwqz38hCpOoHgTp4n0XlQguaNFcN5
aKO2WNUmpnDCOQFHmy+qHEVVRzcEIWIR8HNGnoY+Rz4CJ6HpM1iTPvZr7KFHEKUoPh6fFJ/eyTQQ
6VXRZTPnpMK6KPKyLSYVbyX9mSQJikFmCundR9z4+J3muy/vZE3HRcF2YdiGmJ7kw8I15MagmaWD
uEqhmbvvZ71joeWadB1yPhjyHr/ZX+Y6SDHHggWlT5m0Om/ia6OPmH6XkclUI4wnH0dKYBqIpawl
CrgnbvbXN5OcyzTT4GyvWZqYBZaTF72MOhYr1xoR85NtVq61DKaRii/ObSTjEXtr9ByPv+Ks+MbE
JqAJac7ENpqB4OF+HdDewHekRsoIjecKt9PmoU36fdbiq4goWxh055Ft4A3VXZLXnQiqv8wawkno
bHK8MVNnrkqComAzON2Iw9q7oI6LWn5YIexqW92pL/mXweVWeA+YpsEtKZ/MSo2hm9c4sZHFxNh3
4EiMfovf59TI80pZRaGJ/EBe1JsTYztlLR9zJyFsgxBkgAXJDR41v45tK8rEdBtknQMOZduiicNV
qGEejrojqty4Z42ps7RDPb/Ovdq4LEq3vta8xsHON3o88SzTG/7lWYTF21MzsvV54EjUQceeb7js
6x7RUbvqcUgvGnVhNV2+jF073+Zuq14jLQzdz1+q4Fdr9ZSUx1/3M6mbDsuRoek203xehVc7A4mU
OIEqRnZ9w1KS7y2BKXnJcWulO2ijmqW79csuQL6317C6R16w7pABo3pgvvaJvn0fmD8LkTd/DMGs
5Dn74+Hy5i8l0ev8Lb2vy7e3ev+c/39QCNVMouBwIXT/HAcfS6Dvf/2PEqjxO8Fiqw41UFM3HE0w
mf4ogSqa+J2jnZAqZU6d5WpCjfxZAxXm7yySKpkjJyPS9KlN/2cJlAqohoQ3xTcWHP4HjNjfqIDK
GbtPqtLiychpLJ3/J4+fBZbUlNprImztKHWYuywMkRmOexXtHL3jyRCyU0qJhGfiIDCKT5PWYXcK
Jv7CcZQGbzaryNs7vc+FvU/C2sYnFtjlZGcgkJiwO7ddO4mdN0iLi6hCQ7bBYg/vAziNhvRyHxK1
6rub3IzT5smOlArxQX3stB3OehnuYhx/na+FHWS4h7kDCOV7yW4V/ZBdb+Eyqfc2ymZqmiTVj9CP
gmsEwmCN+hnavWAl0S5Ftg0bvLNwMDrj2g9KRDT8CEeJBoM5+xbhacBkfTqynlSmr7kPqt05GG1n
HGSCQXmoOwQgHOoEtot3XhnduoZySbUJfUldiUNcZEyjltukqTX8K1j/82ovM0c+qWr5HalatDt6
w8VEWFiot40qzkCB/8Uoaucc24AKB2mcRRjSEOOWLdLw4JLHXG+1NaAfvBF9S5dPRla5NCx0pTc2
cZ7X3kXnRMW5LQO/ejKUUBm3VuVPgjh92z1BjhrROeMNkHeJeixJMsV2Lxtp25gGRUp/FmcK1sCp
lidosQCqgAlfag9VZVD1wMWJDUw2rnTPxkxBScnFqulOT4wMA6UAMe1wqWV+/xLKHj0k/BB6ddsP
hu7djAig0XrynOpFVMi862442regrX1sa70SNZokGsQ3UTTDM2z88rYL0CcPY3+ProW1qiIdwZ0A
eOido7SPY1qLsyHQ9Le40vyRfXPs0BLJewsJ+7QXuvFq9GCpl4ZfReHWNIa+wdOgx9dFqR1cLy2J
UJQ6VCDJ/biMv4dBXwxbt9DcehXWZY4xI/4v7p2fhPK6rzU11FfIpkT2W9Bg/vCGMbrV30dDXXRn
Q1k55VXcJyr28m2ORhecYfSbknqrj7ZeoKNaaZTydpWdhTD/bRFG6lmu9oF4tWzXLrylMqhduFab
OvG/5LU52t9sdVCDm6RkX3sLODODtpW6j1JUW7YZYN+KglKWWYu6kMA/BT4D+2YULi09tSQo10Mq
nHCNBW+VvThu13hnZtsX9n3e12XwqHsV/f1FEAYxME85ZlW3qEVRVzeV6gTxVS2RZihWvqpidOFq
JXr0ti7hPJtBozmtttTt0JMKinR6AgfAyrrsIgotuY3MttyKrkqvZIGOdVHpe99sKfBFTTjc16Nn
f8+jAnWBqcrm2Wb7PUpRw3McO3pJOhxOgwITrWlDRK5nHHENr/CQGSM/3SkcGLeh46Yx8uq2hWRC
1GQpxg65QFi6Hy9EK/HVtYc0epC2ALMWDg3TN2qap6FpStSEjXBn1aN1noZk5q7T/QxDw7vqc/ch
LjUMVqLRO1djm3HPMI3kmR00O9uOeCg5FF8nea8/yFhgNhekpbFVWQnPO2lCnGncsNsMyv9h7zy2
68a1NPwuPWctEiQYpicfJSvasiZYkgMjmAmGp+/v2FW3Ldltr5rfSQ1ctiiSILD3v/9g5l3sTP6D
LdvlBl+97qyw+v6inVGAz13r4yRGuDN4XTKtw8g1Hzzt1WZrGqJI6SbZTAlWbu19I8YU6yc3PLfD
gegG08wlGdGhOSz1XH0UJCitjQDgDg3CxCAJCQv1UoEa3VXhxulnEq1r/LiYAVhHUaTW5WC6a6dP
eF5DZ+/ikpzepVlwM1T0eauphXIthDfdBxKrnQgX93MSf6NtMeYjXhdIVnwzX86TNb1IY40HKZv2
tu+m9GDhirD2PMfG0AddmvByRc1hOedeGvZYz49wU2byImFNBRtlo3wPpkEdU93c5UGrdr6fkXIX
Ep+ySEyT4mLIrlJ98jS12vY2ter0aFJ//qhbWxFM5lrWfZPUL0LieZtO4/BI5OJw0/TYAgwxRolO
Az4XJCPmkF5ybpcZUhtt42mM9ypGCcUzKhl8Nxz+8mnJO5cw6PkrIVxnrDDSzTQNYqdrJJoeApOt
FbnRIREE9gxTIC4nLNkeRSb8cy80Na7QaX3WK6zmRIt1s4/oniNLbitspw5eF3WbRuJiOvixezYZ
qXC9StTetaQ4THXVPiNHo/no3Obo15kiolMPh2jpXwJe4VamQtw2oyGgsSAsL87Kg+PjYeEtKvxY
2H5NyI5GeOzlVqrXnuqrNQMiG6vyIrsfKQ0/UojjGQ5BOsYXnzzIKujdayeZKyTS5AEcw9jFl3mO
x/K9V8ibyiJlq7VscWvRqm2sLml2vl3PG4YoBaaf9p1pZXBwdeY/tRT/mHCP7i61u3w95wiARq90
P0RzQCa4wKCZVAaYQwNbS+q2gp93GlGtfTKwkbHPnlnXKnPvCD/GKTqc5pb/2sNtz5e7TUZoQGxd
IS5keHs1ihR3q6otvC7Dgfgqm7ALIhf6q8Q5neKeLZkEWgSuEBSzuMFNE/vNhcin7CuiJbe7GOwk
SyWBcTgrp0wagmpI+R4xoq2dpIdwkWSFCxiIRDH148chjFsnvk7bcWCS1HSgHphTx1bWMJSNZJpj
IUQkY6uKhTilJAjUgENomCWufXrhbWLfMb8WnT0dx8FHImFyOyEexrfI7vGY4Kln4Q8MQAjWk/1T
3zmkZS4NpjFNGZH3iZ1DrvunotEzpPYxO2SdTK/DjnbBh5F1j2V4QSZruriMLxgP5NvIYNiMv0qm
10Ooq1siP/DCzZVzmaGD3rboCX3Cf6cZ489uOeTLUGxGFyxtDE7xDAEpk57pBjrw0G2PTjqYo2XN
6cWSSP2+HCZoNvjOVETJKwor/CbJqkuRPquyxCGnKR5KifFE6lkBJtiEKLUyR1kTxNlz3Wj3wRrq
0dr2PTaRbT72Z8W45NG6rpeQTz+aP3QIkg8aTGk3jYv8ks0YgfkitfaMcZ9HVVPFxYFzE0KkPgu1
398GA+7oK34gyyYbcH2OiC4kfgVgnvKM+W+X+3d1R8KPzDITob+xwk9iSunFcEh5aKR+VGru70rq
Ggw0kyy46YRxd81p07It0ZCqOzCxKfpR9ud11bV4F8etwKlZ6VOaUFFm+8Ut3cuhWZKnaYruHJ1g
dkr1u0OLHq2cOcmum8waSds2HSl5WtUoZdySrCO/9fXTZDx9mWa+OCyVrC/dOUbBQPrTviAwk1xc
I8QqaMPhPkzRFadA5evEWoRcOZY0xzAbKkJRG58DY3mxokQSuA1yKUuvfOyDGacKZeARuAyJ5GoR
1UT4dOrI+cAwPsS2nDnAjU/U0+PgNmZZdU49MIGLCWcaw8b7RPxh98DJaIiPmRZIhjMugEmZsIdj
uHjM/My5T+ZQXEprjN/rSmUveTvHp8AnTIKNsJtDgPsrR7nGhbqcLXE5x0V3yczZviS6Tp3l/Iho
7Vm1fbHoxb8vnb45J0OU8JKoyz1v4yzUMSSTJA8MvuNLr0unZbe4Vn9nnFHse2xOMe5apilcU2uo
7in24TdsclF545dJl+Etv+mH1lIVuWJqzN11W6eOeAkbgk0v24YcpHezQlaNvSL92LtscEyIq6Mf
YjoGN2Uc7h2sputLy6oUmWNuSCx1Eg9dyY5GB4NTbVHh+HoW6YbzfGgnS146xl66bawxT1hrRP7O
mRePQbkLTIQzqxFhHh9CaQpS1clWsZwCamWXqkPr6GPokvRs6AuAZ5oP3Fe9jUfT8WvzRSUWByBO
bk191O7YEJ9tzefjIF9ylU+X8yKjm67xsnN9ykXUOnJW/cjQ1h9ksNLYBa0LhwSj3rFi4tKz80TO
zFqSoj70SaqPfhD7Ryn1R5MXN4MAKi08Dv1gNh+VoEKv+aoxeMNx2pKjf7C47698oO4dts0TnkSj
+NgTufzgNFF+Fo2O2qdB41+ymSJytKRDCLhrp8+d3xTnkzLus117QX812tX0aer8YDmgUCF4Qw8T
lq1mph3cOIXfZldU8f7TaVa3nI3If0kUzbAxfuf0Q1Z80Ok8fYkJBsHTdbLD4qAdn5CnhJSOu7is
8dRszBg8DXGqy62LW6XaeTod7KPtFlOywY5SHscazPjcSita2EU7dbu1x5lAwCKHUExh51fNATiv
dnGXr1LCVeKEJRxoKrMjE+vcOxOTHLGyCudmevZiTwns9gf1KfVbLH+mpiLcqXM5evCgxqriAu5l
kDwHvfasS5WEgb6xAsOjC+O4xzh3cNnOpZ9MZ0sU4VXoO8Ssras6JSvOm2oio6Q7xMFNoZRT4OPf
1fGNI4tAXXqmreUGOX+yrPWSjnJrcVNfjC/L6iqk9WNumlvENA8GIP+QZwVWtYtl8batgEivpOLx
rRzhM9olqa6oDgtgN5FKTCQPVja8l2lXnCmG7Ft3HtQuzSJwrKRKd4xPvIMgguCTvfTJ02BIMQiW
wv9g9RlWiIuD2Zql6n1WEmdPcY48v4EKBaVST8XLbBR+byUm0gcEJuI8nMpo29j+Y9FKw8qHC3uW
tJ11Fo9iIuQJn4fcwtMzK/lncdlUL0aAha8KygJS7IzfrARjw62edYFBMaLegyXb/vNcLNWZPUr1
UoOgsAfK2o02uU1YwOzUuHCDrDTzuuyXZNnC//S2GbZhe8te5p0PDgIZIq4c8g9Ff6OVo85n/DL2
0LXE9WyXy3asFmcXxP37oDqlIBa4Sdoqb89NhZVTv5TiIpxzcRnD28hWHU4djxEhGNtF2P2LW1nD
eWG3yW4SUBF0HorPVt235wkYzW08C8eDtxSOOzUHGVYenDarQYJ0oncj55MpPf07H/xOap+Hgv0p
T1jdQFSms2Zsfj7iYbKhvSbdOHHRTqnciy76fs5IyVLyrpqBQnESz48l+QreRlPTHKVCwF8NwjnO
c4Mf5jApDMsqvNmEkx96bDwh3/ZEKJi0v7SLMFQHpZr6Y4aSEwTdMuUQvQOGLPuz3rKkpJCU8XRm
yVOoYd0kkdznTutF9MQYrvTf1RP/RRz/5xtQ+P8jjsf2uXmFOJ5wxb8Rx/AvHy4WtMoo8HymVsCK
3xFHN/wL5aHP1O0b3HgagP6NN7rBX254Gsv98z+j/+CNIvrLhijkh1AuPZgL6CL+Bd4IbeUVeM68
M/QlE0DXg6AQAoyegP4fpk4B+vcCcLzcNAnV7bptO/8QI5cnf7jsj4lKi4PC0S7axEHjUdBOLZFz
comzU40wGjy3p4RxfuA0Or+3HTvsN3AH2noPUu6KddxVtVzZXdfXV7q3o2wXlDOJwTZUrpgEjzTB
nayUOjjzF7xwSVXvWrd5Ghrtzfja12hMpZVFBcb4ueW99+aiw20XBRj52b2vnXCfFInz0Z404dS4
E9jLrqefgrjvj7jWDvHgjds2EqgEgLwmlxqzwLgfhDW7DtuO87lNG9TiUV8QbhLX7TA/JJq/tFLT
svgrO6IeWbVz0ceIW0b1NWOQ22wZ5g7V3thz7+NDZPK6uZRD4OV0xfXkPQjlEdYzU/UAIvmMti17
A+WV5CsZq2TG99gPPEb3pcxWwzAbb0PaRRzso3l27lO3sBSRQhBeNiLPhyuLNBGyvIccWMKd5iTk
d07md10xPxQk7firNi+z57CezDuH0nvelEPugv/0rYuPW2BVnz01WudFR1o1avXaJ6DYNewNimE4
oVxlZfSGAZ6paSJSh5SChnETDyPNIGc7S+XV+zjxFms7cqMPXuMUZNSZKkIFr0V3zLM877d1aA3x
10IHg7gHCQm7nduHdQi5plDTtgl10KwUwbu0Zk3AmRQQeYRpkuvlNEgezesU5ywnQkA4V/JIc2mv
xElmW3StDQodd3V2lH0ZP7TxZJ1SAh1Xb2NXYOhL0RyCd1gd8GEAkgVJMfQJbYwKQl5zZt5bN6tL
IOXK7ZOLZhblbZL1S7EOGld9mbB9fq9n1fbks1s9ms4oIo+t1RN5z7T6Vbf1JG5D/N/wY2zb1sEt
WlvvVRn67VlkBVOwp+piiYkBssVqNlOe7co85ALabccd3USybE6Ol3j3TlZjb1xVEzk1OBzYnDEG
YGWkv7ydITleAt7XzSaqYGqu3bj2OHXmrBpW5dhRZwqdFO+KZM78Fex88gdajZ+5g7iETsTLW5zu
pW76/RT0JJzFXmyTdoiWKiC5wGbWRNZbq4+1NvWzsANSKV0n7r+G6ZBRpcp8qqljOvXB7+cAcvTk
1g80pIB6StYO9l2mH68y5qdqVTsFCHo3e1RBZKLIm7RVOZBA0qMIrMMMC4GZKFF3pcWcwUhKTEiG
VYyrmnIn7GArU6Wnz93v7myraLPtqDiXcJBnke2M6Jd5nbnsHpfjMHaGmkKl+UbXlqQX9CvvIULk
RhRxqCA+0ys25Cp3riZqs7PCfDOAbH5Swk7iTdJSK66aiaimMh36l9zR0efaawK4rjZQUcNS6Hm6
uZ+uahgzxE2bRXwAXKUFiXNIVeuOlv2jnzaBXMUWSPaaVHD/urATU0HzVQExygs2BCtb1h0gZpHB
pMlqkJ5jyZ3Va6pqUp2kTpp0V1ij7e2yjN8AWUutCd9IejKIhjHK1imafRJIu9zGICiKYdZKkWBu
Pnt+q2nXCdUm4NILP3kFPOd1A9mSMG5lKEqiJh7jTVV3mgdPVPVA65PnV/idBbw3oiuoHkGtdnHi
ixe6cQK0yNtyH4PqxA8Kl0Gcz6Mk+mUpm+7WU4FlrQybzryS2ayrjavZCte1zdh9W6rQuS1E6m9S
3GJuO7sz0zomi6vdZ1NOrLAUgSpWlecsB3BaXAJmu2jg8sCEcdYSKCQ5dTvqUYq4wk+Ip+aSDO7C
TfVcRCak8HqsOfhVYKnh4q6bdDFbkSXvSk6qE7XYJ8eEUJg0eajn1D1iyUrIr8gQogbmgtcVM02w
b3IZj++SIDulThWruojzWzJYz4usaa7zsLwlJyJ9N+tgU4bWedUmd4RLn04Ecd7P9bUaSaFJOwtg
hORwd8ZWxG7OfMa4OKTHgL1r9n9AlMTF0Nj2nQ2D9uZGyerMQzmaxEuK96uGTuV27znjcn4BdRuU
YfaQz+P7OiYl2+aX8KE054jbPsf2tHe0eG9LeVRpgjk8+V5jrPx3jlL7PJIv4zLeB70FIcjMvBFF
sJDxFz5ZZIkLsdS7vLP26ZK9VH7+0AUaVuPQnzWi877UzrSDYpJc9kFonU3Uo8tmsHX26MUp9q6J
mde96eIjNNx7kihfnFzR6y9zmEDboCgngrlkva/UMDSHpHWv8lE4K3ipa2175xx77HIV/AMdk0s0
m3DnphqrKGfO461nZLzBsyu8gb0F+LLkPudKQvi2tEmDXwAzA9pbUlkJvkyLczVWZ73RGolfuvK6
+V2R6puihxhqZjg/I1DX56GVl7mls3PY2dNNcOpy/IY0WX7Q9WhNVxnuRffaVP7G0bN18ObsYWzT
8pLXjqNsUPkYbXdinbAX7cOSPB+rCct3ue3dJGVE+pPE33cf5YxWSis4WF7+0Oii2KiAkzctkhRq
xXAuPHXfCh0dGo+YABiOd53BFpMey7lxBhGuR+neTG2Da344lk9StFxbNyFWEBwni2+fWh+Oai1a
BkBRCz8/SoE8ZFkCuYx1+VUGc3XhhfRAuUnm3TzYRHtbU/XObokGzmL32JCOVs0l+85sIZ/j08Ms
JpmaL0Qov+sAzrNt6Xn6YM8xmeI1jrT5hKeA7koC5qMhvc7iCW/LVBTmqmpAm+pE55yufU3fmI7X
eU0EhJsk9+2UfLDhFN44jMbXzGnabZrWHxQOJqQ8xp+Kon+ywVOyFdwI786K7erep/HYqSZ3P5OG
9ZDZenkoNF7+cKupXxY06fNoVqOXmq2jxz0hT+SgJiSpx7X7VFBKrKbB+zwQ28pQn/bK9rdpFFt3
AY30QKi6v5Ez8LSTqYta2Plx6iHWnsA8lVYXeTPKq2Ip9Vq402XnMMpLExll+yB33WPvRUcrZ6gV
cXZVZbkcZ6uuSCCgUxwFhGOHXF7GCOKzdItbNS6PRP98TQfL3FjWON8L8NanuGd+ORwTyXANg8uG
8C7fL2uxbyq4fcessuVQbdlQBUFLXVKqF2XPtX0NVI3QVDiDCfFa7vNJfm3iapk0uyC0082omp53
NHhdd9v2iBXOhG5H4zJdNVHxVZF7Cy6eq3Yk5YRSYakhkdj0+ldNG5L1vSvGwAQcr0zwq08mbPua
rLd+diYS+EgOKPMruViDq1Z5k5JzisAOu7RVIbQjGwIER53fgK33zZ2bMoH6KLWOg3E7auoo98yf
Gehk+0QnlePdtxoor74OfW1P+UVcpTau4iGAQ0iKQx6hmXhWTRs3mpA3o77aURKkeJQE4CvbrvbH
Jy/OplWTdO2yFhOJVBtGbOhkBrf2bzPyo1bk9+W40tfhyEHuG/QUVy1jdvchK8P6EcI8qdWlSBz7
Q50mnvW3ouG/Xe3/OCdi2v/f1V4+D23ap0P3qrU9/Zvvra3v/iVtG6ICzSqcJzvy/mltURrSpMLI
ggN3UmadWO//6AlhzCAtgH4IW4b/IqL6T3NrCfsveKhSRCGSPMSA8BL/RXf7M8M2grIJWwdBIxdy
3kpYF6ZHZZ4HpBfnAbG1TTA9+E3WJnRIE1qDfhx2Hc3OJqNR06u+WrLn0R6Dr02TzH9gBJ7Ihq9I
apGEV3S6K7p9z3tLUiujmbo0SEm3quLuAKVvQXWYDoegLoIYc6+khwgZq0/UqX9yanrd4qOXQvET
APGdXkSA4/wb+iW8HAsfqwU+tZW8D3tnWaly+pJN4Y6v8k+qal75q/vkYpJbBZ2IuLD3lkSNUJfk
7zysN1CAZxyTiUiqrfw7s+2VtPd36s3vF2FCjMaBNRa+uSM4MW1cSKveCJ06R6siQQLah3v3w2L/
mz7341UAWV7fSsDP501Fp1uJwrcORXVH+Cyz0H6Tm+pGWuztU9zcR8EC/r18zJf6GBpNyFK0/f11
vbfkSg84FqAIOS7YkP+TJqzyo5ZcVH/YFBLKz7pGDXsh6Zrp0mHRPqgw9/qdEpAe12QXPLtqWS4n
q4ruE0/lhGUbAuLJidXZxrFa+sx5Zqa+ptWYPqSugQ/jCctGj64dApp1I8AfIjQT67CDbdHDc7lP
WqprRrEYCLe5n6tjQ5Tv1TxJqCdiWJDoC9EhG6xaS5D3Q+ZddIy6NmAm23qEk0Y6td6XZHa1PLL4
QJKwn68YIATOVmagRyu37kq6Al/2f/IS/WkB8qIBzKPIgUrNlAIg7kdAi8FeZeUmJs637PAlsdWw
bVNI9r9/Rz99UwFkT4k8A2TPjaK331Sfwnx3egfTepuEx6hviWuxCe7wJmPvaB/L9e+vx574Zi26
Ph+VC5WRDRcd5Ou78i1dyyFp+40TMEokRcNdjX7jbRikUBflldw4M4Xn7y/6i5sEGHTZvSUyBaQR
ry8KYB94TM77TZAP111bA0AnHXm9bnRdziQc/f5qv3hxsCftwEOJ5XB0nH6bH5BIWA/Y71eUdYpf
aQ2PzTARmOTu91dxfvq4IkBY3h17sMeh5b/ZO3qnFnAoQBpI/Z3f+wTGplvKiBzD/yoN7+GYXLSl
oWVNIxU5G6C70qxFIIJ7fzbyXQpFKPx+5/8tMCgwePx/KjCey/T5dYXBP/peYVjeXygU0IeAdLMq
OMX4nP/h6wZ/wci10Q6e9OjoZPgm/uHrgp87nD3s3CgLT/D6f0oMx/uLI4M/hsGO0ue0uf6LCuP1
moWf6/D1I6aVGHogbPgm4vphzQq/jyozpE9pODIMCyasCyZ25R+eyS/Ooddigr8vgqA2dD04yGhR
Xn8YntYB0ED8NIZ5cijnPlp18BPP7Hr0//DB//J20Jr5Lhto6L51I4vlEhXRHH105gJjI2eMzG0/
/1lT8/NlmJ25MjzprE5yxTdb9DBKkxII+DjajUPlbuvhfpKF7f3hub0+v0/PjcugQ8YdACk8n/rr
5ybSMA3Dxn1coJSCiir3Q4yuHQRDOJsosfpdFQDzGtr6IwrTevP7t/a64Pt+dekKW7rQCjnIT2/1
h6WRswqH1rMf4W6pjetoVDWWTQaQJ0H3/VyLTT372dVspc0fPMzelL3/XJqFQhlNoR2+OSxO8wbR
OstjI7D4e5i0R566bToHVjlU0mJlQ7VCZhTl+TPog0co26SCYldJ0QfbKqz/qDz/eQULdKmCF8Iq
5sx88wv5c1oXSy0ehyzxttSj9w1A6xp2qfOHBfzzhRBFcUoyO2Nx/cSeHy0rYdLvPlp93uzUIJut
yWc8GqY4/kM9TwXNC/y/ip6n7LMf8ceSLoZRXfDmdCzR1bKAk6tldkkvm+GR9xvo13w4YVXrO6hs
OQBZkkceibZGnQVRjFWY7eswBTb34dNlvhFA6P2YTJvyxOdRgarT1dD67rMee4bOsdO3OBiXTak2
/jLlhC1+4w6ZeRHhSrRpiLDVjgv/3G1KO8DN5MRAahedcEyrzvlEH+5N28wsSbTyIP8Ruufkcb8i
csycvLDdAH4JWdrdObYhC+nhy3CRLss87bTMw3Q3NkP9HGoq/cvOggl8E9JEfID/RqZn4U420d8Y
RjfYBp84XzlzJabM/tDsvHYk+XTBY5V1HzrenW9KfFZhvJ6m17NSuLJ/o6TZha4+U/ZkclvYWWGO
yhPt/WxGO1r5dWudsjU1EFydxt2RlN/EXi+WX03r5hvDTi5Veojj2ENGOah52ho5zeY+sPPFPV9K
nwwrnafmKbHK5HNrlzJcKQBeiIDEVcAKhGltxy+D76vbxUirvzLf6IPT1IakvTo+45rS3ttWljRn
TS9ciIbed9qhz8Fj3VSD3zH+dxQiM6bq0MHRyl6rvxmLeHUXEUiNq3p4QNu5rlvojV49Ir9lrich
3H6ssZvM3BuxeHUITDdK3d1mfKJDtyoyRoH+3VhFVT/to7ZpQWndIe/Tc+20eWPvHC8zgno6l0kt
Q0J3kRLATNZ4ZPThvS6ovpMe7bOtHDjIQcrLX1uOTKYWTyd4Gq638QWj3Q/KGHfw4BMGA8Bf0VSw
ao6mZg7N/ImWvb8vpnnJCR63dft1aV1CtzKKuCZaGwjutbowblwO87UUMOyIF3drt832fjbLUTP6
sK2yfOiSNquajaSwcuWqamq33gD4x15KPHBcN8eo6aZ8PfSNra+SyM7tc2OUb+87N22/jnOF74F0
2/AyIqW0PlaODj+4rYkJrvL84ktWVCL+yoh68K46qCfJqm0UvAcRG+sdBPtU7aEa0wSDauOY64Sl
LfZBO+nlWlXS3HBOyPjdVMe0RfBCs49T1WfB3rR2KGHre4vDwxDjVH1IBOS9fbL4oXvR+yrxDyky
FZBMeWrfYck42blTJs2jnwubgNIFR5ats/iM0HonKsXeGqegfomTfOohuuDOvJmARPir3mRPcOFo
YOLHUWWm3fVRqayHeeyNe+8sRpGs0g8OAOXs2vIxm3Pp3s+Ab8nnSPeN/6lLG9dgHKhnx+nQb2tR
fWgqJ7Ky1cTnHmGm3Pg5E/I+i/pLE/W6cNfG7kcFgaVrDeOJJW2LYZ22STDez251ml1UVbwwTrAd
IS+sLl54l0nsrUsn86/nsCaJHq4tIVDlaIobnPMgsSNUZ9cxUkBpcSzj2cRFdyD/81CTskXsUbKu
nba4cWBeXQ9tRuLX1HZxtOmLOp04KJVMOLdT5+vQ8EB3XZol2JR3xivW0Fn8eQMjGgBXjya51Ows
uO84A7k0ddpx2qYaDu0eRFHdxHDP3nfoTWy0oKf2M4VfSGK09jmGujgNg1XpGXOv0Ec8VNbSlBsv
1l7MFHZhfmsyP/V3wkIWsxLlkJZMQ9sEZnmQfuzmEc/LNsmma8dLpLuOaD/Tdd6pU+xlGRNMHcJv
eEfLwdbuzKl8X44ifgr7AXsTmVvqoy2y6hO0BEMVNFYZHEGRfWHePuJc0KXdk2/Z9mXdyCJHZ5Dm
aImG3k5QaofzRzg8uoUBnQU1swwsUlaBU0VPMiqZlp4cTc+XGShhjfyg+9CNXfJxDqV+ScSI2Z1o
y+YFIbc1rf10rI71VFbpnvngeFWi+dZHKBf2sAthlZpN5i7piwy0vEEaUTw4oMfPmbYmH7cQBCBr
0zfpnZMX3VMyOd7DYFvjJ3aoLNvC/I7CDceck66zoBVMF0wIi3Ymrp2o2ST4OsVTuKwWLjPA3hux
HKntlhlqSq4XAvx+sG8X4UG6Mn2LC2HtNxLoQy5FvgpH5Vg7bhpBml6inAQ7Pg6NmxeSDL5EvfD5
DQImFnAEIVhunI9XEEbH84XidL6epSe+DmneX3SWGe8K3sAIWzgNy1WZDwJfvQrtVJUtotlg1aCW
dRlhUsJG+w2PCVtcNBdOyWhVIcH65EKBJMjeTDhOTUsef5qzAI1SHyUu5M/ZYi8UvneSwc2yuio6
FRjyf8b6pR1lZ60Sx/Be+nbWz37YNrSfPmXGzp1LSQY4vAm4azbDzE281KPa87eZGSVhZ/Jtrqvh
IkENxEQu7cps11gqf+STKR3cDYHH10J1mmTE04R9HYha3rrf+L3fyt7/9rL0slSAv+llq+VZv6TN
8OV1L8s/+psIZtPLYrxL0ypchP6nsM6/iWC46NGr0HeB/GFHc0LEf0DLPSAf2JEAq6joTvQx5mvf
3PeE/1fog5WAk5/4W573r9Dy17UzPwZQntEyVhT0xS7Xet2w2FRgVizZtyfbseA5VPJCD2F20/gd
H8MPj+YXLe0bZOnbtRzgVbBV20Nx+6YhyMFXTFew1MPIKLNWbWjwKJnc5FNXKXPuwtn+l+5Xp0si
0HZguQEf8QZO5fwP/RjVrM6yk8rA8sd+Y9zZ2pagnH9oC35xYyEdraDzE0jRnTdNQRG4XqNORO8E
CkZyxEePCHXKh2GXiDLEi57R7p+wwV+8uJN/EpCW8LyA5fD6zhISBAPZByOd7RytYm8m771Ilsys
+mCI9//6zXExujjgSB7i28TZTLGJijwcV6Yr6yu3jORnrxqbQ2OZ+mxI2+hPDvWn9/J/bVZIIYhR
hQ9WwzgIY7tvdmOv3ttomwpJxcqMiMu6+WVKVH2Ozen7LpPRhS7986Tptr+/y9cIxfeL0tFxRbwj
AJfefAtJryac3xhLTpkzo/nyp3VXVH/KE//5KiGqcowUfOZTAhvD1y/ONLWmMkdB2Ti1uUqDOr1s
uuDl97fydnWAs2DaSDPMTCGgCHqz7icy0Ze6redVLZ32IRrz+ToXfnXsnEEf/vWlgNz5oHG7lD/f
T8cgN8lGOa+yGIo3rrcVUpzUncdHd0yG5Q/v6LRHvF4YuIqwX+E/EXhsIm+e3phip1x15UJ/mHr7
AmHwx6Q2wwcYe/470lwdWELZH8G4tx84jxPRPuA/nTMgw1t9PrUUjjBhwlUdv79J1TKdZ2FUXsAB
atczHJk/2e/+YpGAcArJ63NwnHtrNDllYRPaJ7ZWqhpSeFG6H8IAZ7bfv7pfX+UEY7I/ggm82ZAL
16EUyRkNDVFjrfrMiTcjpIU/IHK/eHgnOBbwD+UyZ514veAR7wXJYqPCGVvRYBMirSvVpMGZQLry
lbya5vr3d/Xz3hFi8XDyzTvdmHPyu/1xz0cm7uuqhsUl3eXAU4Z9swBWVP3wWGvnXQYvYkMkyx+S
QX7xxZ1mn65Eggv89zYZEU43ZI2SwB2C1IJtO0giuUEpD+p/2TuT5bqRLNv+S40LaY4emAK4DS97
iqRITWDqiL5xh6P9+reQme9ZSFEvwnJeEw1CQV0CF3A/fs7eaxvb+PLXF/inr21fo+D1eUy5g12v
+esFSq83xtpeHXwU9nCL87I8oRX+O1TXnz4lcABSmDaNrr3ltY/5/3gbNxSrpWM2dlStxYq5iKo/
6WlofPoPL2ZfpSDY8ZSzQ0Oz/fVjShlwTtAMMFev7yJvDgN2aGv4m9LjTxcTUnjsaoB9g0Y1tD+j
f9hPQivQfuX0BIBjFUwsrDvx0LV+8tfX8qdnYB+XMWlC6Eglxd379VNW17RwtgHsggBmXFS1bQ/B
bgkrvaE8/vVH/fmC9o/apxAUVJb1+8CTyQAxQCUgXuXm9hatzSicq7UvSKX/6w/aF9RfFtydv4qK
YV9rGbL+PvNUUzB22tpIeuq91GRNX7V/LpxmMJiPrfMWa2ut1tiTfr03GJdq5HTGoeg/vl4OZrxZ
yCmAldn+b7eW99Uus8IHNrBMS3ZZ0z4UJ8tu+u5vrvfP3yEYOHNfPShU+Zzfdk4jLZtMuYyO66Vr
j3kofdCF23jO7N56/utb++fvEIkGbBlBj3xHGP22/Hobsiv05kE0TFt/7xtOe+6q4D/LTKWq4YAB
3M5BsGMihvH2C/7Do7+2mTfb9RqA9mwzeHL2ELUjXtG/vpbwn0GHf3xQdoI3YiCuSLCZ/JOW88fP
cYuy3CZ/Bk5I83E51Oxfw0HMufwBCDZVZGQW5Z61BbJ+THTRp56Pwzx1slM2wJ34BCjbb47WIiXL
p4EXNFLWYpiJlTaVuClwo/2AY0HCCbyJSv1MyY7GkZ6SdhOtxSDUJwzok49vqwUdiAhoaZuIHJxK
XcSS4ptDiYeBurgM4eRr1NLmtGLZhIaGQYuu7JitwRWk2bBAA7c403EegsyzE/YzOT26S7pOtD7L
kPinth3NR9/HfBWZfTlic2eQHMaydFf/tNpIja7Hcuhf3bwTJ7ubKjTbXF1/nzr4Bt6BQa31rRga
hBPOjkjES+KlAl1xp8NzRZ5k+7CFbrdeLQPN10fiEwt5NAeDbF/q7bWhhe+PuI2xoffhaWrnZoHs
a0IluVhYQ/yDXqzCfeqGJc2PzO5JP7XpOjuPVeMqNKx4yx9Lk74mLAsGNBH6dVqs1UBxhUcm6DEu
uoPVvllZmolLp93KfkGNmG9ZTJu1qL/WuePlhz7AShjh+88BCAlajoluA6nPypkgd0izAw2ivDn7
Ag0bwWOhFgst/2IWLySRGNtVEPaGRbJ76eSxslRXPPgo7F/o0tbrGUNlDUNb+fbHhs5cJHADNizk
td8pvrVpJSJxKJq8j5d0zB9xDfod6SNocBOvq+qWOpR//TE3JnoyRuPNNG8at97ivPawaHtjU+u7
KgeBf0G5ieZTjrb3vDrBsF4B4WndlMWsmcPmQKcZekmClj3TYzIvQ258C0q6zZilbLEMd6p0GnU9
F6heD71B8/ZH0azblbLXAD5RX+/WJdIWIYewVsN2REFv2Ufaa1p96rUci28rQw3bjttWBOiKcO1p
ezhXEBysDPlkJ6C4to3MfLQR+MnhewCtFNOP0O6ERics6+HniMINVwCtsHDLjti7zTvRBG1+wbaa
Mx9RSCzP/BLD9wr5uXtKQ/ArADvkhzF4gxmFXaGN62wO/WWEo9M23YM0DRPD1TTY9vR9K1H0N0yp
jNC4CpfNm74JItbaE3i3WidWKCsrMipckVHblXqGbaJK+k5iy3a4hAfxSMEX9eMtL2T2uNQ24WMm
jKDwdtE5TDT4RN0PtHJ6OuWMn8X3BmeYEwdMYq7h2Yj1pl5Soz7OAX3EKxt8lDisvDxzUkO+udOz
nWXXyxjo+ikA4O0cCUvFtJAbUloH086xzG/7ICJCsR3Qmk6rqT9g98BkK+2qwVJWpmDcWEnZwZax
5zYYa7hRknRo8ZdqNl/XuhP4UPknnYMDJIIpnp/n1YFh29SdtVXY0PhtMXaxM/QyjYMSklGUDn71
c9N+QQGc14z++gaLxNkd53Z+dytHDlc5J57wDE6osa/7ocmchzHMZu9z15F+88RMrO2vPKS128nq
QAzxCCGEA4Cpw8/S1cWt6EMjO1h12f0UTJCy27yXK6+mdhhAVGkP4HHOnKD+JBXYRSbSHQCxsBzn
rw6TAHzrVZc/d3MJArhVPo4URPLtXbW0s4pHMyjWM2BWG+bUgHCOASYH/vNc5SboiyFnohjyNr7h
OBn2e1Y3jwPUK4ZBS23cVWslP7Hw+xaTw8DITjb4Bztq20ErFPN99QynqDdjKwsWdcqW1B2OWxCU
PcgAjDx8f5pgnqFQbhMXsKnAj7plX8S6ZVbHZLuHStotpUrfMjYrju6o2c0bOyRj7Q4pQ3HVsV44
586ET4HhwCrad1BrOfJ4okjevZqNM7aQPnsfUq45bXvTbPW1z8wK1wNUHSvB/9UYRGyLQiVBW9fe
hR79gCdoFmMYs4mvIhK6BSHtWKNej2KazC3JU+1DXhls4vzMcO26CGW83i45b4t5RMgsBgBf7YJR
Y8r2jB2vd5tDsA52eSWFSCGs1nVpvWh633my+E4WXgRb+Rotc8Pxd6EpRI3iraE82i2Nm0Nl9f43
ljUpbr3Oz45j5jpyb7r34oipHSpL7neO/2Vi3BrGi9GI6rKOGSxkvsmOfkc+0pRAj8WVzNAlugQ2
aVHG7tS52yFUTva2piattHWZK6Ra5gQ7aet9u46Nee5ACi201uPN7CkK+9BTPztDpergFGs9xzxQ
eJxW3JRnMB0Y1qaVaVzUzbh1jrijnS/FquZPpVk4zIgNj1exrpVx3xspkVJWX05zVCOaRf3JzLm8
1JVlKMACBj6WsHMUFtN8klhRsIM4aDf98sPCYNHEOjRnPx7GZv0W9HKY4tKx5+BQKYlZU3nQtaJZ
mEOQgIkbRpjDtVWfBWZQxqLwGU7dhGgxHq0Z2DuLbgg9KJ28z4Fu8xa6UmuMhyE3mz2McAbaC7pg
faTrt7axN/RYLpRl9MGxg4h0rVGvBpBlBufV3yYGBM1gcjAdMkbgiT2NDKqaCs9B4vedfsxxzPj8
PrlrMjFiIhZJ34MPgyc2BFdTI2GLhrnixClcr3uz2Pp2GxewlGiSyrfoOkr7R+6rlg1wtmlrDRPi
yIiJo7SiqpmkESv8622iAgLq4mKr2q+rcroMulVnPk9BmLEV1Ja8KKFKxuJGOcPTaEv/4GfT4N/Z
4Naw/IQBHh93qTFxyD5Lw2jEe2wdeuljiLTWPpUPWSpkdr+CwQhj0EKNtiNVTtN8zbx1sw8G6zsg
FdF2ORz9esEhIudy+WRtzeRCJXfc8s4pnW06oYEtl/MmHJ6dJiem9DrVVVhd99QS+rktQ6vhTSuc
tLh40Bt6H3rfAMkx6ly0hduxMcgjuOrk1unsxrIZzH1XM6UC+6slfUZ/io3Ui3BReA4TK4P53RfK
FqtL1IZoPCrlnKaJY8CPKtgQh9OEB9Q9F5mB5KCvGwQOGYfDPhrbERiBB0IOeSgnwTdpAJ65qDpA
pNE2yqQrjBLpMRgLiSpxDE1wLEZeVEeVeuOabMRdot2G6NQnFF1kHOSytLj9kltw4JtxL3qwh+E0
Orp+FEYHW8ZT7va5y4lfoQaX425+Vs6TYlJ6cQH7FdALrPEmS0mpijMk2xqnqYcvJwW7ow4km0Ds
GzPLfls52/K4WeFoHqGBtcCYRFNposFXHNH8f5sV+w5mRfhPP+j1QzbrlhXv3ips+ZAjSAchzm/e
swCyNe7KVeNOKGhyuwMp5dfrVlrkEz2F7DCYRfmWipwVxDDSZo2I+1sY2Q0FoglSDcevik19jkfs
L2UEgQL+rKrT+bMsA8busCqg6/Zm7z0P5VbXh9Y0xyKy6goXdt01hYgpXNV0WK1ATee1MeuSUEzZ
PruGxRB3nQxXHyn7/AdPZDCyCPBashiTYflmWYUqYzAyWMiDoG7PuHzSlU9nOBPJcQmezLk0sAs3
JRQ/ZnRIzvJcTj9r3DsA1dee17CU5aAQZuP1jjLb16/DuObfu0rRMt3w5wtk2O780QZr/9lDRXF2
0pRaSlQmpyXOAt0QZ0Y13KxAinCGKmPZ9xsNw60pjRLWzeiT/utxHPo6G9pH/uIszcHKyto7LLWb
PyysdP1LWCjpAbHwsdXmMLH8RCKhQ/DjC+OocrQBR9QzTUtsujuPkHxaS8O+k+x61Vpuj2NboiAK
2UxvfGPKsktetsaL9DJfvPSBlc6EllfT/SYd+2EZRmGTbeIQdFkiujt4YgLYDa3lRorJGSPt7rpl
t+q7b9i9u4dp5MhIiV2RfQgNU26xM+YpHiCzRabAdoAV0nLGcgGIxEHjkZ7H/DOTbftR9xOe9sYY
2D0hjxGCF5pL+3WBr084kXDUMpBxPq1kBFWZqzkGAy7cMDn2qmWZ5vHpyh2RWi7hu7FuDWRqYSB6
iDRAQ+AiRSCqF7ttWqwivbVmaLxDW1n6Pm+NmrcSrNIgZUwBxN/4IvVfG7VsL7PP63WoCa2cjmNv
10Mya9d9y4ZyenY4Cqo44BQK63JrOwQYQBt1jNonCIAbmtP1slG0x/62cQzhbS146MTo5QidLEfn
P5U0Bifqu2D7ushh/IGTJZ/iLmTX4Tk1gML0hkRJZDdZhXdKVu21i14lPzYYHnSctpg0D7UaqICB
8tmvXWGL16lk9WaxrTG5h349njGWgciRcGjvWscmza4xeg/eDJX6j2xMu/CEKr16gxpr54nWbX2s
eqewAYpt4Zu7jEb/YFUecpYIq4rbfxsLDnLPdcOQ7Av3djUPlTHL9UC0CgLNahm9l7yHZJ10k2F5
WDN9XWAbb6bpmDnb5lxDGXCfHc8al9NCKdjWrNNSh48G7YzyuvWx2iQe+FrnYE0D8i2rkd9NRv2s
bV5JsQL2InU5KFcLtmISFTZ6wg4yIiV7TgrTsLjnPezKQxBTKLivROE9bxjmAF6FWJW7Sphvwep6
t+3KP4I9WbNVFLM3vc6FEngKlZDugSeO2oH2KfqZANFLR0w6PTQ8/KrXiVREPZ/kgGAg8uqp/d6E
08bKx5QWQ65bIv8YtT9c7Bb47WHNQyQeFKBoJmdgsl+NOVfFzex2pqYNEvjqxPgzTSNKjfFJ4TuG
8mAEy11rDk14sDqJk0RtcnnaNCqw09ZOleT0bBjFibYfgECqW7/nMQQ25ftIdOlF0HiOXDQ/8q4r
CuCiZIR4/s1EqPBbq4IuTQqv73XkQ0d4NjqvwVE6UexGAy5rare6VNcFfKkl8TejfKXkWylAc/bQ
WKUuL7+cffRoyml336o2GxFVQTj68TQ66rvfZdj9aGqRA1n6KEtOC3t1D16kZjnsljAzD0bWhFlS
ZyXsr4p40C9yZplBXulQZm9iq1+w9W4kDGXLT9VIqKi4rpW+zP00/eC5zOyDjbSz+NjWqpUnQW1s
XFKz0GY0wiRiPj0psz4HatTtKYDmQv6VGYw2cUWTEF/IkNsqMEplJQ9K6O0bYZmsO2OTmw91uktq
gD+pd3SqiqJpKhSJdvZWrUZ6a6zBYjWf8nV0eL9g8JLR0lOSjHeiD1YrqeSGTLkjpl59p3FQNl8E
clETcK856NOQ9bSpIllyVn+uKOMkG99secZb7Ygi/8RQ0XfKCMpExXuau6Ienmq7dsPY9RYGLhIc
f38bpN78MZM3AY+wXaC1sXhzWvYrziuF7xU31RakP105NR8Ut+N7P4W59XlKwaN8lAvV9xGMCboW
E+c3wCIAHd0nVGG9PBHApPNnDwizoAsgy886009ttQaKQ4Q2gRjxaKCVodgtDdhKoQsWoofRyX3+
grNmD5e7bzvng/NuleS9/6OtreW9DIPhAOIuPHn+fBn2ktPoCU9uFvCN5mw537PAWfPr/+55ldKq
3XFXyjDbBO6I8WB4rT0cXJjXbJK9Q8+wNAb9TlsCdd9KfgG/9zC79/9N/EeqFMc/DuhtBpOkK8XE
oKgc78OR8BROZmbBG51Tnq4zNtc+7AAzUGj9Hdv+9xZ0gHqbiQjGPXBrNuaYXzu2bTi5PJmewQGk
RCaxBzZACAyTQaDZ+uu27e8taA6GzF2YITHeR/z/uyjfXexF76KiyDSK6jZjG0wcAgX/Rh/xP3wK
IxHByHuXgwM4+vWCBuwNustLIxodX104BLU3CFvsv/mUf8osfulA7wYwDugU5wward9T3IZMK8fS
CKrC2ahTCJjsOtBnHDg6/lCtd4V2grvZF5wpwEcaLwEb3geUJEqfv76r/9MXiBqdhvs+8HR+z2YE
QOuYhsEXSKE8xrP2QzSUg+CdMP49rvhf5dV/mftc8/+vvLorsp/qNwvR/hP/kl1h+MEEwbjD3tlb
uC54h/4lu7L4C/LwcAqiH2DcuFvF/i27Mu1/YOrZZ8a8DNib9xnuv1VXJAj4AmsmOC8myj7j1//E
QEQiyC9TNXRgKIWY6nt8Ho7FP5k1/HqwnHJMo3oqi345rWIpa6J4OhFebbVYg7vezzi3L1NR5bcU
BFontqZiu2JPI1FE9V5LMW956tkf22JI+moGehJ2bg7TwoWaWZBvTHTjpdcmp+LIsSD1dfxEJSg6
B1S4kUSdXRwry1fl2V8doqR6UXberdMOs4jhRjCByQqy3+gYDFSeoZmzkDOR6cgUY9pPPwEspwbA
U9m3jpsbXzYoOXuw00zbA2vOCko03Lv/Ba1DGyDQFNMH782oa0BTRQ45WmApgszvz46h8yZyqrnZ
4jK1ygIKTBnS3/EWLSOosbOOdJFL+2hPXudxnih64Mqy8taz0zr1G1xz687Jnc486KzO7tWmw685
KS1vXaaDH31qhSoeVpeTYU7dWyFHHk3vLbX4yM+ZCag0Kp15aeAl1WEDAbOqJxrZjFSScde+XDk1
sKVP9lZ6Otn6bbYOlb+FQ+z3frAdxJSjRC3dMXjtuoHNAnLvuN2y3403oZcGC9+eUTO6KoZxu9Qy
lcM9tGNR71kMgUbbalXXlsdiTO99Xt5asNHjUe5hpiRiL236yvI5OceZFkFzHtIcYk+Gqd0+yGKQ
3xR2LTPaZOB/z72W2bZA+vo6N65+J0PCcA9Qm/RpZL2Tcd63wXeGCp1KqImJcVFb5c6A9OlKR4jV
KMcCsMzXpQtxlk1+XN2jKj24SZUDlhKYvzchnB4b248XQgig/g/eMkWKA8dZd4bxI5+MAj3hXBTX
ZjrkT4Yuhg90jC8atT85NQMTXlg/AayvugyKT+PcAT2zd/NOXZuLjXFBKSPyNsv+bHULfprKIR2T
g5vrPo3OVMKKL0fBRCnHXxTBAwmNKLVQrkR6aZa3hU4jkm85tt8tbRQctUhKb3CluNujrDlrR4tp
wkSybJh1Ud1OoGhoeKifudWk31Paq/cI+sxvhdjK+jhkO9J39GU7Jd5EqcifxfwlYCgvIzEKS51S
7MZ9VFDpMj8jxuKrY7j9/WSTohZJyXEwwksOIk9Q/4ZRkEt0PTmGie5iacU4thBWV8SZO1BViRSF
dGQVG06uugIN0MwkkZyYGVgc4gJaWjy6YNM/tZnlkGGchsy3Jm1VD2bpWk/p2lc3GLx1CgGrEj+k
xCgCXscDMjJMZfCG18F71DgY6df7Na3C3vRpkte27q5yOmH34EgFKNKaopBXzi8Ziegg+2kNqwBI
rZAl8ZczDaBBBshCXLtj5JsuS/0y5xnKf9vKEbyUXZ29Q47l+wnrsnCQc5uBSLwVu060FLVl0rte
ujrK7QBQDiwxeRsGZfMiLD7tkO4u3Q2RfX4/NYMClup5Y/WkFkdhqxOGR6xAsGVnx8rlfNon+fqQ
KW+pMZrP2GVGSCxZQjZIwwvF7JWtt3DA/oVpk+15AyhFIoOqDiNKazZN0k9lLo4I99F1Z8QTcHUh
bgGCPbuJRmM9FRih0OlGHXpepr5b0KdJoOzUO650Q94N4XfvjSOtkVg3o6ctgAtvTvRSoM2oyROh
5TRmuN49f/Dua8jG3wbGf9f9ksF8zkK31chs+qVPBkgOTzywi3lY06belZ1OPh+KlbSWpCBKViQ9
L1wb2fam5xjkoN3GqxeU88H3+z6/T3ORX6lqrJDWW372VMhmwmKRbuOxxZNx60iHryBYa6OJmkwO
5DFuXttdYwghtUOuZcYgg91nBPnsls0xSBsdQlFuWvyukodiLCCUxVqG/hN2hxSZFV0BD4QbOx2P
9VK8F4UA+KeIuaOrzqv2jKBOD5Dr7O6SNpY5HCqqb3qQTk/UAKspbEb2jFHBjsOUHmmj0RkvaW2A
RwYtM6Cyt5rXYsjTNoH0R0Nc8gc9kUX0r1bRhXSyx2q3nYChyQlBbtz3nAYOSDEAconC7w3Hz+xz
7K2+7/xYwgLTDbt8+R64OI3aK2ce3Hl+TXHUWAowljJ/zLpp78ZtK6rIMjf/ihZqM51SXGT7Mai+
cxfPfbHAZ77Xo6W+5wZrYcygx/vBHAG359oJ8bp0ZbjSy1Tdh5O5OYdZv7uuSdz4UpjWeBsyUOmi
PO3sMOqZ4HaJRKJAvhb+g6dVb+ZnWgJMaBoAV2FE+Ib/lkp77iIszttTxRT9ozL0dDF9loFYMTs5
zXWJZYc43fDeAZSBLHMX1UQT2rs8wrnYIRDOJ/PKHX2emREAHksjL02BkBjWEC/K5D1XmbGfrdVu
VKhTR+PsKzMCK5xF4WWY3Erc5iSafB8WqB+YN3rbid0akQmmmw1a8lB4tn03aHBSRCAE81qhqW13
WLZTTYX9tQqFzvnBTZvjNcaYZnkgGdRdenwS8xjcZKE5VTdeZkyMzVlA0/bZq9FbJHNQOjwD0F3S
M6BgJeYozBrBOdTAS/yoaCuatKZV3SR0m8M2qTybI28ng/q61bmnwCWX5nc/yOb5h7mumbzp6rRG
EtYVIPSWGjZWss5Vau8/uSJnXXP7W1Yz+ohtsTZkY8JaAY7A2J5BwLZokV7R0B3zz7A06DwNBi6M
Z71OLVQpEGolUKo5gy/nscqT5OCu3JgQzRRfO8KG9MvoOIONTqYNmVKOHZCyCNjT5DCyYNYv26Ny
3Un8lBXLGJ5KznInHMQGU6IJbbieIxfBWXATFjpdP3S4iOpuYIHAQWY3gbrFOdSp21RUZXiVh5W5
uYeG2mKZaVe3oj7mcz/616CSmV07W9YxFcFplX2D8QGKn64sgOMFuKSOGarwi1r5mDLCS5E/LACP
MxtQ16LH+gLHc60eCNhEA6wopI1TO0gtLmm/ThJtC8/uuZYGIH0pSE+OeUzBzdqbV5ivkJCt4pRJ
AF8RD7K7vAQTlKeodd252B2HaILeoZ2bb0gAFusE/BKk1Iip4dQywl9ZJQg1ippUiDKyNh7mBJLc
SFtf0mU9g2Os1qtdpzbGq8CFHoNmlPq+ZOGpr/PSGn8aFNC3AYboL5BqhX80IUgXR1MNg3Uij5RM
2bktWgLuIJptced6mZtsG91hbtrU3fVkRtiHdTRFH3eem2U3BhcGadSwUZIHFNlLpHpffmNNKMaj
Ow3EIuEjKBwAivMU3Gs0+6hogtruDg5lh6RaGzPUR6nFONbzAvEhQd1Tu4cFCDecuNI+eKPFJK9r
8wqfsOkTQVLQiatPFAiOiqS78L6lNFn6qGfffHHCApswr6p87hyq6eO4+tqN1TzjoYOzvXiH3i/K
p16t+UdrkRcD+ROhTBQuznqtewIZooGSGtZvyzw66tRAW3OQ3hxGKmy84GLmGbdY+SL/bJj93rn0
0ISjiVDkZbQuLj1Gk0R0PNijysYrgMNMbycmR921M9coWFea/gTmzAYZLARV9kQnMyBEgzKOVXsr
F0VfqyNnxbquwo5g+8xWRn5gAjJhMkPUYCS47UeTHjXAxoODiAjKIv9YnYhR5mmsGcUNUdmv7RjT
Z1z9ZCYKktn3EM7fJ2OrqaKHvPuZEaOMLiSlifWtr5mD47bDG8OePBT9RgANNLwtlp2POpIhmvYU
vclJj4uMNtfvzenIsSN0yQh3M4sefku/Oj2sq62tuGEIHb54bKKQG5nKiadcran76Cqa7JqBfc8t
jR2Ma8MLpWcJhDFTfaO3f7V+/rdz8F/2XzYOorHOvv7WOdh/4l+NAwtwt0DlGsITEv88oP+/xoH1
D1wpsCVMyzEd1xV0B/7dOHBoDwA9IUcX8TeBrjvn6/82Dsx/WLaLiggINh4ClKX/SeMAx9KvjQML
j5ZNg4LfMSQwljn3r600Z+ZEPqbTHM9ZVnLGqKzENVxniwOF2NAnIAPVSZX6AWR5x/vJQK1j8mWP
6OIIECo/e0S7mYepd6s75RQpI1vGatBVSWQgrRQA75vpGAxxXLXD9M1qstCp8J95ExeXFr62FoL8
YJrKJ5QGYciIOnNAIAQ9w9mcE/fjaLi+EZk0JzJM990Kw9iqM6jGtO5/QJHOMJC6y2uZr+mNTjc+
dsqWKmV97H1x5ZOwsMI4/An5HigCjjCg0ZXMj2puP0MHJYfHvbfs5j539ZuxsWXPwa3hktuEwCFs
mLNN1TGdAIhLgyHockit5pD3yzltqeMGkzSGZcd42tOhXlxxJYNsiw3ftfXDQhbJN9d6VbRR8Gfm
1i1WgQQuKAFK6hD43nkQ/Vfkq3e4fBOIrte9DF9EtTyugceQu9SHzeQnR0xZRtYfBgZUJqEpgqPw
Tjld9z8OyPgUyqdAzPj2V37E2ZIUKiqTr8gf7bfM745r21xp5JHm0ZB9BNL5vBTOiocNkByqvJ8r
9t4YquNrkZVHXalHKKzfMgkKwutnFra6veoDGXs1zGcCkoPq2dnksRidvE6a/HHYxFHDP3H76dHZ
bcsyf1Pea1mIqDPes8A+lgMBDpuF6HKOmaPfGqniJkF2QCYYGfacvXEUUEd3l0QEmfiU+0/AyYmj
mWOryE9Zi1i2GMHBURMnJKsd+6oKE68dyT4kXGyrmNX2FwHCeA+ouO7W8qpZnQeCQw6p2cWBA7dy
HOPamiN40cBya0a0ZkwnKZr9cOTOFfBTDXS1XQDSab6xh8vgmoe+dI9b+Srq+miCAl8an6u2Xjg1
Xw/aOWVhbRPZ9AV91G3XV/mpkt9VMN/j14syTjL0Jw6FTzhfpg6Lcp/Kpf1gKBVvy/Dq+EQ3gaFP
gnUC4lcfTKe/b3sEml3Fi9NQJXlXDjlhCA3sq3q5g63KYTh4CjSKO+hoUwpP1EBa12Y3M5TRcGKy
nM9KRtDdCaytz141nd1mY/sSPcIf4+KlhXxX8nYEIcN4jeEl4SKvgM7OFkEi0ZqO980+HKjXGz9w
GK1OIhFBeZ8V08naYJITQqOoZ87Y8DmU1nJwDvA3MmrYNhnq5mjSo3FRKs4jZrp0x78Reph4Nacd
kgDNYrq1SFQyEfhExM/dzQjKpqy4Je/qLPr6kgccaWftPfg98k7K844SGSkCHGuBKVFIEgfn6g4d
3ZU1GWcOTB9LSSpzg7ueJ8QymisKXx3X6o66X95zlgkf7G2hCTYycLwsppVFdC4TxGKfKg8TQhb0
jxgfrm2q0DoqZ3EG/sL+WP/0FIjwNY2tKY80se3hKuhfGtX7KhQuiREYEDkCCZSKNhpGcBNres7h
UWy1ignhpJqBe1L1J+jzuz4+qUPnHsNSrHOLwwFfUq1gGzQj/U4a+76s0Kp5nxrN85daL2QTxkSQ
nGoOtCLILr7ZnEuX1o4hG45/ZnFtq/ZhaTJwetut3eU3gvHuYoRJKy3GcxTnZh8PjnNGSRvl+6Fs
tqfbJmNhoJ7hxf1Y+jphbht5gT4DoeN4PsYmUohCtTTf4BQ6Xf6G1O7aSdd7a4BZ3SoSy9NYmeI6
WKGEuwjHnfIq8/YuXuWd1aCbIt6VGHiWkrYWhwoVWmQLqaHZuN821KKsVFwS/XIQt4rsEdi8ZXHx
DfNWmPJiU/fFyFvBBfafe5tGTZVmR2sYYGDbN6kovzhiSZoiv2pcN5bO9klk+jZ3Msi+nB9UttDo
vayoZ0XfSkQf7hFFZkxI3aOoUX4H3dFd3SZhV1vOq2fTNBXRMgSHwF0++yiSoJNP8UCatz96V7aA
zMepKiYCMeYbKOjiBATi+BfK68fO4azHcoQoPnEraREJ+9NIAZm4IDBsn6BaSYZtkaCLdsUyHVfm
xqArIuVLxCIlzALjY0lvdbNcHM4ymKRvSnvNeWPU1ejytdsLOUv5EYVSdY9d4IuFM4HGA423oXiY
6Wtmzv9h7zyWJFe2K/srbRw3rkE41ICDDiBkRmqdE1iKSkiHcgAO4Ot7xeV73STNOOCck2dW91lV
iohwHN9n77VHvW3Wh7x9k107f/vZfBDNY9C7CLv5VcKtukP7wGBIyxbWH7kEJ39uZg7EuVlQBXTH
secPGv8m9RzNzzB7w1umh/bV7tkDHHSfpEBMQPXdO+DoqaZqcKtDbbb6nx7byssM6uvVbEFtsBdz
3bt56gTCDBuUjyaT6hUEgfu11HxpjKD9koNPUPXZdQrAkV058GnEMe7eJgmAFzAedfjtSL3wdMvs
8HkJJatquGVYjJMqU18AQ8Ygyug9zLdF0tvNNuvSEBi+V2BXydtQn0U5oEJATyv/YNPTKrLbuT8r
2t/MqFIjP/pkLpwpVcvnmqu6kH/IQutv3+nN7IaXuOm/aKLgs4NSXu876l1XlHnjwmkJwOXv/J7u
gwPdrxYsiKUc8IYOIumvZrU4b+ig/IzMRXAcCXB3WFsFtP/cK2vcC3qSzbmSY5EfS5P21GNDhiy4
tlCXuMyspXWPZAUoNCnhmkWs4QOxwV6lZ8ROtv0HqDypdV6RuL29ngeJrYEjdomyITSTm1UNYMpl
byIazERokzhh24KTvrDZE4h0xSlOURrVbZpcFPqJ17T0sRijhccigxvApUKn2U1qMVDE/KoIKmmI
+geAF7RH4Yw23yfRmNWlhSMvTv5y6Tsac3rTD2oZssduxvcfZXarFJ2PeN/i0g3aLJIqtdotJr62
3Q6akOBR0h96i8WooP+YK+tyqBa5zDFjntdsQ7D3ziFYc3ryLD3M3dVcB+G3tQ79xLfV0p8kloRS
mHnA8x1rxK9LIM4UTeTqyrfPxugZ64EWwMGKQur+sh0uD/8tbMJwPUCodxDwdJCoHdIYupVNAxQC
eZJ1JRJuzYbXDVxDnhBrnPAE+bPWZ5mOdbVN3PEST1DBeDdXyrlZmkWx2Gp7PIxVl6fNwdOAfxEa
fWAifYezdBtYSWtjH3ISa+/49AlvAH8An0oo8yh2yCZ+e+Yby/6syDFYhErVLre+10jv7E+2Bd49
oLDEnC48QGuSlENiWQ7E1pkw+e3ceg4pW75UMx717NafwN+nc9JpzJt2WI0nCdTL4bR1CjKEaTtZ
uwViQr1BZ5quQEZh3EyY3zlSTGCk0YC7xT0aoTniwQbOJTZk1he6AI1SfPQ1sZVtkU4mt19zQc2p
akDgTjF5V+Pcst3TkNDPCJ/UbptJlqBdj4lAuwanU8brNLPiS216rDfOaHRD5OYt/dYhwy//ReLj
iDv6RuadE2jbjzAmwf8Vq4PfU4WO+li4laebsE20Zs4oqFWEw4ftkEeQJbaJWBh0Ji/PKHx0aERj
bEC/pzG08/ttSoPYj1Td9DU6s4v9ZhwvkrdK3HMeju0f1UEz529T2QJuh8IKyD1drCz7sYOHDFUe
UlRsouk/lq4zLhtoCfIwVqBW454s3HlF/nuFj5+CU8N4uFqqaGJVaPsLkCx9vmnCaixuYdecpjJV
V9XE5If1mVLkvcRTmu/xJBv3i039225CNXt3/RcwGlmUSTH+yJnuoBuA5vNzOfWOE5PXYLYKvDT8
pmODdQhiIaWIi0GdRzZq+6XgiGYbXGCq2tDlmiYbfsHeo98K59tpBtZDtnaJH9Wmbr+DOlD9Frx6
4+xlAiEI9TxxGEpYsRyzblbU0s1yeFtMAwWFcYnK0HCwvO+mDZxfN9HOj6B4aIiNbnY+bO24xXbA
JD1SKeBNAo02u0T4TUvIuAJF8pvqVouN0072sgvpi2FoXyElbFrCI4wKbkfUbi0b/6FRAutuuJaK
tsF69Da+Hnn5AFSxg4CLz4vkeDYPJjqhhq1jL3kWBXSvDH5VPTh919FoWlX0rDdd2LCr9FdKJZUf
8vhlM4G2ZEvdVLGqsT0CvLPEaWqJWdHG2aRe1AWlpu6CSvaITR1xZe003T1tVsbANrzIPvjMhj+r
WnUQuyue0g09Ar2+BBYnLFqenopda2fzA1TK+n7IHevTJ4fHB3KteYSta8/YhSCaLNuVJ+eJwjtS
InOdAfhqZAvBK2kKeuB8STxtgzt7JSxoNp2gaHOlDzMPyq+B/8UjTtEKKD3Z59kGjwIy4N9WiP/R
dv7FNjEX/deukAf9Wf/8B67s33/h37QdBxZPGJrQQV2cTkBcEVf+YQoJYOoANrnQ1oi6B4Iv8v9Y
PH+Zgv8AuN7hb0AQJiH9D3HHsIH78K+BhfA8yH8oP/8ddUf8bQz6/w4mF9MhceAADRWDCXwf+2Kk
+ndZ3QYbAaRX/3Eos8vlgSYrqhCT8Ni1un+x7YH9QuhVN5kXNPf1ugTX2nLnL7NGxp2AtMTkH0ua
YR1CicM0v9tzoh9pgLKfeBe3OyqVliNrmoLVqvVkWPDcLEYITOEqvU+qcb0SLNe22WKwz6e0mDbG
jj/XRTkcHaxbkY+6fMYZH5zkQH0c9ywibzsKxEe2kuic2y4bprcy6BaechkGvjivfffDldY80kCx
2l7E803dEvYMrorO5b6QgKc6eaMOScp0Hlk0erBw+EmS0/TPV3SxYBRRRrxQwXQwGUrwxLNzpp9o
EO395ZDMjoM5ji8KQy/7S9oX76Uu/T3firqWieDa0STWnWgXH/mX3FuzuKTpZuKam7IeLIRyc843
uNvjobVOSNp0aDr5DQlX86oQVizNdr7TDCTOeDfkaNSFwR636xDkP3C96HueJScE/S+WDGcHVlci
r8BT4iEZnn26Xd1yxIA8+9Sf9I9mlvxw6ZhOXa/fWojtx5FT9bYXLBJ8mrV6R5HuLLwv25yDsxrI
3jTBLU76xzns2q2YQAp1emE3nKVfRYHCnLXBN+7GPspcf/405fBDwIjoCsu299lV78RLjto2TrIn
i5ilSfWgLWynbjc3P7XpPXJL/BWr9RxA66Qa7rBM+LL7fqcAzkc1qMrdpUkoHnOH0QAHSBlxJve7
og1awhR0sPaGePBa+dRLqzsXtv50HfZqgEvohF34nY6EZgnA7Cd4ojYXd/qk5yYnrKEBJjkUVbLd
1+SFEt2bv43m9bIpmPZ81g8G1nAbmzTPemjne8a8OJ/GY+cMxQtXhOU0+15UZj02qjekJG/8oVzh
sU/9OK3fO56X7qXeiOS35J7WLIGyt10LTXA2BKE6XDQksF235/7nsqjhupcs46kmdksC1GFvfrbI
bnyy3K/v1JR624BIEcoI0iRqJSVH+E0waeUX/TRT8sVIOxpRSa24Gb6DLh1vyBfxJz+88wtcDnpR
B3Ytr1jDtr0jH2ApxDQnPRarpicaWN1gt/djWuU7d+ae64alumL+caJK5O/mUuwQnqErcFPbYOY8
KUxk27Edz4QwMwbo/AwkVHKXp0TtshIsPWixatIsb2uTHLirbmTZm6fVKYOopIMrhsENkHOifnf2
GaqhWPo8/Ft/T8HfbWeRAmW3m5xrcxaRktWZmrxhI2tSdcqQ09Y3alaEtNbyaE8fZZYHx3qZMYVL
N7033TBBieZXideascHXFc+6Yfyp8pQ+4f5oVL/DUlpPxFq7rew8qgM8oY40Gx+Ir762IIp3sBo5
nhxUW+q6Ri+gQX7m92HCG9qqogUN6PU6TlRAsTbOKMo9SGNsmPg9stniIOYk2Fm1ZpbndvllQXrc
jZme8M+t9vsyhw9pWUNoQRKiq/lAwetXSgdOkzHtUKoZoxYUWTM8qmkJo0WWE41mVG27MinIXdHh
o4rvhF9dTJYfD17ifmdTeVy6kkxy9pK26ltQ5/1V1upQ9KLb9JprUDdGiRQ5u3RsRzZseTFi13cf
KDKkUMyg7sfGHD4H5huJqcNi0tieE0lubF6DXM9kG5mJ6r461HXi3hSUoN3x4+DMa9b8RjLubgua
kQ7G32JD4JzSYUnxb2gyvJZ/EFn+YlJDAtPDfg9zW/OK+1nyNNRresKDTUYkt0Num7AApiFJnxEm
X4tO7IFPOgxv7yBp0Kag7tQHmPpOsuWwFa8Zz887B/rrc6sZ+5Ig/bJyitU9sv1cFklidUW3aVZ/
2os8dUkJTOJbU4jM0UO1gT24xrENKyoi5sy4cszJHD/xrMkrQRXHVzN73Kpn23W/a9uoBWtRodmF
5i4CXlCaXQzw0d/nCJZkFnou6XbTWM9j6VMhKQrD2EuTUigSzzdygv+28frEuZt7rtLEa62Ykzvc
EeHrj7p3iyt2vCOhHIeNbBOq6qavdUZVoye5ZOmKD6Yy48JIL/bMkJp4N88PeOiW/RwI/7VNqT6T
8gaTwKEHxNbKQzNP1cGy2Wk6a4XANnEEeiqdjlOjaZX0fg2G3StnNs04nSvvkqTA/Zd3wjgEgy52
GLKSnc/PArpiveLOZ90Bg4hST/Mr4GeYZu9lmDVbhjlvH1blmoTOP6e1yNmEtP6zgda5m32WI4OJ
kZQqGn0ohEq2Ccugl9Qsm0/DqdanlEzEltZwee10ZfGCiy87kpAw9sLJ05MumuxU2iEI46pf7kkt
tO/5gkdjkzGK8PQEd3AshaTBHUn4gULW+kz6rn4ZcIx+ZZa3PuYUJMemNysugYm5C2SQ3IUB91Ov
vtgorGX9/p85eFiOP//KHMwY+l/PwY8XWOT/+j+/ff79n6Zh/to/puHgL9N0wLJTbI0HGQfwP6dh
y/tLeDjqAJDhdWaX+c9R2Lb/smyAJ0y6lD/Rf8B8+s9RWHh/0ewUEhcEbufYl3/uv1GxYLnmZZP5
72fhS/lOwDhuwzmCn/mfSW+MGgg7E2dIjuBhx6mpaWS3aWoDpU2Si+FWkIafjFr558zBU9JFDoJE
tklwUgIpBLwszp4cqSDr2x4l0RFiMXAiQ0m8Ebivg3vdsZQMN+46pMlDKUQ/neuCzsqtY7Zhf1ip
+N6XriDsaOvWopvNqkf0itwTenr0VhM0DQWJ5EswetgrI+7QLeqzIqGgiTBLO7UC5GYjvScMTCOP
G/aL92GqciAGHfJTp3u2kYHLEqIDYn7LUnqGgUWAM5m2uidxS46w9XwmIhHOEY21a8XCR1b9ntxS
UDyatuGWD5hFW/mF8ci/d9PaM+/dEWbtyWvAasfO3Ph1bLMsnHbUv3bNoZpgOj3h/WhcxTgVNGUc
ThTRfsl04CHI3lHTS24PSSNJW+YAOqZm6G0C6quPpxut2C3WeJCY3F22IqtOb6yAGFke8eM1y7s7
hMZ60jPtkH8caum6ajNcmtmhxjQlrTmr1HjeOPfDhNmIDkP7UGYMG/ethcL4wRibq5scNdVgcmi1
cZStUwS/waiG8WCNzar+kF61iKnPDgxA8zLiOIBkKjNguYxgMdQO0kE/5wD2B29tqPZNeUl+KUD0
XG4kK2pf0lgNLxuF0xcf02C1YXpba+EEXgTAx+MBOVwUhAyWFQUx/CLyKiHf3Mm+UrfVODXOzRQi
Db4ZY4hQEM1zTmn7ES+ypT7QQFTyhoA7dy/doJvmDvfwVuPm2q8qf3LwbV2V2imZELhZwVwB/lv6
b2Lx2h+rKSkUMqbpjUmjRRPmAXp5495nZQlXxJuptqV//tLglBpEgNOUBr8Z+y2Njo3vvDoQ3Mf3
zi5ZBLl2P2zAXObahJUDzf6SRxRjEPvjVLsXuGUony6Yq8turGh2FAas94lBqycvqoEQmGGw3PiG
y9vYCbNqo8CVMI9ZmMqikKjye5c4VnFEwOjDOpKhzk2oIcyYd5ragDSJUvDgPSd+jqS+sfDRjOd8
wR66zw17Xr88YSVDsnXn0rVvcKg1621lMzO++ljU3stqYV7HjTASjV2ks2/wxe34hCVEwhp7X7Sj
w3Zc2B1ZTJD3OIirrPdOppU3YcRtaxoejH9k4djiEfs2m5IP7lA2wnjLp0VNX4sMQ/0TEFQIjqYn
DfdgtJXOr7ulbezf3uTZuAN6nScn9pNQrTPsRaCfZ2eshttewWk4rIaSD4KUbhkNS5cgqfdUX0br
osBTjao3SQdcIHDCn6jYHBejeTemrMviAlo+nomRo+OmBROIi9NDGqRT2CHtGRDjjCnrYHlBXtnf
UYdj4GhiUI5Cf2jCbcqKLiKiD3ehH43iXC7EN3BsEMe4StZBrgcevPRIpwkOsY3ZpgHCtm7kG844
UgUIwuWVAUf/rlkoLEAXLryRMVhUNBA4bv02Im7+SRrhXVkeHfEU3uifxg5gEDXae5BZ8LbCvH1I
lCucY84PzUoyS4ydtlW5l+A4t4m5TpeBl/OTb8QINqtvNke/y6392kyYmr2c74zstnqfQ5bDwNuN
/Bvt1XgFzJ7eDvyb2DBVvq0WZ3lw66Dat+S19h3M2zOuEvmUFlLfq7p07FPiq1+GdrAySV6LXWes
7TvIqOaZ9EiAV5hY4i8SPauvngwQoBr47/2KeYBs4WA9YVxdL0LiRCRscPw3v7K9KqKIFOfjgjWu
Hwj5n0av96MkD9wXwUi67lcMvGBsKtjgdmOXZ2yHfhZPELZuM1hfW+LPQbm1cP4DgVLO/Gfsp+eh
91hSs1+q37iZdU+cAJiO8d1gM5EUpR7HIBA/AZiWmxy8ahy4NWb22l6uSQAlHzrLVutcNYPG+Vah
QAa2Lm79rvDZcWbz0ZNh+aFYG2MobBgkJ8pv002dmqLnXpxilZuJJ0V1Z1ktM7zXv2oe9imYCdvr
9v4kxENlBB6nop+90S8yXacTdk7KJMSTl6n+HdftiEPSg+Y++/kDGrX6OyZ+mHzjRMsCGRunfcIY
0+EYCHVyuyijPPTFYkVOK7l+MWVjKCQnyJ+HQ24P+DzMpO8OI+Cnk6NN97m38i/RtfXJmtMz1m6X
wAAK+IvVtgB7EPmufTHeki2tntp1XWNwbrCK+hVWTtMwEueYixr0Jncc+vuxwmEYrpdRAIqffMf3
BCqNjd0DilgZD3VDtS495rFdGim3oqnfdxLaFuqX8UthrTlTtF2MlEkbjbin/6Qrj+0CnXgBM+BF
MC7SnWEW+blax980L26Bax3rrkveE8u+83WpHkWHH6nIe/HaGVQJOHl7AzDxure68VhkbW5sjEaa
v1CpJCCF7Er07KqsTmQvhmESbElVDNBOHMN0YlxQ6tSFXNslm6aIs8dsIsyRbAzDVSdPMwamHU++
H9tJ8olVO3JZK0eKjYvmihaSXV3jf43ZLKGEtTY1q5uuNTEu5cNtjYJ/xZATHDhQAS2vBZcnmbov
jEGG99E14NB+Zm8BHmdWdfdQVuYFN1B1K04w2j42SZEMr4APzATffR7S+xE0SsaTQUamZRvWh5eN
AdPaQaZMJQ/WSvfme4Xh+ysLpEcCYsmWQ16Mdcw1woyJ+v626ZgvO045+afkmX/D/f61aoziXfYZ
5zM4F5LLNHOPiUq5SLVTfkgGatwmE6jNZnYzDpiR2FDtm911hWcdx0Xe7vxwIBmx0F8r2yUgdDUZ
y5aGWXffOA4txE1WpUBch/FlJgFiHKv2cmyPLFw9sFi0yrNdXpZvbqwjJtkpb4ZbIZJuj12z+3bn
2t5yGb0QkXT1McGVrKLB9KY48aaQF9mwQ3xWvtoWi2i3Sdve2kVB9kUEfkLjb5OynqmWZdOzhjkn
Q873kxZQIvR6ZoXTpTvZ1vUZ5yi+N8AP+8aeGkrnDR/XmKWnbVIahr1hdK7oF1EcqBtYfHo3E0nd
qsnBM5WQ56Nzo8UeQz/CT1iU9WNd5vV7ULrl20J5B37rbHiYWYIAavfxkLGND14DjCOHaSrr3Tw2
P6v0zQPZhSomkB9c4wqQ142n1Y5gXPUjte3sRwJch6zU4AZCUh52g3+vn0x8GF4xxipV+cOkRY2R
w7B2BLDks+0G68m1Xes189vnKidRSLzN3FPJMP2x3Q7sX+X/AWZZ7nHLs5V0yYDRAZ1upnJ6YE5Q
PE1zgUGsC11ITLRv2wTjjsXqp9c9oFMmuznlYWsm12Wj/uSVWxhsx4cwZgPQPcCqa5yTgiTMDnuU
r8KRBrZns9pPTZV9kVbxDtkS8ImDl0zrustiEBJlfQOfTXwQaKsQOCULVK4ibDWN2fD3Aw6eNMZf
nt0K3Y+wpIsSHB0ebITWoSSUzKWPcMM4Y+90C/u3zt3xWEGgUCgCpr/VvrT7qMx9Cw2qRPMnvViB
rKIS7tjSfMSyuse4gH4poA/KHsiZDCyFEtknxikIVsJcCdLCXg1YlmRBSxVvTqAUTQDPg4yQLd4M
u3d/XW+pvjCe6+uc8BccB9F/LHZtxysBCDAOhUn50QAK/hODmzxZ9QV1tCbjHC0rhS+pg2msM3q4
mbKCkBdrb02Z6dQdhj5xM7Ee3WNpCLeSfNYDfg73ZiCLM0SqXuCqVQ3sBwhOpO7sEYxzRcL1BFTE
ROc1e96JTu+D7p2HYiyvgSKN0dhKhR8SrkTUG5NBxE6Wbizsf6tuX88C1oV53fDerjCB2D0/0kJ1
AAY1h6sg71h9A4CifJpXFqmxgQu9vZppVzlkXeA8dHjKD11TiuI09bmfxIMr1LNu2UZsCMxb0aIE
dpjRtxCrFWDC+XVUyzVAmOaSqy8rWMOVmR2WrHYonazcOyeZjH2XCg/lXpsOLPNmvAs4h49iKYsz
1UTpl69koI6pmdr+tiStudXCRcUuF49Dq8wbmsfDYsZ2XlT9euU2hH5ZkOcTSutYvgMGYgqsvP4p
nRUfxYbBEXOKa/6KYJDIgUlxNDjlXlP2s18TZAOKwovprW9UfTsKzicLQ93Gdjxoo/2QGbcwcNPb
gCNeRIndhK+syy4jLGnFaOGCcGs0l8whC+xtAeWSEJflmDe5U/o34Nn0p8VMuSXEJr6nhqq6qC5c
87LwTvrbikPx2CedONMdWD/hHqlRGVPm6VbQU8NGaGgfWni/uw783tViDuaHx1aexVTiHU2EJoKk
3Zr8iJZWVkuy8wqcXt8DAgEZgjC5DDHaYcpn0823tOiIfbOOPLQy7LskM5EEjEkfBCYxMPJBv+Md
0X645mgeF6p1v5faL84drYIQtxq9bw22W5pOsVPnBesSEw9+zSwrwQA5LY9LYhR/vKGgG46F0VWH
ur4ZzSH5Zs+hNoOrshtPzuWDxcHIwycfCTBxZQIZF1a8yWb12YRtCGLeTGDhhmrrWcHR9czxXHky
ZTnhkocN+BVAC626x0DI5GMYOnlttz23bs0WIEN1u1zeIB64vJMN2z1USY2jTBHEnqMcjfgDZoy8
8lCc8bBBVOmc5lGtTC6YYaxmFzoF1Uec4azWu2LJCZUl+clKsZnA1nJ7xtq+ehGr0pjaVh7Sfl01
sS+5GHKGS+s+TG31WneEHSOvWTRT/JiWIkKAX/kb+BHu0xQ/Ew/blpWDU2fcsJFQmKyhnm3Qvr3D
wOhUbwbbFWFMW9f0id1BvI2z0s8tLUVuREusawNEtYIXq14F4XIYTkd2Pm14BcQwL77Wxg9DMCsM
+oBcS+coRNnNO5OLnsIqX/xUAIPjxFT6bqoFueCpC37xz07vKq9MBYUpGIvbhpq6iw4wsyHBWIrr
tC+/lNvP81MxwS0HV4crr+x0+homCybxWahH1I9k3+WzZ0TE20z36Lhd6Udmny4HPfeuoF7CzY1I
mk4osYcsLJeKpa9PePnJ1+sOb1w91maBoYg9ECFtx9mFLDrivOncHy81u31SNnjn2DSoPvKZqCLt
J0ZcGpX5x7sIsgR57S1WKgl9kThdueOOuuptT9RHHFvcDnwsAns5o+4MLY71Tj41PDIrzG2TkbLq
sAjemG33PJMUIIw1sO3Jw7TB35DL73Gw3JPK8HWMvveYJ+MU96M2vk0lMy6/pFLl6syPGeHfM1Oq
Q2pekhiXtnljFHlxb1Vrvcd7Almtr/3rEXT4oz/U5Q0/KbcxQ5bQOc2etQqoOsKkEvShsJzyZgmI
/Mh+bbc8W4uUtHqYbld3WTBPksjBN8nJEjVFzhqt6YsH+K1ZRDcSgZ5sEbYZce+q7jx4Jwp2cOOa
15ZP8QcoGYnLejVnxz+Na7aaD30FKpoJYliqKySPNIjL3Cbkmc8jeziGCMN57FvVpHcGdBwub7yz
NFRGu4SP/EfIday/Rphw7q4kOD1U8RD01IH18M2aF8K0XkCGscwKdnpJOSdvA/wAospT5yXG3pZT
NoZxy+U93WMMKt07xY1cHMlGl0NUsNcDuBzqMLnKbJohtwHWPO9PNrj+2Z3b4FcXVL19zAGmKfy+
A4fTFjSB15+nRPp3XB9E8VyG2hvw5xW5OoomKIJdNuKXvAYRNCf3lKcmza7i6qCPq+ag3K2E9NnB
ptL9wSe9wrwLimJDKNrGPA8lDVyN5XO9xRqE+SyMF9dOLNLcPv8/eXjTubTttdWhsCa4mXxtevDA
KFjbdJwGMmDZgAlb8qh56LQ/rbu8JJK/N/k0udes2Ae2H2W5iINLQDM7IBJJ/6pq2BHtKdNDlryg
2q3kwQhcvrgyTCOIqa4EMY5cuEzHNFRyuLu4rsjk0qu77AtYH8YODnQtD4OyDeMOHkco91CtE2fj
LcpuDqGgTe5cmfOFts9dynz2TMvj2K2LEa94Xwi9KX2uind0hPF112FFrf3fyl8CrAWgEPNhWc4k
NmsmZPEZ4vQ+KROIYgTeK11jvI3NmZ3TjG0Lv2PAmpcLVmRoEDObFKLynZqlPiejh86cgITOOj6e
3FCqwyqSvaepe99UA67uUq1y75ANjoBiMntI6X3RipeCfzaTZ7QMesjM3j+OSIhHWdrWlbes/TEZ
E/L0Nlf5kjLMbUaa2RvsPCK4AVU3HDdUZ3bXiLD+k0um9HaqGDE2U+JfmKxc326xdv50yfw8B3Lg
awVv+IhnvM/hKW8VkANw65MHeMwNp2bL5AW4LaMIvjPhHK6lXWCJRdbKquy1X5k6pqKF8w/jDnSO
QZBVrBJnSZrts1kZB58oM6ofYxj8401ZanoifW87BJjHWnfVu0Sa8J1ZNW9Rx607VxFwmOzUARA4
tVlCkHvq8CfYZomycimewPKzDWor/4Q4HVx273zQS7ZRYQRT1jGv135lOVz5V8akUvy1jdwKKmcx
RlQPKnA/cwITxFE44u/TAOPoRFnb0WPTf8yW1n4aMMf/EhHKbhQXs57Au6zuqjXg2dUBIgzaZry2
xrF7FybLPMzI1ZE5nyRry5f70NRDHzK3dmLJZ+oqzbv5N6hDVsAuzs2Nl5eE0lvL+wIQcp7WuXqp
piF9nVrDgz/Q+t8OnNIvU+bolvxi33zF3DGpLH/EpUHCa7amG8uqlm3Pngj0RltvJd4f5H5c5gCb
+50JgHVntiScmxDnyGCBQsaso0m722H6gH+3PSgv/yPK2jvm3XLroCqCvPCfKcMkPVIaHNUdHE4x
ThNh0uRXTLo4WpkMvho3KCKJQt7Z8mdpHQ+hWbREa93X0XNoWKU4PiYkE8TG0CVXk9+3d76cPxMo
3FFdTegefPCgu5bpXR4sATlYNNnYx+/PDPYl+dBuQGfx9JmLu4odzoYhBT/qmtVvKwzOelsJa9i2
eds9UrAKSTQv5uphbZZ7ayRdZsyjuV0N3R7lmBoxFBjCKYlpxUuVWxF8xMcik9BHuhAePc5Ya19m
qv2cSroLB4cI//K8lCXcUEyOMLDeDPzoV4WkOdQy0wNb1kNWOPq9BjV4nY/LKZmndUvFcULkoxX7
5AKjnua+uZZ1MJ8sF81HM9se8chw92mzmUyKa+0xKKY3uR52Kfn3P104MM7R5nXRgQNwBp03HnHM
fwPBQ+pB6Tr5HetkUgUHyB9dZA9htTM75q1CUCjAZi1OJ2uOgdsS6FLeG2fo9D62+iSqKTnmZT9F
GHlIWI0dPXYbv1AHOtFPS2UbMXnjCokRaxZKrAVaZsBOfQvzDC5z5gyu5BYl6hO3tzojWpRYmtSM
R0AmSbwbx+Nt2675fAgdCQV3ql6hEvFM7RPr2axwPqPRyJgdU33C7MaUInuQQ2793KfeW9rzzixz
HL1Yhji+fetV0rAb8WJdbm3FjKeuWpDEchUQSTC9V6uyvhsv6+Ly4jRRwpN7ZgG5nfLaPYt6NH7C
ZCbNeAG0tJqKgTVrngmzlYd5ZOcVgU3Dm4QR5+RBV0Fn6dJX0u3MfvOodrkPEWYtiw5UjSffJ5aI
2KWwzqeTDKK2YOPG5bFw7wH56v0AAH6lqrK9PAiW9IfLKLOGTSZ5LjkbOQdb3sdN2p4IuZDshqI2
lkn3YuFFivwU9bpIZj6UQVcffCtPeUb4xrw1U9c7jOm4h0SIBzkbyECwJVz0FlPreZTeeEIh5AzP
RnpSK3W/4Cu74jWs/5BEJ1BVEoci/pU9i3FUZyjx5RPFFpdNhcs9ILJr/X0RiH8BUfjx/+XuzJoi
R9Ks/VfG+l5tckkuyc2mv4vYgwCSYElIbmSQRWrfd/36eUTVdEEUA9N9981NW5cBqQjJ5cv7nvMc
nFv5nTHq4arlLEXdhPbRKk2CfjnpZsvXFVpvXVQFI3ZPRtrjQB0ZBTvSdha8BFlzg3SefNq83Nj0
DldIB58DQ1PTqoUmHq2xvobmCvSDjoE+s+x82zuGeTZEVXPvUUjFS8gyGbpBcaS5neH+Dh025xTS
ljppvQszCLUnyhdsn7V4y2FHXBiQte4mLC0bE50vYuXwNyif/oqS1FFk6oia3mUi8gZc2VM8raJy
8lfA+6hjxxbsmgjRI9KeGJl+C4EckuPPMGo0tPg6mFVQGKXPPqkiIry0kgh5TwE9s0LQuAZmGyCr
j2z2s6nxDeJ2T/nHqgEt41DDNA6rgyxQmsxVgbJ5Mph9osToNsU4jptAT/RdZrk08qBHv7RTdhYB
AaDwro+HsBbaN2Zqe4t9plmzTdVWlevpt7Zlwu4c++7ijb7g6vfG/H+AdbrKw6yp//E3ZAHv2vUA
/iwCKWE/4koWBOi9l66Wqd9rZobSJzY6hFfseWcjPttyZ/H5hWYN7J+6AMSxpo4oAPkuXGllGc4J
TNDrJYojLyVM1cys8iy1Q2M4jHIS+urzC53kiPE1bGE6wpqT5SVMwZMkIFIiyFdJSVAwaaY667xz
mmhBc8X70eXsGmGFFzX8aamCW+Hbstt+fnkx37E3X3S+PilmpmEajsQOZ5+IgfvSVV5uq3AdZpqV
LDyKsNZChugWrMAxs42rOap4QD4RdRc4QMSVPhXUGKxSeiv66VoARqXQ1YVo2louXz/cvyQwv805
EKb/Of8NzoGxCv2geZV8/PlfF+FPKkb5r+bT39q+5JdP6Ut9+kvv/uX6/73+2H/JV0/N07v/WGcN
W+hj+1KN1y81ndf/Fp7Mv/m//eF/vLz+K7dj8fKPv/3M24y83esXyg0ZgpnXH73Kbuan8D/Lbh7D
9PnpuX/5y5/8Ibkx/64TDo7uGwAhg3hOmPxDgC7BBDgWcZ54+x2ytt6oboQESaBmNQ47d9uRzp9Y
Qg1FDvmfqGSkLvmxDi/gv7/8H+8s940HxG3747/fvsOuOaNF/xxzDDMABY4OG9FVtm7wsp28xVhL
RtQgOp1DQNu7MceWld34RdbV3sUwzd0gAMSRuIi8GpKLMPODrUR1S4Y0AF4PhAd7cYF2LSKN55WF
C5EGHnDRkhXSFAPpzrq4Hh33Xip5YC86bOsi7LelKzlQe/RRXLdkR8hKeODg2+160gmJmJE/rcyi
xFTUt07eu5u2Hb7rNI5ACuuBdnQRP9QUIkqE66gMsp8mLwTVO13sKrstaKew3ER8/F3Br9wUFgXv
Ne4Q92Dkmr2FdUbt3KOmmvmSxBcfV1iii2CVW8UD+8PnVgYHSqFHHinnc07pi8QFWZBTeN65qHUO
XPSqjcRGjdnRqdzLknb6zJBvD87oR85qfCUNT4Hhhb8Q+o0cF3xgKRABOC9Y+aDvc+Kpm7NKx5IV
tkI+lR1NetRBQBt164ZmrbYHo8QuAaIIJTRXUdwHuR2wBkBpY2NETcLZVGKEGNSjRsU+TBHQoAoy
TN1PWtz9sSCM4VtJDAHFp0hdomKyVy424jUhEFSWa++Ot4Iot6KI0FXk0qYniX8YKyd5VE2xbzRz
2As9qFlYgHINdZcfNE3SDBsQXwmz8feRhkmpzPw5PsLLco4wWfOz6sW06VmRHshzsA6jHZiPSaVo
LEZVugu4f3u3afFH0n/R18znc0exwV/GKc+G2WaxqDryvG36Amt0ij+8Bz4Qi4CSt973447acIHr
OwJzs5zRUkvIBtNtH6aw/7DAno2UpY+pG3B4LGADod6Qa2BgMbZodNY69fytT4A4HjRjqJeyTpyf
OZvjB4B06S4Gc7ecaI7vrcGMqPk5wyadcITHbPkW6IXzswCb3EF5tthTzctppnbZJT4fl8OEhZWr
LxpypAamZNTHwjrvc1072JESNfLvmq5YQgV961UQ/Me+77Yj2/xt2U4V0PCpt3dm6bLZMCPcET05
LMsEbc25WTXTfsbfMa7d+JADt1SLAKY5Fr5gQUXbRIysPXOK3dJywusU1b32XSVwkYkZG7Zem6un
PKvLOw1u5g0DZ2KkOPEKkc9wtAQt5KHOIbo5Tf3TnyztTMdLeI2SXwMOEt7TjHa2EqjPItfdeqkH
tLn6CZNuXwp2JF5qbgptEmtWOEARvq6th1dqua5TIV7EJgHwZV+WW6Uy6wDu7+ijZWJLl4VHtEnb
btC+VfSht1Wa70i4Ty8HpD1Fk1bnimZi05fZjTMZxZZhcMn6eROp7Ck38GSGZbWjshRBPqCM0KuO
1pXSLtg4X1ud9TxJXy7ayKq2AYn2OTT/+EZoCuyWGYpLtxIPDsLC7/BjI4J19HZnVNaOQLOnmDyi
DT0dcTkkhBJE2vTTpNv03HfJt9hTt3meb4tRpCvXtqjp+N8IcLlLVb316viISP6JQvDDyKnYS/Hr
ZhpovSaTGB6rdW1T53f0rbTxYljSP+S6fBBJ99MxPJQbZI6Q5OA/e0b5zdWn4DFku4KYOiGa0BiC
F88urlXgXNY0eQ60t+/zUGymGlFAlgQQBcNDOoR7O9Ae6HM4V4ZFmzsMy/uOaK5ZcVSYdbDMi+Aq
cLD0F46GQEA/I7Sj2FiGOLddue3qju4FHiIN5Mi6pFAa1w610bqwbqgV1VQoR6ZGR0zh7VBK+auw
ymSjOf4NZ1mcpvZ4cEnNADfmcSDP1KXfWGRvZJAEnUmSXwl7fm2BoIKrrob11GLxT3+zzLjYmERQ
QDgMLlw4UQtPU8nZCHr8LLWMS+UHDqIMl/oSJ4pdlUjCKeBtNlPyM1LDSzhpuEaMcYEO/UJF5Rkh
hRk+BzpGjgx++k10NpX+rdsR7aHDVA2sYR263gW+wYqyA2tKUzlEDVIkTTL7GPT9LUzGw8CbscDv
azy0M2e8RfGRdk69GwJBMEpgHGl6r3XVXxEXrH7FfjAn+DT2JmgUDbtKu6Team8imlgIR0W2mcp0
WNpmvnVCpS98qHhril7oXGXYLcou01fG5BxIvsS5EEx3eooGtkL+xmqbpSxaTX0TlBVwM3N6bKn1
r73ITV5ckueulcZDMyv+dmnkHB/qqGm2wiAZgai5YUEon4VZP65+mwihXBF11myVoRF75MxpCj7x
29Ghd+aUBcr8DPAJi8UysCg8bwxHeZf5OKGS9DqqEMsy6ZPntunCm6Lkf1eVniUtMSAt3bV2pHxc
OvaRXI98jWqyWPhNQNdUlRISnp6dIe31lgrP7zrtOPdaqKlSAKQoReeuhrIwdWI03fCwcT24UNs1
XjgtQ/shUABu7LFy1oLT41NJcne4ihoT5V1Vgd70a4REFHMLYzirsddpKxhwRFGkpPJRosx9QP5G
ajckVdjEAxRXIC5gzMbTOi1QGvS9SDdRhrEi9MKdDzwYr/uTbEFKVj7Jd/mKlWXpFPEPgCdonyj/
LcfYuh+ittlzY650tt9O2a5UrkNmlOW6D+O11/qXnoX2lrwE5m1WgGUxdBTJQnHQk/G56MZzWyrw
AoN+LCKwaEFhX0HT7Je5zsqKN4MzdVfyHcuQmlSc/nJ1FFYEUOEuEOgAeIRwA3qK0at2xDhSJslT
ZNO8bD0buxnwVTZD62igKtBmxi0uB95N29SYVfJkI3vtGYlT9M0mHWibKvOBHjIzJ0jnpYEgbQkG
iINpbt9R8oMGid1B0UZcED0GdlODZuTpKbqWhFFqxaisySCHdCQpw8duaO7mJiUNMemNq9jy+wuU
V8FBuH28S1SFqoODI7XQ7IfJKWhaOr1N6csjkGJdEFR0nluudwnmERyPJGSCXsh0oGDZ3HT4DZ2g
LOkVu9o5OLxfZRqDDuCj6AxJDfnZnm2Y/RjVwlmryGrgX1RgkPNAbUSVb2tnYhi5K6S29/HowSTu
Y39d+SVNpLE5KM1+kNacbOqP0S25HMYS8BYw2LnnDQeMRZBa53Nb0jAd0xJqh+3g6ykpmT0hklk1
jmGzuWniNQtbkY1rmxQabJ5daBQo0R0eKi6rlBuQ5629i32eB21STSPSh9CGeBbyjVp5FMirB9Ay
OKSslWVhADrkzTDXT0cxUH4FGJuAbIZvgYLCjPPBRawXpOPG8Cnqk+hMdTxA/gkPytXSC1fLcDd1
uin8vROO+lGPhEYcmWXX1SbVpzC50vzRFI+1qQ/7Eu46JKQqHNP8exDVkb40mzQGyFHAN7SZYEfn
pcj8HnGEGaAGOVMJCO9tScbobyRvOZ22shHkKtqgKhvudXLYfg2CjhJa5rDSCAYJiKNZJL5BYCus
n1qtTO5Kc6s5un3IdD0on4vGBdMzkLopdlM40Zcrc20K7wq2tWeFjRgl1pjJZidfgB4MnB4lqNo6
SxpOKTWHDXGoK4DO62yse+/Rrj37EOqgjnyUhl1XoV1MMeBVcRDcQv2rQQU34bq2+qw9jGMXDmdE
jwhKM6Zb7YxAk/neT1XKd22tkAU/zyATTVziyXUIQeyo6bX0HSjGxv25mArQMkWHgfIStU3HmYQ8
uw6EjZfeqljKZ0V1EGkF7X8CwCZ0UmsTY1lAw2XEWU+SAqYFlrVpMq6iDgf7vusixldP649VK8jq
x2zU0LvnNqKNZTQUwtqNbVgYD71fg8TJKttmJsqMsF2ZQllxvehrMkR3/lAN2jWuyqkHI1C69XVG
CUvdC6dmqjadMdQ3GHO1ZsvbBYZiYbc9woAS+Ru9cRY1cOaGH2qrrKtKKKB5nmUs/o1vXzgAW6jV
CSNI1j55K8mKMrbN/pc5o/rN7JqedQdLrcOSNMjz2PQmVjxP+d+tJhNPeOfZAeSZV9251HHTFYtC
2u+8yrvWG4FfbxqdcLjo5VTvQuxw4jfX7Nya/uGod0RzCsFhZVGO7XiYuii/BExeDVteLrs/Q72C
Q3dwtWhrQbLovhMSoherKBqG7Eov+4JlNh05GCONYDPQFLWztLSaCJFayHXbeQ956trXoR6n+zBB
ntDMq01VhynnWCS3VTdADgfFv46icdjV5nywM4x2706mjj9Aj69ozXXLpFc81wrYprNodKMEe4p7
GQKn9YMAJ0RbFeNTtOCLtWAmvQMbChAjqvSh7+zoGw64Fvw7sHk2VwhSVi6dymYRjIP+pBLbGuGD
ITiqC6dRtB/M4J6zXkNpEOdMfVYktENXwTQiXBkymo9gpFAdDFAr7VKg/Iq9qlFnnSJ7aVXYXXyL
H+GpiQ37Ask9TmEPXE3rWpeT0bXrhAeQ+e2FgQAbO3h0rH1rGRDtGZ2R5DRA7+xF8q3yo18jNluk
oTCOwTcE/rI3YRSWJfK5rjMQtbumS/SRZbX/RhXrf1ei+la8ZDdN9fLSXDwV/z/UqeZwlP+5TnXz
kr34T8m7MtX8F7+XqTQh/k4lV8eBJDluSGlTY/29TqUJ5+/SAJBAcRLGkG5KbFt/2MOwjdkIr9Gn
Uq5ybaR//3SHCdiZkDMpZ0LJlK+Fr5Oy1GdlqpMi1VwKtSX4ZsOiuURI3ewce0tJ8LJwwHp+tENN
PNgAXe6AZfYNCkBc6kurcQcco473RT32fd1Zvl7VBgEhFDcAl8H8qd5cFUUaayntgHCW/De+LK/7
qnTO3jyGDypwH15EkZGDXsAVRJC8v0iJccAlsOIY+5b1MDpVDYq7HMYvSuhzifxNle/1q8w+PW4L
l9Gdk6/SurBjWstlkSKQGPuAbx0tN8TZoXp9p2fO4+df6qQ18PvlhM6QUgbWQAML4ts7F0eid6bW
OYpYlAf0NTe8+PK8bt3+i+/10d1z/ryQyYh+eyE7U0ZLUfDYJ5h6A4yPC71C7P35t/lo9DkzIdal
1UH/+eQR2X7dpUFgH8Foq2t+CW/F0E+kekyFthlVlCRLy/aD1edXFR8+M8dgJbakjfvy5LLgskPy
U91jnbJp6+EX0PZsLAuKgSSYLFfxTVspb505iXMvXY6XkvS/59C3EaCYSHMXhJ9bB9SyLu3DRHjQ
oOhtfPEAPrw3CNJM15QCA+DpwKqqtlSzDwWe5MaMY3qvANudZaq74S/DnNRVgVlh9/mt+eCpu7pu
MLR08C6/G0nfvJjjFIBsHowjffHigJ0hWBHa2J//GxdBeaaodjDtqDnQ581FoKF3wdjqRxh3+Lwk
Mq2pc/vt5xdBF/uXN9OxHC7B1EsokHk6tbH4RRUasXNqtihpK/jnD4qzfH5WYZbO+WIKwgPCcafF
ZCTaaI30EeCWVZqCar1OnDumWY9+Y5ohzqkdq3AXoOUjBwVh7aSrqAo8sqwnV636fMANG07KvkbF
m4wQyEzvaooyWpfAU4iiUSos7sgcLu4qK7WRRw5l9Svo8GEupE9JcgE1o8YYMM0ZLYZWmPcD3lLq
K0YDAh999BI0vdjT2zCJ59BbMhP1MKwN9v72tAZuksGKMtrh3Cef+FgMrmesMo6vT1JE4WyYA9W/
zOknbN3SNO88LAIuTFNlXldmaQ4bBOgmJA5RpccIedWEK7Yw53A2DDSLmj7hI2qQOXqj5MSwwDRA
PZiKlZsu8zHkV9BoNi9WQCoX4r9G++m3xvCriiJr72aNE61kLwlEdCstuOE+qr2BA0ftEZ8q0g7c
2j/YJWfifT4Gza0OiTna+Fnj7bFMwXktamqFOCaDkjiTOO8DdsKiy1fIgONfLmqkETopfNN1WDZT
fm7Q1qZ2yRQ2snuXKHP8utJeEL5iUKqYE3bKjiPnDPA+7Q9Mw8ZjhmoCBr8iIHFllRpEwIo8TlRW
CDVvzFCWV5RUy0twZcDbothJbrOIIMtFjrXwjkXF3/KvA3Z00YL+cLW+PSfj1jVXpRlXV1NXy0Op
K/8pQEGKQTQKMrG1qyF+yBBTRkjzZIf1yRqwdLokKgHNK6qErF3S5LY6CqgCAjX011WgevbRgY4B
pbBtTcMXMvv6pO1nT6Hoip5idVijsZj64hl/gQP/YJT5JTkLDT2UeOCY26rA7ImpcAjNHqfY/ym7
gdwbiwpvvPSzavyJO7xVpAtDMDCH2UFatHg3OBXizKPfNkP7y94sV/gHKFrFrZFclH0/y7Zkn/e0
Qdz+pgnj5pwahvlLZ4SOV7EU/cHAGnOZA1WkQ9QSq7SKM2ATlOwDqC1pKxKgqpMiXilLJBlQ83Zd
20RygsqmLMRbaNgqKixdSjEFPkmrX5eC1HBkOFUPwLXrDW+F3AEsxEi0F80uncp471J5pvLn2hut
1nlvOHqRkG3ZNBVWJLzjRPXMdvgZDsK6w+tbP/bIFm4cHCIxJCh7tJeG1ppPxKsmd5aTymNsTuGz
GlK3W4WWIpAYC228zwdG816lwXDJhj8Ptzgn832b5uAl+K7FM4AQHhAa5PSZUHr/B58AYTedcITd
2eScATuFdgLCTT3CVgZQPHaVTeyzolAP26Mdf3gZkZprg3sLl9DH0LqiLKVfJLFePYbWBNUZKmH0
MvIYiK4UWXcLKSP/acea94NuZFmQEW/4j0UtrO+DaaGfjVWUfYtwa9G6UbGGVybPoVgbFish8vNo
uHI1CUNIy5zwh6cFwYVRGwGeO83j+Of0U2Dj/6bog9QUyAe2HrPIVprvyLvc6rpbPZnH4KBj+6rB
fKDQoZmLzqqgOtEMJYYH2iH9d4rV3hGfcBIj9K45B09wE0MqZdRGllnfBRc4r+nHU0iVI7oYYjU4
P2XU3JEf0lyIZSh+4QOSRHUyLRN/XNWoR42q54AZGEZ/1RR+cuzzETx0KDUK8WzVscx3c2WzlQZA
cQDCVNYgRMaAsmlEHGPGPYEdbpFkOFYtNMN9qiG5b2bWl08P9ayL+njf4Sh2LwZm8uIxbat8CpaW
EWLeVZkmmIHKHLS7g3ZfpuG5W1WEJhlMx6QUFb1En0urterNG5lWWMhyJIuXTWVxbh3JHk5XGkIW
40xT+O4u6iSOKAU0GW+uLKhxLRF5Z1BjeCuGhaNckj4dNc25udKvmDYNoEhuT8Fp3WmOcRBm6Pwi
C1dZ8NojDLdmT6aMRUAONmVrrs52UMR3FMr1g5ZFxrDQCTX/UUkoj1ahu4DcJ7vLli3Kst+6WKuR
R5KJsamHcWrWRHyGjy3S8itK1d2LFkjxwv6bWHHATjz6ogqCft96PiQgLa+TYU2yrEUjNQiytQmS
Rxff3bDWb0uOsByJx9oPdyXOMrjuMiT6ojBzajZaUI3DIihSANQNmdz+xkEI9JscIjGukATGw86W
hNwvB7TdhIz0nj4AhilikrPdyrlM6sF3IDMkEQkUJp6Spa6wka67IqYTBVirvI/oDg4rhHzpvae7
IxJPh/LzwVMMn5WmXBbKjPAAxN421TtABnAlFpYZePYKPI1BIyGzn4ZZxQQxH+rEkoIQuS3Kx1Gy
IMvaS5ZkdgORGKyU7vXQ1JjQTDsutLUeWYG/ttoWzGStD4i/XcrBP01qFosGXg5xrF41Q8crFqIN
W4+EKAwAruAIwLuZS7KLYIATQBh4Cyc1oYLJsMfQFXcTyB3V5p1AXG4gW+1Dvy+XfcioXzux19IX
NmUMdTdNfOjf8Ar0Ge1Tlxe6MaCGrEXvoo6tc1YqOyGFaxd6ma2d61jMgrOBpUCtkY4SK57WuXnv
sDOjTVanxL5qdvWAkisFzaCPkAxkTNj1Cvg5TYoMo7a6TcEyZMW3SZDYtEiRIR7JUHAejbKHAOap
cmR/QiQQfMvYi1mETJhHC7RLJZS6suabTTB3igU6Y+0bVnPirNzapOhpmTYbB7Pv0llRAbl94+O1
SJesRi01TsxwgKQcKwN5ZfbAHxzoFv2KLDLxa2jNloalVwNSosrmbg3sSMNVCNJi2HBkDyDR56Bf
d72I0htbM1t3V429o1G9cx3+qFa50Z1VkgLrnTd6Meo2OSGHrxSwwGXLIpJtkgboMY8YSNaq0BtW
tboK3fBn5xJ+FdI184xi3QtFAnfZ+aVF/nVpOopWNhXreNMK3Ym/AfM8J9ovOwOeqnX7AYdhu1QK
pzHBFgbmkTlv6qXmRuP6kAEaTxQ7Ml+G2kB2umHJhMpyO4rztrCJiLLZqRDEgopaLJu08MGRYp7F
b9tM9jfMBsilU49c6HhShGEGw2yp5KxlBVuMmXI90MC5HUgBqA6p3XXNvohU3K2mJIwe2rBzkv3r
Pv9fUk/936w7oUR6c+SZ9Vd/iKdmgdc//kYv5Kk5CW2d/+L3upNQf+doRYgvh2tb8X/+WXYimdUi
M4ryEfEnFJIsjl9/VJ3gDknL5qekvUrOAg4H4z+YRBbiKDoWHNYAa+ogXv4lJNH7Y6aDtErgO6O4
Zc6ncMM9PdtKq2x5+YJlZtBMzW0tW7lZpW/e3I8PCkBz8syb2szvl8E/YnILbJsSxfzzNwfNhNZx
l3vA5ZxQtNe2UevfS1un+RVaZXWNxKlg21OGnOtYVDsqpLqCAxO5w6hxmHP0+6AeERaNWeeyaRkr
kklotWgHCb/sFk9gkh5iCYJrgUZNXir2KRHUi4RggbwdohwoL+daJiGh/cAoJm56XoLvuMeGdstM
UUYA/xp1E+ZUsKCUS33lwew+lDHqlqVVx8AqW5N38fO78r748XpTmJ7AUbGgUnQ55aIyE2UyyUUE
e5J0MeQDzuTeWNmdL6Ff/bMM+sHtn0tRf1bG/nqhk7s/QdkRfc2FoDfew4C5LOnN2Sb2/t5cC8B4
7jCcNZxzPr/s+7rJPNMoZhcGOEU/g63XSXHHD8O2Q2zicfJJs2WXq37tR0m+bj3H21hditZZov75
/KJirlm8+bKvV2WqpGCLj9dRM9j27VArdZLsFEavxWS2aplDMFjHOFmW/ZgaV2Wc1iRlOHZMLIYx
YTpq8u3AmQBtvXAPn38U8+S+UxSGNclrjyabhGXqOO8/CiBIN7GRrnBgblHj08SQF5I1H4WCOZTm
Isx1CgtjbalL16evuLLqJL3A5Cnnjjwco43O0epcSIHXyPSq8T7Me+/aKuP2qKF0Gs+KSoh+2RGH
h7dCG7Vxa0XtWGxKNjflsnE1MOttn3Tge3L5fdBM6icpKKhmIUpHPs+zDH2vVAjQuBXksXWVR+N1
gU8iW9pCsl9x5DhscqhaBPl02MXWStbRI3sSqFef366TOeL1btnSNmbWFnJo96QYhYzTx6HSIjEv
IDotXLv8zkKPZmAwxi9GpvjL0OTJOFK6roCATHrfybXSpqhtP4JP0toEO3Kwg9ri1m1zbmpFeBXR
AWTXis21dmZnZ4zXJ03K6igjuFsVaTKQ6XutJUMiwB+iwyTIkUauhpjD/Rfj+WSSeL0rmD1h4zCE
KAfOP38zc7oOPuoxrzmwZRqhsDYN1eWo9VAPtS4/pp0Bwv3z5/DRzbHokdDuMHRbIE1/f8k2qFC6
jPQWS96va6Kr3BfypjIkZ0XlU1sAFVxy0g+SHd5SDpEBm2c2LlktHhoM8f4SLMq4J7yFql6fxbFE
PZB2d6FjtNkyCDvSBz//xCeL2HyP4OpJxL0EcDLlnFTIJ1q2kWfxNHkxrkuzBssF64kX/fPLfDBo
CFa3qQJjTbfk68zz5lEQ6BLbONyYWSxr/NaQELlWo3EDk6mBAVH7i6IYmi+m7rlf9X46kybvhMt0
5liIq+XJ85e+AwauxY1F2gGBTpM3TnCO0RflZAO2xQ+rGKeJJrdDwo9jgXTZkmlMrF6F0ez28+//
wW0GhGjp89ZD4jc++SjW2E1sJnKNmZWL2Y05ZzC33lfD78PLGLRVKHqbOkPs/fBLZWJR7i00soA6
fZ/Ycb7GD0kDGM2Fg0yJJtJj1w8J8tpMPXZpBcYrToOfRV6El+QociyhF0TKA5q1y3/jDrBhc1ye
vo4+/f1HQzhOc9mcS8lJ0KxkqyNfNkz/X78KxHbinQ36cvM69v4qBRWDHOudtvAj0VyhDMfgWhjm
/eff5X1RntVZ0m9mcacjyitjnb7ljtvYhJZwmwXVjY1GAXcLcvGKCAiLs3FspbvJIwR7Sh1v//mV
P1gW2W7qNk06Qj+Y6t9/PyMcOhkRqo7JqJ7lxHlAKB7DTTtG1qjwRA75hU5R9QFDD/hXSiPR8fNP
ID5Ya7AE4SKRSE0wJpyMMYBKOq3Cea2hQs35i84/judgEcZ2hPezT3YFgSrbujW7vYW8+kC7r93F
wiZWI3GaM5H044X0SeZq3HrqvphoPpjzecHm3QOW69mr8/4GtSIP2ZO7qNGcSnxDS9Ie/TqXBRrp
qTt3E1FUm89vyEeDgWVwntfmjvbpKjNkZHpnyKSWTLOc5NMaan6v5c8Z4XJLIUyYmqZjXoy1Oz58
fuUPJlWbBjRrGyGTBrPL+++q/BZmRE5Or9mW7MIqkwFZ9N1K+RYF5rjGbFbgdf5iKvvgqgxAZCK0
iZlUnZMlbjD8qkuGliUODzFy+9L/QWmixMho9nNXEQ4Wbs8O4/nn39b6YHJzLQE6gNIXbpTXg9Kb
NaQaqrRv8c4hu5ssl0GX1wjBS4MuhJ2VZz50Hbn2bZ0KVMMu7Aw5rNmdmWmr/cJ2q2mLPiXQeFd2
uv4rNLzI36XEjoulH6cGqDDpRwU4i3F6DlNzMnaKliWBIH5XkGhGZZH6Y+7hJheJ6966vpW+Yplr
EKRWK8c9LAaUlJB66gyGluEN33yyc0dgpFF3MHHNj6tSuvad4eI2oBhvOJcRaKhxi0Q9yRFczrRF
iDMZRVywleiRh1gRgA5aYli3aV9/Yc876R+/TmIcgk3b5WWmg6xOliRTESsj9Yn3WBnUBQktWEdI
zE12s3mwbX0ScaM01iHCJv35TCE5KERDlwqJ5A75Wr5Hfl2AqjPVZYkwiehRqIFfvM0fPXLHcBAM
CF4uSMPvR/gIpKfOOgRAkW+bV2jk5JpWmpt8cZkPZlV696wXKCBsanonW1pLVQP+zojdVwCSDisu
NWujt32yLBuMq66Xj+eCaFbcMWhJlmHs6F/sqj/8oorznpAKy5A7//zN2G76GKDdSI4gSd7iQRhj
vYzAAX/Rs/5oe8pZCqkMKgVmLHnyRTnBpXCKEmoJhbQ3VkJwvNBbnFaelW5G2WIUGdNC7XNLN7bS
IAHRLYfwyqgnIl5hb8SLFCbN9yBn3o70SV8qQXYfCRhU3z5/2/86q/KqW1Q8KNIwycwhL29vyKh0
bNsUk0kXgH4HwTdYZxi/74scvPA0KgLe/eietHX7ixX2taP+7hAMnlQiDpzLQwaOt5P5LdMrpfKA
/mMWlYCSDF9+y6gX7qn60nOdIG04YWf/otxjzrTd+oxM9/6yyok7k1lAMffzG/HXkcHHATjBWjbv
0U8FAKMYsZmkJexjTSLOzYnES0dCFD6/yonOYJ4NKCNzrDNBakHZJbfm3f22O4v4adFrgP7bdFUO
4CVLehQQQ8uOfHVUBVc9J/4fuGq9AuBbj4qe9sWMEc6tDczHDLeGTvhj1ZXEo4V5cjScydlmZWgt
iAEXz59/4L/uQvi8r+dPg4h7Xtz3n7ePwzRvGuoDfZ8/wyquQX7pGmhW2MHNFzfnrysernRCcRgT
hm2ixHh/LT+1ck2M3Bs84S7cswqcQZSYd3T+ELsT9LRM5Gh/8QU/HIe0xXTdwnVpoGt7f9U6pe5W
DTrjUAV3DhjJje5JpmeD7MFlMsY0UbU0EEuNc1W8RFkz56G5HfnmQ6gWobSLL6RoH91yjtFUOqkx
8HacbK0yMx/aniMVaS01PYhyoAqlkUOEmyccvC92VR8NSLxELth4CkFMyievoRnYFAcUN93INPO6
7QdSJelalOw5lB6oeJcbmolbgrN4vyMoUcKXSjMwa2iimmqpG3LAC2BY4daxp2B4UAnxG6QNBQ00
VmR74Qb9+Jx2Ku1A7D4fnB9MXtY8UjjuIHHka7x/dKlGsEbc8tmdTvRHZNjRLsdGS1I9INm8shJS
dGnd+Dh46y/G6l+XMuYKah2v9XJu3MmlIzFVlCYU1RnXBBhLZXr63kQpwgmSRELtCNijPq8iX8oX
3eyn26ETiMQ///rigzmLkrxJXZbqpfqLIm6ExjQUneBDWFl425cRqvPCh648yDuS6updN5HxEeqo
gNpJ6x6gxWIfjYkhuiv7mjRIqdideUWgf7Hp+eDBSARz1MlmZzSnhPcPJhrdTjd8/Chm4ogfbd9E
9qbODXERdlo9bZMG/cDGU0RM7nuAFOnd5zfmg/sym7Kps4IBFpwZ3l9+1PAtIEjhZOgR/sLYyFao
br46kHzwniKq5d7TAIFndzpdYdgeGxdH6YJkbB95QBlh5kNzTZAgGX1frNMffCXbYPWg4kDWAzrc
918pyv+LvTNZjhvZtuy/1LjwDH0zLCA6BntSJCVNYJSUQg844Ggc/vVvId8tqyQlEy3nNUtLmRQR
aNyPn7P32pBtpprCZXDoakC2slDhlKBwP3iuf/s5qO1MYA9sztG7O1cFFYYyiBJx0Kb9Rd5O874y
6+KDtrP1m9eHzCQbHR4Jbxbnsrc/J6ihwLvTtsZFPkd5oZdn3GoSnnnRya9+Y+f2RVDZgMxqq95p
ZBvY1ozsh71McGxJQ3sNJ4tuWugFP5siI+oA1j2DTJ9cNIKBYWh1a2DWj//6uaIyYEOkN4Ag+b2e
lp6iF64OYMlahdYeZu0ar6ZwP1jVtlv5rjCiR0i3kPuNmNvbbtE/atQa0rylMz7FIMgRgqmfHwtb
Wk+EVwdXFLDygy3A/rV/xxzPDLgNDL5cMCJvP7DPUWdQBRvAweidCtUbLzYG552j5QRTmVF30aTq
yvRNNF8189mxUrqMi8Wxd6Iq9MW0eAQ5VWFz8mWYHfoQUFjE6fiiM5wrNxpbeVWOcvigyv7do4pI
HgoDzyrwhHfPkK0RUQnIiwSM4SPM/KE4Gau57v/9PWc2yubCnAil61a0/ONu5FBOJ6/mVEv+hXce
NKqhwBrGDz7ld2uJZzn000gd8X/ZyXRGoMayAY/gEkS7QfnCiQU00B3kJatI/vyTfvdheKEtni9m
e6j53/4kgH0mcRrrxm1u8qtiIROsA1YHDiGLPqjyf3ePeMUDdNM0itir3n6UdMBzErROSeeFY9xa
g7yox8a9//MP+k3h6G+ZNbSfadYxmnn7KfAEA2w+rCZzQdotNf5w6PTIwFg+kIa6K+ei/+B+/fq7
mMzwuoQWnW+OeO+eCk8Wg4ADmCUZJ9m4cpW49UZDffCE/3qjvE3Svdke/j6tvitNLau1qlWyj82T
CSfMCNA5Nhr7JAEB2fHP1/B3vyiiccqqzzrAGejtNZxKa8gNUDMJBxhz14cY+LJe6g/Wtt90Q2jg
AWJx/O1ht73tJ//jdapgzBcdYrwknaXxfagRLbm2K6577ZECjtD4q1ll5c3S5P2lV67TCTzteKhK
H8DwMH2v0FQ/Ktgx166ty2dptmn0wQ74m4v+N/6HQ6C7DTXeVXag7ZwC1y2vIvTluDc6pinBuJDi
7KT2lz9f9F8fXJoD5B24LMCcgd+vvK6X0gKxaIhIE2e50zLdwzvYwLcb1LbhDdljES6j98FP/E3h
+PZz3/3GaMSX0HU8vkZG89IbnNdSiPrAV9G7IGy8T7Xj+MfS1cZFsI7+bTRXr00V6Q6hIcEsM57T
GCZK9/rny8EV5va/3fv4Yts4iQMJUofw3VPY+Csj5EhjOcdpKu7lqg3jyRS6rs8D8NPyUbezXSfU
ltbPUPIWJkOR+iWgYiAk99BH2igZBsO8aX1Re4cyxxYR07oNHxnt+e4Jo1RNXl2W2c+lN6CnQ7xH
EPFMyKRBIRx5+0iU3Yq0UlsEYNH3B5MrUhD1IdhSKmaJRxofHpzEHSMsu4+DkKQnkqy0VSIxrBzO
Aotv/lVr6T/QC+cIq4FD39OT2nIQsqGFw20V8nKElwwVzhOgslNF2HbCt4Rm3i883ld1QIeTHXYb
1hKn0S4xCpD1xfHLOt9HA4h9oox1N3CdbHFJr7BfCefATLyrdLV8V3bP+xsiLBn4ixFwhrTKwMGV
dJli6FX5cxAIdNwSzPtCAHhkPffD0oaX3iJAX1OaMcsqCCEiDqvtiHIQk2V9G0EmfIvoRraUZejK
DxXXRO9MlSOJJPTAxUDLhUzkPGR7HOUBcYORooeCdV3k+661nS8EMrk/pBS1vVPe7J6zdCZQqvbm
+diK1tgpywQeQjdwoNaQQYUjVY76e+9M4sUffaAEXGH88h7MCLSo97NNiQoEzpFRYjVO0JD1Dhky
tktUuOgIBkBxMMLDhyVn1sPJKBfLEUod2GqjyHNnoyrVDw04+c8STcZn/G33Tj+VF0PhD9Y+hBny
V0/UwPdq7ruXlIStO12XXZWs5ej9AE5NKqYhjKy7c80WhVzgOqLcORiVyLcFYA6cwV0BD0rSLeZE
Ztn4yZonwrvrQFrPNDocfUaAGTr7OihnQm/zAAG/h+X1GCJORCqdrwv5KPPojQk5YvYdsCZ1j3Eb
FEhhhcbLWKzh91IMaGfbMMsfIVMw6l6VZOhoYt3wE4E14CuSzIlA1tYwn+q+bK49uLV50thK2cTO
Wk5zntwA3iB2O8K2ecwzP549P31cl9omVG3OrKvF94EXlMocb+a1qL9VhADd1G4wfqtIICsvAuSN
F31N9adb5fNwWpZ87HAwWHE/FAU5Q+DzMhg0yrpEswg3wvMxBMSIdUV+8C1l+vs82kT2PtIPKCop
Ksp4jaacXIKxILdi6UX66iIjZCPE4gKIYU3hR5pbsEfeiE1WqCrQRbBNHj1g2vgvIl9knNInmZH8
GQ71EaO5+tE6RvkVOahVwcc2J8TUxGeQ41iN4rluyrZD7Y8ON0Yy730jomDTJLcFWkmRuaFOMIO5
/lEx+2lQZkftsCe4c23wsfcEyfUR6v6TMXuYQsJudV6qQXZoVa3VueT7kg6LMmz+WVlB+8maOGAS
uOBhSoD4s5wdZrvBjhCzJY9LqNZ/dRE5JnFgGulnv826q3YNS+D1Sxp9Nbt2/gw/uua+aZrbIL0J
Y4jpoxHNVXDC8xAsT82tUTcb5zG3R/wyjv48bS2JaSAzDWUEBLFkHW2INfmox2c818T+zrknkdhC
jYhT7dlfAhKy7wqWbEAaspgeOPzr+2jNEO+06EJW6D/aWY9oErDap87qzmcE24Xglg9bUpPVRkTc
dPV39Mv5vFs2IDrRr66/w7G+3Ouh8L71Mxlv5tLhEBLubH7DWVIHaKiXyqQLjvkiIXpW4Asqqp8T
WtmXtTQJAqlcUrSRbhUlr7QH+Z732OMSC5A9cdeRRggrxCB+OXRoIVpqhtUJByY4K6FHzBK9O13X
04gg23PnfrlMjalRO1KFarKplj480tFyMUeMm+8fcuyDGfb5N05pNMzT1A1fbVr2L4AdxkfXnpU+
mXgxBV0B3m4YTfP4YuIY/3sBaljSy/5mCHzE3Vlu4mcJcUf87JS3vozoI6pHn6jSz6zcUXhlupyO
41qI7vvok5J0CiajR3j4t2mM1/cpJH2hOfQmm1UczsX8OJiM4facURmhYLfPjEujX9OA7k9uofpe
nE1qPE8D0BsLfTrxQWq+KtKRTJoxza+NPjVfpSXVFGdLvf5YK5W1SSnoMF9EXrnFJ7mtr2M3yqOv
FY57BNH1MlwiM1/rs8d0EgpYafk7u3VwJtSQTeLRw6p2slefIK7SSatbBtbpsENJhB4s6jsXzwVt
SfCpLWvprrTXpdt1mol2XBmrjYi5sSXjkiKIXvkA4OCjX8n8kJMd1u2DwcmfllAPNmpz+zhAxyNE
LcvP2cILtxKFkuH9KDfEWQiCgWm5YVi7jkdwPWWhNm6kH+XwZwlZ+q7dlaRWHCb2jZUOlrVnXgUC
K/UY/eP5X7672sUMVbFWwoTB28cY0xxUuE8zw11Anw5+GwcCqhohKlP4ze/a5rn2CbS8At6v91VT
IFg3+yb/rPXsimTyXaV2Q+Oa9wDmaTnrbHHy4zg6DCRZHDL/ggAV+2vhRBovg8/GETOnCO6UZTF8
VWbKvweIJyehKA3Mq0GozkAabnS32epGBbx8bzTRog9LdpoQY3/usxCInS6kPE+r77PA9IO6Zmk2
QQa7hU5v6haQVmOPTQQ8dhMMkbDj3irMMB4DTIE2L0P/1iW2wN4BBBxg1A7YcNjEWQQo+tATG4jm
Pqffuc9kWE9XKXfuhzcEyxcamGBa1jINHiMycea4HsrajR0gMa/UhDiimyWSG3sAxmsMwdh5XVXd
oAyk5jOSrFFQhv0AvXhcGiErbzpFttj5UWnf+HKKbg0YSw8CXMOND13qNs+tYD23oLI+2eQi1JQD
lnoY2iFCpT+XbpWEMxrGpFzl+pXiLxSx8HATkkyxDFlMnCFoFlA9GI+oVeR9Bmb5SwUxgkVLAxoi
XMPfPCJYnCJ3Wphk5+ZuEn30s5S+8TrZjDNNvWIYdo3eKRKLPTSNzTZrD3axmPPBgRlz8sphGWG/
G6hbBruwDwFz6f7Bx9GBE3K05+yB9yMneImw1C7peA8BzmdG+AUsYV6fBWSt+rJ2cVDFcDpWYpSb
fECoUps1vLO8LquLyiO3bWqbDtZR0JPOboApJmUGecFw7cHM6dnumgrau1fD7O6nvh3hPK1TeAzs
thBnFeKPoRNYDgSupaZXHqN5cBE9TTheImNST/VglI9dYQMRI4AHDEYtDRfKGibBJ7NzsOS42tsM
JVaFq7Efo6wCTFdW626ao+oFSZRr497ozGevCbJPXkdixdkOVH4GKWDpnVeJ5gBdf6XM5lG5GwJI
KShOw/IUWc5SnsN5Wq5bGmVMqBQyghjJxpZlpmfMN7MKCGwC9xZsErQ+QjJTaHVqqxBvLuAznmvg
f8FVpUyr2Qc1ueIE/WFFj6mrJsqXHOsLQCoZPVhNgBG0W+f0B44Fgs1Bv2d1AgLNbk/2hIU2absw
/4kPKOW7Uaxc1+1q3niprbcPR8SAVyO0v7N7qmdeJk9htlzr+85ZPLojorkTVg4uX9jp8MUUUXuL
LrtK9425gAdb5grNgt1sZbWwSKHLjJGQxCljgM4oQF5B6xhnQIzm2lwNejLI6CBBcNgLoPQnUGIQ
P9yFoiA2V8/Wh1qugTwMPqkEuw5RmscbNlUkaFaZNe3KZgWAI9JWJQN9ON+Lq4n0uZjECP2MRr6/
8VCtOyfQJaDdxkhWzX215JUgFaNO511mzX2Pu7AnzQgJg7uePGfl7//vTA+Vk03IefABMeulSOxx
y80GUHTKEvuDHudvpnw0NXB2b04CdC3vyQtVXUfrbCMWq1ZPoEAef0y5yzkPC/HZCq2U6xB6tJwX
85scpuGcmySZ1UKlf/m+yv99X8dn1o79FcIw6rZ3/aoVaVc7NAO4Ls/Oj8Ko5F9B1aYJJlCizz84
U//uRE2cMyoyhFF0Mt82XDwgUBhrR344nmnoThGEUlnKny3xRIRSNPYHZ/jf6NbAlmyiMJRSm0T3
XWvM6ZEvCLLmMc0yITZHQKSYguCYxmGtfqR5s3zyvZYl0Gr6p8oINzIqJsPJs0HupbpskjyNBEZf
Q6ljpQmT++CK/K7p4qNhp6GLEgWwwNsrgkTT7HyJmZEYhgwFVV5rwhGIaAMsYOD9RG4xtd36wRP4
68SDrdpHyIXrnqlU9K6XZ7oLlBTYc0k59OQPRtF4aQaD+1dFWMzOSUHHV/PS+PQzQpoKJDV90PTd
nqm3nRVegE2rCuDEiRhivP3VdhalVdjy+WRqrGfyeMMTPA35Bbf8K5VxeqdIh4ulYfxri4W32fcY
Llj0MW3Ggm8/WGEadAgAw2KB0/3MEag5A9vq8WkSZBa3a/2ZWXj5wdXe7uG7X8v0nFwbmjrM595T
I4zBisjvQ7/pZKVzxsTCYUFTC5HWll/xB/UH3dPfPPUsLhGri2MilKDr8vZXGiYx1L1ADymhIx6I
dAO05eLd1HANiamI/NTaBcpltwzdaiHKLeo55qDnzB8iE7qiRqlL5OrEhM8tojxZbJfK+N8uBcii
6b3SkN9mie+FfUs5hyK3VUYhIvwYmPsWMXJFDsbB7K0ff/6sXx93PsvdHnaULiiFt0bfP/q8i2HW
jWoDFFDw9K6iLhiMU+kakb8HQOuRkxO52cuklZEdnZxpcGyGmM4/6NL/arShp4MHhDGmhfYep83b
b4G2DtrBpiix03Vszp2tATAOeeE+NtawPBh9b31V6axJJ2TrcXerY1Nc4a8If5D+innxzxflN31X
oD+onUwA4Cia7XdLT+GEhvjbtjCXAxHbgGEQqlNkEJYNFCjvthS9XByzrg8pzcm4qycHouKUzqT4
lvOXmX7gfhIy3f35i/36umzfi8ETGihcLe+F1oOtImcdeTLKuql3SqNoAEaIFyoLjVOt+4/0hr8u
RuhamTbgGkHjykj17X3BF0LoicqYl7dL+LIypGKiPcqKCmI7FpDKRmJTNaG0gWn172BFmwSLX8hC
xGyFJZFx29sP96eydES6om9d1uE49ILoCZKVPnj2fnNJefJ4CTDGuH74i7DO90ttbUrDnGPjpwod
9d1ga2vzJssLPFfgUf58D3+dW7CrMAbjRUGmzMb79mdVtCpggrOtTdBRbz3IP7u2bIHljThx/vVH
QbEClkVBsWlb3y3pMylJ1khQOBqgSe/0KEvi7mgSarKoPlpYf11I+AQeFmpcJtP8sLc/Kwvwms05
ZFcFRfPSh438gpmHMHFNLPl1PmdqgU28yKuGXObTou2fNhGy0BzIPRIjXeSJDM6zO6Cp7CeDjJ8g
TQ/+5JIAX1XBcq7RvX7wnX9zJzZDY4DiF50pQ9a3X3mOFNLPjLdJTP5CNywdw8uetehQmFpf/PlW
/LqkMJPmZkdoCnmHKSfffRgmuaoGIw/61TBJ950qUrTGrlc/ynxoJR61uf7S+qiPzqVyM8ZKdpGD
RLXzinQSPRDeFTaowHYOMwz7XpCMFp3+/B3/1kW82Y1RS4SswttgB3Hie5OhM5oyreFnJ5qp4PqS
FSqzkoUM2CipaV8Ty2PMa30EnpvD2Vd2tD4Js5ZIhAkc2anAIwccLcSAyoM1/tCLntCDQJCTS03Z
oR5nFGTcZPVoD4e56scl7omxtWMwj2jnKLva5Uz45nA9NYWs9mOdqb2E96IujCk1mUQYlVpvJKMK
+4M35e997t1PxyG0jb65Ai489Le3h7RPzqxdStnlTPq4GL1BRpIZVl9pQDgd8TRTA1KGt6zaka9X
iwObk30o66iu9jmYivFS6q5w4snRg3dVVF5q7GvGDnCGyvV7EJS0EMG56i7xwQNUMfXX9LVsOptG
w+yuNZjhIpfMF4v88c93dVuj3/8yVlKwaDgiXOYab39Zn0GvpuLME2DHgpmUF0DtWJcPxJC/FlZo
BzglwTvcLOAscW8/hksVFhYp3Ek5pYSmNlNEcgXk2HxXN7DkCx0a+mkd0paGd0GY4BCWkrCLSXS7
WTDjpFNHRPUuUyNebPodqb2fQ4AmHyiafr0aWN9QyDK5tCNwMNuf/6Pe8Wl4W3AtiiSwSnXMJgJq
TI55H2wqv/sU0kjcEHPX9iq9e5rojHglbyutJBK36YwjHEhmTXLi7s/39pdFF5W+TawQjmiOylz5
t7/G4P/bEph3sghBWHjhk3pFv2RPolHbHctM+ZfzNjNKpHLleYC44h3+/A1+qRD4BlxPTNmIoMxf
xD3E/M5Or/kGLkEhB+macN8xnF0xr81mGnmj2rsQc44248K7P3/0Lzs3Hx0hh+KkhCSWqfzbH68Y
vk9mYTBhXWCcLwR5XjNpTB9Ydax7Be/7g5PZb27qdhYNNhcVgIPw3cVOcfGhp6XlMorKvFC1+2PF
Zf/BHQ1+/ZTNts1ZaHNobjX521+Vch4e63UDvPuN90LaMv7yHI5vmwzUDfm+lFVGBoWR47cpzKmd
9xoD6SpQhC10mFBjdM582xVy+m64Vr2FlzIvDia3m04zkcgvqErUN6hPE+tAJ+myS3vRD+jY7Js6
CMbgYC9FMMVA0+CtzXzTr6CRI2NPEuvs7jTvlM/LYywphicJ3yv2gm667VYBZaFGFsnUvzWMxwIt
YApi3+nnE74ZPzs0i3KiPePZFC8vMuGaKF5kAoSYNKPe035u3F1Eiqx7YKuHrocEy3+B1eJnu0EI
+55TydJ96mgCrZfKrjQyczWP/R7dteKgIhWw6ZYADLKG50x+1siygFxmwlPQ1XKYQIU/dfZx3Bgn
GEKd7tYwCJffzSt5JjvJy3KfIbjCxaDq9FMJ0PBVCl8gIMDQIL8IxtAXXiAAWXEa1MP/LBn/H3ny
v7Bb/uPF/gV58n/a8XX4PhbfaWD9vxypv//Sf6gnm7rk/9J1t//+D9jE8M3/4uD6P3ZtWgfu9jn/
IZuADPsvvKgUo3Rz2JXg0f6b3CcOwtHbdtR2RmAPBdzrIMSjfI/e1e1iJYxVlGSvx/m0EsRnN2dY
GFERWs05c4bUtliByApZmqaBqi8CSVjPXYr527j3jR6+YB93De3EJUlhR7j2vgNeL41rh2dUrUkd
RhMBHMFaElp7YxbK5R3wMvCltHvWbnSOQz1rQqAl6rDSIHSzn9R8bqEhNfkNuMk1A0sC6m/rhU/Q
+AfWA/cW6L2lrpHGkI2mcQpYJ+rNdfhhynFu2CiYCX/njLCB9bJxbfblrAeBwS5jVCdUrZsOEvqI
FzAZU3BDiGAEZ5vT6rkkD8bkv0esiDCGmPgnCkOzyfvUWGCMIk9f1dncVzeCfLXiTGS4CFvGYyzS
36VymvEFZWj6wM2Ldt1ST0G+A4Rr59fwqKLlpZLeijolQw6QLxGJuNka9fs8MIS4j2ZPPPEJ7WsU
9eJGGXk4EPiB+zjx7dTvTl7KRElauMuxi/g0b+Fyzz+YmfTj5drkJAZr4uKIZ0DHWV6hnyqOFdbA
+TN+gP4CE4W1RxjkvlYj3d+lIF0FrqJT+InRmF10VBns/ymyrOcZED5hMSgeiWMYqoX4ci7WiOlk
dETSmvWCAWXGgJ0uM1vwCDzjBdHcuhsnJFq7FE/0pYomZEWGDrQ8LLJJEet2LQQ+mZp7KyMA4lR6
iGvQTJCQZj9CKO2rZ6m1Uf6UE1ISlRB/4NSxyooACUGusl2PCLGnlqXJceEXJRzUtXGy6BIzRF99
w7DcHJnLggcrCHBaAa5dzrZLY1/50eMmYoyYAqwhfei2CHYA+Y1btMMFWwVsUAYRQRyCGY0hV1Z3
Gpwo8ZdV3nwN+zk/KLT1JNkzNQduQBgnRgsPiCbMyUDuHLVFMadGeqiC1WETnYYXphNdy5FjHUZy
YgFrNaFc7mhYlVi5iTr9pAc1T6h3hlH9bC0hxr1Hp3ImBgm4pbaxgNGadride8Ne2V72Dkkd+OMA
/Zxg/dicsxzVJDUBXNaVNTQkOOtmKK7npkbD55e0yS/bin/ishiCwd8TBJShZ0lzGQG3IS8+HIF2
gNZnDy7m7tnvIFi8NlZNQw5twCldVi8/T0ZuadhH4L3+4g1u9lmr0jPh5tK4ItLFlSd3ZZzMMyFT
CIQIn56bgFDVO5VXZI8MqbNn6iUPsh6Jbu9RVvy1sJe/oLJrTjaq1c/zRJxpYqMnI85n7urr0db1
YyRcnaTQv6xdymQTRa1JW2iabLJXAAfK2yrHg3E55ODtEntK8UVlE0Om2EC7U+6WxfWifTQtU78L
EHzqRGe4GGIgps5+mnR4Qhcn9uBEQWGkk1OF166wMgIwzAlHPTO+IPuOTn54qZ2yFpchPTF14qAo
q8NqBEa1n/LCQbNCYvxp2eKhCJU37PRKuUV9PYdh8WAtqnsBhdY9jau9vKwVzv2qmUEnsUjgTaEn
4BM816GNSFaCTZp923nD3qrM9Kxn5R41QUF3tIawPlPR+7THwgwBFGYsI5kYQV91QpXXNu3+Efhn
NFzLOZpfwoVEKsxaYqwIRM5nOIsOTmceiDW4CcglQ6+W+hBrpjm4lrkM+53bhNTVs43yLJ5WdCUz
7je0IdMQIoKqs5sQsQV1TcfZcBRGa39lLDlHe8iAcF+sjrUjQU8rbudZj24iW7JUjEZtE/psYQrj
sS3uomIug+uln73nNGT5xvGlZ7kr19Um6ba35fXGoATAqVLlfbHB7NxpkUXTLq18IHlMZC1iKOpx
Tq+MVDWPHSntV+WQqscuwM7DvBf9hll71kPe5+5ta2Tpc5tiqfxJgEhY7eCcAvWBZZj5Levtqhl6
r3W681ISvpJGrx45FkBzOaQRYdHp9BmVVdEnABfM/q7n4AXSpURJdVgWe1zu6bCW/gltJDwRxGVf
NREWAj7YuJiJSTxcdCBmqD+1uSILu824fU5LtGCILswln9Y1HOx79ownmUhvMth9bI6XGiRpReJD
W5wNtH/ElKVdoBJhpt297wkS6chipbYziWrpwpB2Mu5u955sI1byUKzZl8Brlyd0KsS6kyBW67+k
tLzPOetSH0tbmdzmuj6a28uUVVHYHCSvZ7UvwxxdmDfykMSYJcpb4dXC3BMsnF9nk4vI0fDnhTrX
DkaxI2qjdcj9qTvzJDvkyYz+h7za/ubYfet9uX3E2LD72hUWL7sahMW8x0T+yVQcyV3EnwkL9Qja
wxhvP5YtpB7AndBWZAoB9KeoRy+IoxTM+jAELt55e0TT18rQxhcpzCFtjotjdvpMV2q5DYsubGGS
GYSXKd+TfKOJNd6ncs6RrbQmRMc0d3Kip/PROdAz0YdpZIkAS2cdqNH7BgGcWXbWwa2s+UxLR9lc
K8PPLrLJzAleQpWCKKyzNq4TQGgKg7TO0/XAHm8xvjK37A2ZBcstNdPK8lfWx0WPXK2sLqh5SpoM
SIiEGx7zDgIV3Fh6hh3E0dI6EZrNUQglAtemYiNsGcYqo36KaiSs+94wJ5mMS8pcvISlevC4ZTfG
0tQk8Im19/lRLZDrIS2qloD1MjNjykeypdlylwvUH12TWARp7NmTuE2YJIknTEePMJLKzuVw7hHh
gj8kTdeOe0+531schtkpCwi7BaOzjvPDVDVLfY0VprrDqooiyLFbgYbBdDoojaS83duYEbzEg9lK
Nlfrli8277kFK5qd9imtVvMTUmq+Gil80ZM5bMOQoK7bhzwvwq9QbI0vpVNE4jqdZ2+4xXFOBiXt
4yUWTUnI9qh1VewZb8x3/aIbNuNqcYKE3lVQvBC2ln1rihS9aTpOLQSoKs3cqwkyECk02iABfh4G
j32qN/0pjjLD+cG/FNHHVUX7EHZer44qyKhKOJK7n7tlMFEBVSapQWialrbee7apFWgAZyUR0/Ta
fSGR4RDshdwtLqBdQ9mMdAlZgV3uq5iCkowozl/GYTEN1TzMjMHr2G9CtTxqcL8/dFGsn1erZYWE
6DdORFsSMR0HWxoLprTIv0ePsHhHmVtCPaH4TcVewuXk8RW6jA4pxNv6UC5DdMUths6+kKpzGnip
7rUh7FdsPCLdFzNckaSaugFvSlgBVXOMqap3HoJr/HyT29M1MgOW8AIRj78PcxAI1LllIM6Dr5oW
5VgYdZeD2TsExDlaa3+AzL2k3bEG20uCS+kvn1Zyv3/IgE5oEqja2EkpZyOp2xy5Kmp7QQm+jOHj
bCPjPrfKrYpdRecBNX9biiqxmFo5N6tOKU2QNBFtFslwuMYkAJO5jeZUXo+W271OQ+VTg/Dz82QF
o/5troZsvMOSn6fnEdnJca3H9GHg6fEYt5KY99qPTUFydzOF7d4gyaR/wPyu+/ta+4z3Yyj2hpXQ
EegZA6WV4z0hSocmZntDfimhSwFu9kkdOqLTUWSRDXDVSccMl29pa3jWmdED3FLRtziXYdZGT2Me
RcYBPpx95VFyoasrs5aENW10cPsBL8qdUfY+QNtxyRCKsiVVhyzz3GoPeaM4rXDt1LkupuWYOp4I
3JjY66pNeky+D6OSkM1bQ4cXYPRNBWwcf2SM64V4pt5lxed2zN5VCjPY47GwF1LQ5kL8LOqKhLdl
9b1PhMbRUYsikd2U0+QUX3xDWzjOXQiXeywBuX1XCR24hyxc+vwMfD381ow10afKS9NzgEDZRVEN
pnrPrrw1yYwy/wpJeDEu2XYdpJPZEMi7EOvvXwNHxDameJ6ue7Lmh4ugH4PpEiJJ9qrQXV/qeSBU
gzSm4tB2bo6KLFyKa46dPY0cxZbdddLmtYCjnhUXtS4iF2p+2KLhLhtBJrzsjB+QmSfnHCJDqr65
CD/nH2aWNlOMMB3OSdxhFnyJFr/5tpbLSgLoXNNBdIozIvScQi3LvgWVh1RolHSnHBWO7r40jfzZ
CKBI8690zb2Pu+uZ34xW0ResB3EhgP2yNm06bSLDAmRaaTc+zeZop9e1N0bBnlUJWyhGmsa5ptnk
rYegUHX/vDi+LD5VsJNyQhEgBT8o9FLDucFG2u1Eh2oA+xiG//pCZYtpXgPzKhBCKZlNEG03KQ1h
uvlnByICxjnynT4BBjbNvaCDNcJCDsv5xgZU/nWyucj7eUZ7XYKt19D/dYFpHqx1UKq/FnMU3pPy
K1seCdi1iE8k0JwQuexhAir6TJPUfmpmf7poTNhXzy4ot93g2+MXh/0pvC+HVk/xHHoLzzRjyN1U
4gBBcbWlOZPBW2CEX6wsvMgCB7hFGwo3ocPc3Co/q07B0IZHEOcEVxJtfhzGKr22VFpgHKisZ+ZJ
DU8lClgUZ20vWXTw6MblTAm384ImmmKf49udr5nc7IdCO6gbsI9puOwFIY6Vr8wa4J00s71fBtE1
te70hTI0R5Dv193J7Nf1ikg+JuBt23go7LzJDkA5kqOa4CL1gySdRoRhbIK80W3kdfVLzrPQXgtc
yjpRkiPvKWo0xQWyL3IB00auh1qQXDxOi094r+uWx7SVkKaNsPreUfPv0jRrHhXWMfOmVCTAEv7p
I3G1+msip1sOEKoJOJCv5HX5gdmkr6EFt5pyOZO3nQ84P0dM3J69zlU3iwWt4UvnrNmZ1nxPmOYa
5JdhKOfLqZb6B6zpINiPxNPe1Jk7HxVWmDKpSY6TSdjS99kR/asfWsw76DdzuEiJH6nxsUKQBLqZ
zC4CMVvd0YjMc/kD++nwlDrB7J8l+CA3oWXcLxwfg+jJT+3sccrpyjsVp5dYa9dk+migDTwCCFhf
PWO1Ho3FtZ6LFT9DNiDL2tddPh67kKEpaTr5Qmnb2xRldqkZiLXcUR0STS1tUqqpLn2Xeq3OqIIH
f5liu1flTBZovtyuDN03UWgR7YJiNA58oAwvxlw5e1xQubqa0EYicRtcQvSwPJKexiHCSopymJ0E
M3edmEKSCi3z1Kg+e6XBjTNDMYS7qqD2/2+Ozms5TmULw09EFaGh4XaGYZJysCXfUNqyTJNTE5qn
P9+cm121XXLJGkH3Wn98dnqm2CeW6jD9aSje+8gWn51z5Sm9ILlqXwrCHhZWcjpHY+ZA3Ty2Tobd
pFiryD242rYvW+3Zw5FZoPtGHCbkB0qEIIiLKQzEnZVV3W1Vde/JlJjWF240/w994jYJTLMHOqvz
+qOJSJi4DESq793cj55JvhgIuS+H8jXEDhYcSrO2/ommPzrSt3yZrr5JFR/20gbinMqm/UDbjteR
Puz0KdumVe7yCm8Kuf+Cy01x45+2aA7f0f5Py2FcIPGupZJ6PjdGWhKFvDV/+avv3XuBlR6dtvce
RL7M6NdFVx1bMKVDhrz2SHxO9jvraAPFXrIYl5jubL3LZsc/6QFfBDC38V/rxR3iXGa3YOKJtsUH
RmKZcN9HzrENsm3HwZrVSZ7WNCL3vliHZ5vi+D7epsHKX6ui4clxtEXrC7udWrib+8Cfzmps9KOa
QBOmgETC19yJbuaLRXlfGabqaz7nIc0EBeqxi4Ol5dWzmX14W4ojaVTlWWQyffatMHzCr5rRN9lO
dXCCayzR/zrRBT9CQ9w7IutkNW35bm2qPtX1RB/5RlAtQOEiPcO9LPs/NEZVzi8dyMW9diMwMIeF
wB+QeYs+TxxV9T6vbnDEnvzxkG9FodORuzJ6VcUG/WATCYzwf6q251Sr4g99Fpy3N7jhfkgrlv+I
UledWKhX+OLAmk9WWRV8XEtofTJSNfU5CKLmb8dlRv3ThCFpdge2dctCaSrc1SJIABSSyQGu+EJr
jnT3wInOvSrS2UeV3XZYgKBdEFNLXXXTI23g6/avbRdKN7iVzEOxGdCwoAGeW2qveaC8V820E9id
2Xe3yHiDg6in7KHKyyLeqBUaDmrgjHqQhUchJA261X2n/bp59+Cg+13grST87TikAsNIPJqQvDUr
APN1g4GS0dr+o6IhVEk32PWaKIFxBO1OSWrD8zY6eF+sNBLyqe2E1nFtUp1kJUsuFj7l/zI50nk4
KXx8gz/b3Y5OuabZ0wvf3FF8FKo9frV074FS/i1AWeg6key/yTJtNq4a9JN3DPndKXCzxiT0TplH
XmXzXqfp8kJFL0jAkC9KsJNLmldsZarE6VpxhLVSAiiOYCPOxjk7UDAsPlbilu9KwqA5BbESrHvH
8IAclkiV4anrlgnHADjUenZzXrU4V0uFmYIOyN1shfrJc41+V9VCQEK0IfA7h56hceOmQnir1TyM
u9VMM8Z+JEE4PgbC7u9ydWv1mG37TzXi/j/QzlFQJTWaeXk3Tjj9mbuQcsmWnN9aeTgxBLoBJgvP
XCx79cGT+mV6V0ZzZk64o8zB68PwlAeipGk+HSNz5Dht2ue0tCgfygzOwmdRRcBvFn1zMHFRH34V
Crhl12Y6zzgFqu4R8e5yrIOu+bP1TXaHG9lAc1nTIdKdty8DOEMMnsHiEYBu/FOuHIQuBiycQqhO
ln+nvnYTwDRFMzktpKGnrTt8zSsk4eSf8VT6j3i17D/lsMx3/Fzdo/Jc6zSrzb8WWESJslKONR0D
Y/k/TdhiMKtmbeixDrqj8dLsJx9D8V72W6Pum5UODRqnTPq7qKvmOWus4pRq3bBcR8N4cUYcR/vM
tQhgs6NN1Lt2XOTA+J4DKHiVq8ebJTT8phFC/NeTg3H2gGfPeLsYtnOTU0VfmuJX3outcfeEtusi
cYKt/eMCxvMaSSjhIfVVfgHSbMUFhZ8PCdhMkhTqBn9mTCTQSIPI7PRxFBpsEK6KNi/RxKVWx0rM
1Kmk2h29uLIUgvSgbQ2zvSNUdE2NF/xugtQS+1VsC9CfW1h3pC328gegkeTrdA2x+Viunc5JTbTd
Pfdvue1Uu0THZWXm9ahteCAexRc74NhsSXoTaPAEyyOQkF0dOxmlxrxyU4CHjuISF48bDWaHbesC
si0z7QK3h271ROz19JEaN3vLexXkHFsKIsIflhDfnENS2pNQUxGHM0MffUudoEUjr1SeP5G/I599
xX3xILqaKuthNMr+x7mXfiB7DdpLIIvwnt5h9wmEnV+BV1unIWtFH6NixaVELL978XMaUz8lsVNf
ky+r+7Rq8Y+WZf8RdV1Jx3AUMqEScxSeUCYsRTwweNbJvNxgS3tclubEQUM1dTlC5Tr0ZhMaqVX5
GGxh9VytyjQXSmZqQRlYF355vN7Oobrp56Gm7DXOu7RMfCIDYogmVDcd/ha5n/MGE+Wme4IMyrIM
uVtocgoxFizIGUe+fH3F2Fcea2jnC93Q49e2GV5eUXq47NzACuNIWd4JkUpEa2xg5ddqTds6hsMY
/ygKsenPOtDKnSXziO6O0m5dnMNoM+6OM9wkHQ7Cn8kzwCkU1oNq5QOgDGv21O+aWtc46Fxh/gsZ
cu5yG2KekalbH525Et+ZO7WnrbfoOxi8lXbDqk6TlGzsO9+1kDBLyBt1HIse3xaUelMcfNI+92Vl
uuJlW5pCHoijxK3RDzYwwUZT0H7F+fE+UB0d16MX/bMLbb9krd/+rrJNJahYo+438UUzmFVt1eXB
Xmv/eQwtrH6AlPa/W8b7PdC511682WXuDhqkqZyGlWhPPbahes+iA0sfGZC3Z6ARdOt+obIn2aly
vFYGD9lVjTO0OrOMfiSB0w3fMJ97/ZPvdOTUZ/xR8ITKJjoCd3jhEXdhz2rf+suV7iaMCFmYyuwY
ZhQYFaR2D4jI/MbHq1f4E2vVkGZHHfKycAin0F0BxdGJPZMF9qmitZeHyiW2ZVdQx9vFrWN5YldS
HujEIJ568vZAFcEVhWK97UH4xop2aYXGCU1F54v7hRn5O93CPn+ohnlpz6JDBBizD9NEKLFjoaVf
SvU7Ev0IAWPN0yumc7xVtEkExBKgnaO0wmp5vg3EUDCXxasq1eLEvVUSgG4VlJEF3jAf2Ak1WZQ+
mNwWh3Xrg0lbXuG7u3GqMATGKzrViLrBaMnnvalAd/eB6pfjwtv/utmhjXuT7z9TP9YMuN+1lfEk
l+5/kZfjOB1ULz/4u9OLKr3uvBK3cYRbmr42V7u/7Wg0b2Fxo6mI3XM1xvBMk9naeRthlzMF0Bdy
P7bqF93Mi3UXSmIfn3FqwnpSnu0GEHVB+2aVXfAcDO3cXPCQ1U28UbhIAT22Xj7ctO2eG4IR5KlL
3dE6pnU3pwTpdXL6TMfUbf+IbNzqn21cN8NBJFn/hZMXTdKXlDw9e9ES4jJXkZNz65d6+Ts02CBJ
FptEeFjWqQj2KwwebKYP1bE3aZR+g1MBlzGwLF+d9iJ5avk4d46Qyz1uUq0ezEJw/8JVAyo1qYkb
3hsb0gYc41efwdgHXy5JutshWh0C+Cjj+a9FehWS+IX4G59VW24kFACTZyhHau8yUS+a74mqgeRo
3OEW86/lfRU0KxZ/M/kj2/SMK7SkZuDodaAib1w0cgDlCSTlAtojF24F1ZjeUR6k28We2/qI+XsN
HjLdRdCUhes71N7TJTTfu24e0McIwjgmYTnesHVwj3eCS3lKia6a/q2du7mXcW5adeGXKq6QDRQ4
9DVpSvFY6g1JTuXXztsazO16Wdq+v93Kpv1MYebBSf8PuN/+pRsiAHfSyUqKxvLatLV7QLNhProa
z9zV5N6oLhWnxXxe+3xxzhFahHPQWzTxIZXLYo8qqfI/wHWURlHnrnHUdq44Itkp7zffo8hxcrsF
K6emLdUb2eURBaVXq4qcFxNgOyXjgrc6lP58cqseo5Jtr+ecqZOSyZUVIe16Ob75MjXhAW9cbt0P
Fob9sxPQ5efffLBL5dj0G6nut9H0xKWYTw0xxU7ZO/fOMjgvpcDbG7esD8zBhqTE2FLrGNuDWGju
XJvqXRNQiZsdhtaPK9ihksvGzz7WtuyvjOIQZ6sYClMx7uILd0OzfdmTIloiQLHwi3vv1pAIQ0Gr
3Ero7OacGG7shdYuARb9kVW1ypMaUVXwuLFdsdnLEQtU0Q5T/sqmKt1dJxn9TmkGplPvAupYtz/j
uHm4GaGLaE7NphXvOXMEiQuHMVVscXf15IZLcRBDR+5fsjnNEETHog2i9FPKmVg+H++bFv+tA0lh
OwYWMBgN2jk/2zjVui3OprHOzmvZ5kqCVmLOQsrtiJHTPxP+dFVzRQbfoc1INW7O6mZQ/ij9PHOf
2naW+UeQp6ZCBDCygtZ73oyg2beba1sPrstmHY9BP+ujaclJ39V5UdpHgld7AG94mujTxVTc6j1C
B1bevUFruBysKcJo3pEfEEHjAkwni8Dzy0qyDuNrDwGDaZhXUxVvjldmacoCPYLZX1qF0W/dt74v
tEGburTZTbxZ5RbxHgPzXn+MAKWxure+s5x8YzHhPTSFJ8k456lhyjeI5w45I4JmKJaYNhjWjPCX
uyplWoBggixjRQDD7p/q1Vfr01yqou73fV/RTavolxEyXpHz4iT3KCsrih21XoE8WeyuZBQbu5rK
Y5ZXDkPyCjjvIA43ejopIOt1P4m5zK+l2/bqkZMDgd0Oahc6EJFz4XR7co9xelF5ao/+rWS1b9Fg
LwtKbvoN9dKWl7Rau5a+pFzP8qcVcpDvTkhm3x2LbF8TNhOoLKZuVYp9DoS9Xft0qrge7TR0NO8f
+PKv1iJn80BnG1WLkP0cbo2PdOTc0e5YPgCk0VAb6WFZzhshAemxrdIo+hkQ7WDvR8FEa+WJwqvW
i4XxTeTv1erf5EBtpljrD5BXi7wEa1n7qF4XxI4amhh3+6On1pBNfTUVDpKTkgirr7guUZ0DSLts
ojv0I/nfoYAbuw3rzTi2DM9p7frHarWVv7yMZZc522tkD55/REoDF8+kpIV9VKAxHtM4EpMBL31P
OwiZHqhd9q1sipkQf6Gn62r1qjioFPmWPMNe6PZE+ORqjjpobe8wlBUtyfg/SuCoFr1neLRvQTbp
kbNhscfTYPMSofLsoYOrkpKWHyiYClO3R9NAlvDz+cNZbWhJnuk1WO1/RUi/zZvgrej+6zMLYuWf
T5sgDLBoGqSWaIM7ZPwZxqm2qBHl2xk3ke1zg1r7FXzjVqXbj22MS7gpjxX6kiGxlLEXIGGgYEg5
cL1dl5lqevDI94WcdSnlvNBqF1gPxWjKdr9uThk9RV7UcI0q2hnpGRi7pWhfe1m00T9rJHzlRCcM
drYqr5lQ/VRvK4xxrtyvIqgJuY4D0CznmpWj5UKlEkjwD5O3Iccqt5v64AIuj2jwNzwDVGes5XQ/
t6J5s12WZdrV8BP+V6y07iVk3Id+OVI+C3hCYSAym8xpz9uKEuFt8nSd6kOpLL94KAHr3YScZkK1
J1nn9hFvYBcd0IZN2UdbMQSdhbJW68+NIwjORD028pPjsdP7cKGF8ldqSTM8jH0nrZqOXSejFbnq
su0a1eu4NEDSbtslU85Zx20xFSulBMoK3STcsrxraZQM1ZZEeB1EXA1E/nFVEtL7FQZj5n5qwFD/
DiCK4XkX2VwBr5UIrOrYsDxY69FxunHz98E2FjjkZpSHwELRSLIjRgz0PtUEJmZjJZyCuq4GxAQ2
fSeJ3Jys6g8TY290Actp9XljPt4+OsFee+mtdLJstFRDH8XdbLr1jE7H7e/nSfjhP/5L61iCX7bV
D8iZORbOQCMsZ8jri+VQ36oVDasPzv/zUtDom+RgYWmCOLGsXuwWq1A9NWwJnIkWJWysVOvMVuFV
S8gSk/LRPOA6a6Lf1D1iPSaGA6XuZSF9pb6MSBfSo+twVj+tAf9zkjZxdtQw26Mpxp3o25AZi8yQ
dnrSPRfmfhMDGZnxYNwhPeP3aeukWmgnfu0ItPJeOD8QVRzh2bf6paAEpooNiQQc5xRp1YYKbrJy
mb3nvDYkWMlm+iUqbbU/lN3b2U+Ay6V84URuYaI6gfNv4Kxx7wZL9yIBqCz1r1sjQHbaMhCmLzmk
jCpJ6YJNPd5SN/p3GlSiKsEGKYb1ZVJKi7vKWbQ+MGLCn5lgI5NhR0C8qT8I54NFNTRsZdtlm7rc
T4R2S+efkGtHEZitw2cfJiDo4FgeZUa3ExKTwucf+ViYOhXjnpmVSuNzLedpTQKt7aE5AAf289fc
ORqJGTPMlPI8TQ7hoTuflt3iCgyiaD1d08CPHs0W8nvabShNcvWN/2Ob58d5atfq200lSyEwVN7S
hFzNzP0elQGlvzK9gFrt874nzInsbiKSnEkG1gHR9gQX5Tqlg3WmqIV+EVi+CYNZbvT8q1u2YXdS
EzcpWpy1qogUaqKhKT6DeUs7kgzyBbXmDp3GvK1JSfgF3QR8vL13n/nOJB7YoqjeQiuDcOOpRdfn
IPtAulViR9MdsSPc4dlH6hJtUx46XZsMSn8eA4bVeZYhfepi4ptGCOqeCxrY6ErOceaTZouybiUd
5d0XjnF2NMl7f4mFGj7nfBTPtaUCOryVpe+mviPliLpGSjGoRiyiB/qAPQS7teBgRxWhqQlJcUxv
hyGsPVbtGgRQHwJ7sNse+mJWL6nrDU4Spbqsf/QM7PeIlstdPt0JUT33T58JSRyMZM/bRVsa1Eck
kxMP7VY6+F6IuBC0N6yDeFjrNk+GtKdQttAWos68RDBnOyl1t6OVWyDDjhieGgLXTmnYw6EPulen
rdmGhxVdGMXejia5i+zFmFCrjHy4AisBzaTiUY3QVlAxffE5kAp5zGcvuPhekNMJEg3e2fEt6zMI
BH89tUB4gi3NfnVTJOM8UPYX46Y4jjS6Xul+WMgN63yzX7mJkqmF9AsaX1wG269iays2eJ0x956a
uZ7JkrEsUtC2yY52VpkGEIvGf8jWoYldb/PuCfOwIY7BoM9tONevNrlq+wAH9AtRugSTbhFWJKBa
t2fpppNn5oT41bAZH7BwTR8SGfG+xcB0lLSoxl0f4r1Jl5EyZ4fgNzsbuleWpgbwzHLIJHSjJr2r
nd6K9p3bSdxxsvogCAZaWTbrP5vsIPMItZMxoQ2VOKkyVcTuLZXe+zzjt9NSud+V2AZDn46THfvA
6CHh6xF3ZkryVvj5Qzh5xZ86m1C2kNzqvyOYRZchTMB0ME/eeQiacF+nKr0jpR2IkTTJgYEvJ+DF
Ii5kz/naIbZsJyQ0qc4GRJPDGKuuqIl7qNxT8X9tLrB6BPC/kv/DpWA/eCtrJ/b0VD4pcnLknrCC
4c3WBN/AHQzq3ivXhYDhnAcxG2gjLEtwmbODmmRPkEHjQYrKDZ9ja7nLPhyGLY4sYx4CPaOUkH59
dPH+HZxGI8XhUnF5NPqVPMG0KfYIfUJxapY+OJYmzGDbJHLuaARPhBX+v0MaXn6vvDJnU1+Rw/tq
FuhuAU2OQ6DEJ1BWmXhjsR69cAsTWDLAwokqiP26FPl5RZPxaGTTXEykmNaLOdjAJ1Gx6jt34zVl
uatfKwvSHsQgJGdSEspz1eTtXU3fhDv6fwfck5C7AJWqRuMVlNPEVoMbD0ZnWxESEAS5JakLbrT3
M3c8wBT6zQOIpHddXAFLUZo+jC23C62YZZ6E7cbzzrlXEhlvl4OCuXDTc8rZc570QGzMVuqz6kEl
q6aerjl/+IF4tnmlBKp6DzfhxbMGFWZnCNUpr73lsac64o540+jepqQL2VcUlQ/OvIBB20EgX1Qd
ISnzfEuc2rm1LinpCP/ZIDwlx0sgO3Em/KuwEw+Bw3ubWtWbXer23W1MdHFX3PPV6ECMOmbLTkyt
sBrprHx1p6fwlySULOENpidVO9tdB3RyNy3F2ELfOMQY5qq7z5GzfIR9L93DUJfeoakJsdjfDA7h
SehoKHeq8ssL9gHeQoeq8scBf+mdH3LJKMHjjp3HUUT8L4aKg8oZ43UOp+kiULzsGfzy5hbGpx9u
7s8PLGXmsBJpSJyYapLBbFj9t8jt3f2sm0+e5/Kap2Nm9gXTxmGwovK+q1JJLQvR+Q+aywltJzwn
twSc1In4VF63oNHpG1D0djexoX9oW1QXWO2BdvWQic5rQQczFzWxSqv5KerCLab93CdSfC0S3yvk
g2BEvSMpQ8diqza8YQ6D89O46H7AQtAT6CTDhXq3gi0k9d0scThzfgxa1u7gbuxWtLTKL+avyJwa
t7HjtsislwZjxykMJcvtrg5GymOJHf1dcM9+5pWhyHcqLdJWhA3bRmgDhUgWOcDEFy16hsoP/O9u
SNNX1Q0CrITBBaRl7CP35MF6VHvTjfN6AAoRTUwwY/TE4rSwD/j1+4hW+Op1XvQ2ha72zyNY1nGS
29I+bshcnN1CHtN7ljb2Q4bNBYKii54dMKSzTQzsuYVI6HYg96GTmNQWxwy8+QcBpu8/reuoX0Eg
R4tGwX6K4onZFXe3kwFfbqYQWUz99xwPfd38+M42n1XgWxfu/2J4G4rai+I5t6lzKkaEuodOduGb
RIdJdlu1OqwR2MD4rrOPjx46L3ioKK3w0G0543+ziJz3myIixBizqXNLis4hz8qmPtp9pMwxc1N7
+6AyVBZgkit//8QHX3kx+JmY/marcqHVqhweEGYftY+9ujhDCmnnZ23QSh8sQWHFAt/RCoZBFY1F
86jTglysACVi+YxNevj/hu+k9Nf7k2GNTO0s8q5cd4vgNJY1QoPUTAvDkYVeZUTcXeWxLToXGXK9
5dnk7tsI+TsT46rBzDzj53eEcSqkCPCEC4QxX/0bIXnNtFJO/XRlAovSHT5678lf06l9tqKKYnZL
hkN4boG4BAskZ+GFW3AlpW1CAZJKbAQxUXcR05O1EF+PAgZk28r8ofqlLCdVCOuQzyeaQ2fblXoi
jZHWhREtYhSNnyKXLIph6/mJhbdW/51ZCvdV1PT6wtllfdmMGn1MjxM/vXUz/Y4IP3m5eg6RXdnP
JRmMKjMyEYWQ6pSuy3YB7M+fs/pmGNkKW4vPTvd9/ztUOYqGbbGo9CG1zQUctUIIWe4pRmCiC2R+
ndBnFru0EDfl4eqmfX/Ns2WUb0rwMRxJ8Yr6f/U8lxbSAT5/ZtWeY/8U6bGXf8BqlwQwA9FrLYn+
5SrpqvLXaCoEt9ECSxvrrPGTDI1v/42nptPc1iZwXroBkPAO8mVqQBnWURJPu7ayPRutMDUd7Enj
GN/7ZvD9Myjk8MZS6pJPPNEvT+4SiZVjazvjk1obHTm7Ll1aJFU99/+tK0V6cUdC7vbtOwNwZUl2
r043GHQDgpYJ3e0GN49OzCAE7O7mkRMqJh00BymWbiooxZHgkQ3+ihS/W3coV29JH2FHrcQn+OF7
8Ihla0bbrr+ybWZn3XIwlJ3CQz/go2pe5EysmSGqJ9gvZTNGJ+XkbTJNdrneWYCvKfxFWeUHzGbj
8o3re632aZHW124VhXxOkd/8IEBeinOg636FseOCvtnjMF+0WfZdj2Lkh9tKYLzVDk60wxU/hUXG
K+RaEJx0ZJs71L8/9ihDDqpC0nD4ua0DHjrgL79ekgCdarfPxCb5N0tYLw6+3lL2AxKrlrpRPsDs
u9+EPx4nS47eFC8FzCwqQrIsT55RaVDt+9a30J+z0kX2aRKssvsAb4OdEKGb0j+eufPKHoyFCmlW
GUZV/tQs8M3HOtp0/WHpjhTYoB+irUzmVebmD9GyQu5KxvaONiB3xq3l9gS/lrLVP5uM+nFHG69Y
cf0tCHLAzjcEO4rKgWj2JrCY1R9Htr2BOOzOdtR6RRct8XdEmfatd7wekVszzCxz9LeDfNzuu1Ij
9xmWHA2LQQJW3qtG5U1sz1lZAFluemxJnwWFOZAAlwbMomMVwUOjvF9P+VATuLU3hFn+128aMO+y
rGgy03gJ3Hq8+FYdUXA+FnYrcZp7G92i/is5NJMx10BaAygKY9e0uXGfgnwjTlmqZn1QI26tlnLO
QfQSCY8WAgMPODilfr6DGhik067iIN/M72Acu/HVm7KKeGOCFXiMmV4CInIbax6qc1lq8U1E4lbx
rWybiAq/D63hk7jKZSZgHIqevENYTLMbZGgQLinp0bI5Ll1DfuRs1QuvRI0t+9FpxcK3JVS4cO71
1K3Ws92qIhDvgFVFcLDDQUXHXACusyEJPaCONn479PtQYSi7y1Ap65TAe5XV/3SpHPfbiRQ85qHp
Efzasw+vgp79ua/qzLuw+BI07EqAnWd37NCjtmRiLNc15+N5HQDDMeujfJ2IQinF2S+RQO3s9oZP
kXZuJ84AQIo6fq0hLKuuPVt4rq6cSRkBnXBTF3T6qAip/P4uYRXjEi2SF7sMTHiaSH6UKl3sZIga
kXi9dO5aZO3z19BpzqDD6BXpkPhqWpwoWYUYuURxpfk34MOo5UzAgW/tXf59Jb4IK/i7FaRVkk42
FH+kpfVxXjaTH12P7AWgIoAMHlIDt14NisRq5BMO1ZYUHu1yeiaTrtLDCtrDL+Dgk8R4P1TYHjkU
2uYZCWx6cTu/fTVIY1O2yWF9ILuq/9Aj1EDcuq3YzURyLnuI2m559KwBlawZAlKqQxSw0xm9xXYt
PQ9TCVpcArzniWsSiBiEYN7NddQWx94eyKmGItTnoVLFYxmNLGF6dfMn0P2gvYo2nXny7SV/JiOJ
Ckxf2ube7dGksERDm3pQovMe8G+0H5sJIvVGfaJYL9mCXwidDDG7VoO339DkubusCouGF3skvYCy
cTc81Bhj+oQIftPv6azo4k66+W/PoTWM5MnQYYcpYdIqxOYWUa3VeKwmVGwHkaetHROfw5nRg7ju
8xCsZTeGY9YljXDUdL+Ngi0Oq9u4IVcooaIwEq38uMxu0eeqrO5NqjokBQl3Dudgn47buSZ73Tly
mSxfhoo5DkSFSqerZvVO1ozd7m1tNajK8CANV8L9Q4ygWxT3JZnKMRnJ4gzY66kkHQ0RyJaCbiug
wX8FS07KErW75kf5OHavvYzml1ot/niW/ja/OUsgAVmsiT5scmnbhJ4P2Sa11OI05oW7sj47tXgc
QVKemjLvL71Yev+hl5q4HgI0d75iqtb1sJ7trYrOix6Dsx9U/reM5AI+oYDHhSi7J7bjW2xXnk71
cAhwdnzLKStONW7ME6+KOrCtLAxgI6DbJTfsdmcHWwhGzXLYovtuQCR46i0UMYntGea3WlnwpBbK
VuQy6QKxXkfKP8peDQc7Z07l0pz7H52trLbs8AHI37ZssdPn3bUAl+dt7rT1GSlom1enRusUp/MI
4CGwtOHfUNDG3NPEjhakzXZa5ku8zCNUr846pqaZKN6D6yMhAC2IpnM7OT5FdIwDrwO9Zb86r0/B
v2o5MV52dc/k7trRY7uM9PHCICEhyL3g2TgFNr51Nc2hajLb7NrJmp5SqyiSrbTqC0Guw2ERM7qj
SZtnmo6YjIcMlWEzD/rBVCW+Fl67no2zkkvszBS5+T2DB3yx7KnzdOvHnmdu7wFwUoVn5+VlqNw0
dtD1Wuj8LbSbAaC5gjDW3vvEwTSCpEpxVKGFvCmn5/JGv2cTCLBHnv4eoKe1z0OoCysOrJ589pT0
m+MG/XWxkOYwe08YgBPUMAicN1nw+uZl2+5rLIlYlwoXUaCy6cTYuVPgm1OOQBy/9UKgbyFdEcUO
DMJJ24uTlF4JTqac1PqLUVwdIwqn/vgDmlx6GG3v7E4jgphmlK3cuaCJYCxe+kfgK/olynqy9gOq
qQsOszZR/tQfbEE09qe2He/Vd/18QyEAS/Grt5z1PPbC8ZIGtojNkKxgsoNhe7oDqYzVX2uagicS
QK3qVGMBtmlBsRADd/RZ1D2+QYHp8bkxXRnXqJkbcuhXdA2dRag7GWH2uYfMfSJQeHjS2qvSlxxW
9LGb4F+QMwTsUiWCI4B8Ok537jxm/qFh/Wt3uYN8drRbFsClqb3vYGlM+tVQc3wHm8Bb1jQescHd
lAWYsYG4TrpAtVbvNLLTx6km7BHTO1IIy6xQhpwGxZsi4bU4ES4VHBw4IYYfoqUgk1fgMsTRhS3T
V+E7LMD6fxSd2XajyBZEv4i1mIdXSWiyZVue7ReWXdUFJGOSkAl8fW+99q1bZUsMJ09E7CCahRGs
mct/ZlCjDWqcXf8GiDkPVcIr1i6eCBkW0lvsvYtv4GXJFsy1LNTsw6CGOOex2TUccgha/AGGRBzM
1vFWOhKYvnDKMM07HhtbKayWLQgjx4WEcT/s2GBmD+A5h3cjQdZvwjEo+IAyM2KXZsPltswbw1gH
WxNW+plDbxFfIij4p6YbvPvYHWZxTshSJHsJrZm/QPekk2y/ceUHMolgQEWlG04zbTbtnuBQg40X
eTUWO2yrmBVIBNiXjOtDHnEeTD/4COo7FS3Q+9tWT2S7IRTtXCpC9D6UZcSeQPgPeD3A2Be+ZJuW
z506Ui/Y/nReU5kNa/PlxP/sPXhdi2eWb9FyzxELaOfSE1d7MDTpni1PUc8wRv0nZ9eWzh2ZzMvJ
9Dpgw93zFiVNEvmGtFYkc7bk8B3O4+2w2nSSrBe1nFqc1GxGNs929a9ULaeLfg6GfysOVX+DU0YS
eqXIgfeTVWv3nDmMFa8mGm0GBR8cfJg2fQZ+lhu4PTfUDrQ366Q41vFQPVl+5+eHprmlLY1jiFE5
JOvkmyqWtbQ3oCxD3GXUfAT9X0JT8g7Ch1q2xDCxTCplg+ivsazWKR5uphGb9hB5IMFGswrIgYph
sJnUEf0uIVMDLGTHW9s8MrwOwyeZEZLnGNQ8mqeZneLjCunvDN95/g4V6+KltxtcQkn2WS8kfq63
JbL5lFG4kEZD5e22U+ZWX2K5lW5yfF3fHBw1XNFovLgXM85jD27ROPauIs6ASS70yuPQRG6897tR
3/ErQl/ghDD8o/Mre3NXR7FPljj+RF26PkIPvVg3E2a1Qql2x+gQoYlQL4AzLiengXUmJ4aIv0hn
N7taYdYvHo4lGg6nci9HmiA9i+CO4nnMZxLThyTIKFnxWo35Ll5taBOq9j3lQ0InCHFY3XL4dcOp
v454EtbNUvssHbkUUP5rTKbXKnbC57ZWFEJgw92N7eKkVq/7lOeL2C1ujFd3xEk2vwa3koRgFeMB
L10in+PWzou7IiqK/gAPexFsXatlPQHMXYlZLmR+d8hL7r1qUKkssjGnDmAqgbfoVlO0GtSbhPWv
p/jFoEtMjxlWu3POYvyPBULmcygAEfDS0hlB5RiXTUPWaG9r+/bYLGA5cODwOxSf0tqHKlDhcRa+
TklL8dQxljs0u2VZiZOAgCEfA0huwvc78dl1xCUW/l7u+4BfukNe2E35FDf1JotnajBnXjSxRXae
iemAX2P5iTJljoPUQAUYZ+Hb+LccVIfp4T9uRCCGaPTjA8dKF+Jd7NfPNLRnf40zB1xPLFo3Q1vr
w9rp8YKjBXFXmWyFby76x5UdzClYXH2Q81pjzJ06Fny5i3iZ8rlYL+MYkJkuVtyqIkbxZ7Uzdqke
Qz7XmpNAapNO+LRz7s1/i90r+9tasEy6dKKInbOUTOXkkpudjrR8JHQUn5Rjs0Sq9Ej9SZjbAUJX
nijcsevMzqYFK4qX+2XgTHNUElIlp6tWHEo2wpj5gwVTaD8MFoDVyGGukAF5/b1FDG7crZKdOPHq
kG82AEzO+FStXGX8Z9ItyvDx1UnzMOhWXTK+8Ht8QwTMapoYuO4GAsXF0hBOkzlRkygGfctx00+J
hMR/1RSQSB2U721x4QxZapSNSgpwIyEFqKiKCEgavAZN4PXvoi98JKU4MpuKzUp9DKKeIG5VqJrn
QkxQHrG4DQcqH7wy3/eOD0CAYw1VNBECQP3qDGNAB23Lt4cUj8pw1F6kYhrsWqfeTqNXJMeGVXKX
1uBZsL5EqOpkYXWYSAc7tynIB7mQVBCboWoCS5e280TOdNKXiTzJY1NUnHtjw5L/yY4UDn5Mkj6u
BnS1g2PlJcs+vnmqQomvSvgfIy1eQqyPgEMVf0VIkIdA9ceMWPbKnImZ0feLsLnD1lyae3taKgx6
ZnLFoenHGPJ/HEDZL50+ceDr26GPWgk1DBd/J48By5sPzKrie04q3eMtjDHH8i7q3waLc5TNu7vE
x4cvTx1MaxWQD5zgQEaW5WOAQkr2tZ8xJrrirpqy6qs0dfTXi/3wWudJ4F5WpzHlHecBjIy83edm
V7BLYPHK7vmhhTXzJ/bq8lHxdV6xsI+EvKNaxGhi7rzobTj5TnYC/eJ61wgvspd6LtzIzcJOfIQy
Q4hhGxo8L4gXNbKQzYmMBl1GbzfaIDdoHIY5o+k8ZBbDejLvM/7C/+oGfg2qOSUJaZSX1JYmg0OU
URRjEu+XkomP1AsWk/doxq5+iDMML2lkJ8lpmUR88Pyif+wmWU58NMBFdvw0I5EizHkn1YLp3Zpl
nT4McLZ/YSxn2pmWkChzGzKhbaJqWh7zDlPBdrZXcAkdDqj7KGTt9DDnq+HT8WiU2UXdgKIcFxGL
7CzDwn5Z47y+WlFfRxdr9XCyBFy00cEyhTq7q7Wk3eKE59qLsz823MHbU5gKCVB4WNYuMK+adbfY
tox22Hfr7lxQbPxYl+2wQ7LMrl03q9cKS7HaBBmWr7uO+SKGmLT6SHQVVr+QFoSKXEljwTpeq4a9
Wc5O23xP9PP19S3ImWFxD6TdHFHhzWMusmwiCdR06ZJX/TGYWnHpZtc+Ql1a3E/E+hhfdcXkUAh8
yQx1oxyfLU70MMd1FsenRQTrEVVrIQUntf+y+FOWPGKO4ETXd8R8Lwn5ixUzn+XtGk0eQc10NG9d
0IXeGbC3vxeWi6lqa2VUlH3VzuyJ16FV7Ywu2gIgIo6VuMzHHb8vajkseoJcsnBeSfPwYMDi4Lp3
Dg1HD1WmqUaDKdiwo6eSiGVUF75g8U+mK+78iEO6U/AYiNnioVTAP5PXxA9WeUdeFGwgZxzCAXwr
Q/XPZrTz36h4smjPQUQyyWbUdnxnDMTAbVd0OCqI5I+KJ22ccUQsATD8dXyt9lFc28HFkiMuFbJQ
KiAjMDUrMtaGHZEdBxtIUi52q8SjgUZG03LhRpFpECgYRfVMN6SbYH8v7Wk6rBYbxU0jfShCrZdU
2R63RnAWC/M4gPzwviHYQahi8fIrud0ef4HDkBBy7rzUmRv+mFhQkse8QE7lybUIlRwBRpEYAH1A
ELjbTNj6a8KUDT3nlypKWjeNyEENO82eHeSDs5jyfrrVIB0ab2TlDUB5Mpuu8kp98DqLPLAYJWUn
Q2ebb2IygfcmyV/9yIAftBiod9/3Ew9BQtB0LJ6loQmEeyRMcbtP0Z49rr2efPZF1BGNNQUaoU3a
0cCku5+8HHsloB0fnaOdl+B7mk3oHPMx4sCN1wmFo1Ah7w1btBMVU3HVvwwIXHQxomlgJty2dcXi
fmnBM/+r4Y2KDwQIOz/ibKAc4iZ84xWR4exj1A/EsI97j9NuFfS+v1P11MTI65E8+UwUKNJur5p1
P2Do4tb3SbbEtmmSOw7Bq+Z3jdefkKPsfTeVw0eGKlU+RSaIHlgOrdVu0EM8wONB/aJ3TJbWf40Z
Bgd/TjScETF5kqENWtQ1AkfF4lkTGI1wODtiPA6KniBgQh3sDwzsAhdp57tv1tTg/dJ+E/0AKLgd
3IwQufhSiTMjSi5426Z5ZqAOuTUo/EHHgS/DI8R1yTG/46nF+QWmi0fzHu4TLlHJ+jZKE9us03EO
XDhSNYvlD69qWauwWKxYEAUmw+LUrPcVmx+wXhIX1Y5fviOHS+FwpieB+D0M3HxELp5p8SoPSudN
D4DNsJboHWN1J634PSk6z3UCB4dI6uPULu54tZwowyQZhiWuUcUfCUvnZnwZ1ZVbeb7CYnLOQjf1
U2CoRdt0dhb8YcMfX/CKjzvatGlJ2gRMlqDbsHffUF4q/HTldNuIlDcdtFiJrJ3ZC5dfXp9EwYZI
vffQB+jlrE7mpgp+EfgxSWVoaxvR+dUjNV0RoRXXn7+hkCSXvMI/ma7ETWxSmvZymH2mhsPcWJkP
pKWXQVovwn5X+OlZKPo+xL4cH/B45EaLgMP1RUmNTYtpojmvgVH3UtT6dYixD5MoyU19gIFjql0g
moY+rVm0zyvn5W1givphQPieNwmU6G2GMQRcBN60CNPgYcSsk1oc9f/j9icVZSmX6cshDQqwikae
Uz9Pc3ycKonKTvBrfetXbeZD2PiW/1wNAu0ux7xab8MEhssGN1fIOj4Go/BFvHzlhlV5mFyVYIu1
5WDef8T84DOwC5snXMNIcaYLLCMbW1gsQP1ZOXqrY7V+YaoffzgkUM8gxwU6XDZDkIpoRDvn2NX2
KwfAF6eoVvYFCAv2fiRgJtIGGfVGNsJOnu09x8YcJygAtBFWCjzjvDiD/cgDqr/2eVTiPLNDsW/j
Vl5mh9fflQiTdi+JU/tnv/Ebm9M4WtkJq/vg3VlOCG8pgRr9LaBUxA557bYnkmAFDfjsSMbFQ41P
WnzSOxKeZIDxE4LVpKjqykvHPOvRad7ijpmvTvIpRdep+ruKmlNqZGmmgaHYNr79YYoOnm3TWcdZ
dS7scrMszzVo5BGxWXX/gpvtdmvqYXCfCBZ49Z6h1MITWEcQnvyiLJY0z6z+vmaWuUBOQDNIPF9J
9oRYJE9xM2VplLGwqvecQRm5xtg0/WEYOUxiyF99trVWYl9rZ72lcxev7vFRmdk/OkQ9zw0u+x38
Mlpkw3xeTzqjtn6f4UjEJtVwrePRTabulLdzcvSoR3wKArxHYLmc9rXDkv0noT1r6+J9ui97Nfw3
B5Xn4LXVMDZy277wItXIlzL5sIlazptCYkfi6vLNRWNcp5eLcj2QI4oAZ8fG+QmthoSgY9DkzknB
fvJ18dsSd5ML96T5psvX3mcziUhG9Mzmn7ZBKqWF2yNvcB7C0MnQ3vX3c27DLS0N+R7JjsNN4zBZ
P+pqav5Wi7HOdmsjcEjpBzjMBkbSxMppQ8XNnryUiBP3fddXb6WeMBDz4UM5C7ghdJjZA9V2jh29
CmUhgvYm9MgrBlgZb/kLjAPjGJ0oKYdNJHHL45ONhvovbATiEoU/swz17Oj2oFxQx6DV9b8rFYHX
tVzW30JH/puVWJSIwWpsrQtrk5KbBTXQY+3ReiaFYbyKN1P6MS8ndis3LJqe7xDuo55ADy/FU1NG
+pSzAQz3CwUgFqz4ejrwYi1ynvBieuRVTLXZmifNPq4bZ9lUvSMO0VRPYi+ksO8DXfF+sJiDQDpy
RVkgFpP2lxUxxNGE4AVGCCo4z5zJ1XFdE1aJtoYeQd6yPnFjjvjGPHkacHv6G0qz4KVnLYYk0FUD
r0L4ZkRlQO134U5B2ijQZTzxx7ZNkWK5j+6onx2Yo/0Eb+/g5vjhhjHcdY0kHMfFQCFuniWEumNA
qee+pamVoG6/tgRuCdUwuKGlIRM5JKX2pEUA//sx20szl/pF0HVIiq0nnXOti5HRPFsWsYdWDZxv
sif3EQzD6h6coVHFaXUIZ8DRCovXnm00aBxnkMWFWSO/6IJQCzhShgge96u98fskaZ+QjNfhEb4i
ziuIeCq+n4cIfa9dGumdO1R1rl3Qi1i4rFwuqT/qTt6ty9KU+HGslmyblxCYz9C6lm0eeiSpRwn4
ljwVzsId3uHR24LMwCGZ2Lnb/pNr3D5QvhZ8e0LFz7Pl66NvGZ5LVYGR2bHduUX87ZDpfYz9D6Kr
Zb/HLBM/joHTvq9U6Jm019K8sE+MaBMiy0I7dNOWtv7KVyfpgIvFCdpD6Eg2G+NEZF377B3+xWXe
+N8+R41/tH0SSx3EHH1FnQv6HANJTCR9iJCXKKG5em0wBPzWZl5fmZO92xuLjU29y0O1RseaA1b/
FuqsG/7WOs7LX04YJfEGtebVmX5OQucIQ7x5I/S+FaNsHfv7Os7pgpNRE//rTZC8B3kBQAOlm9c+
bguuC1RWpV9ZBnJnpiMpiIfA0k72iOUQI+KmsRdE46WMg48wrv3rbDlVd9SyXk40lWKAcJfuxS81
xirbpyLYUwZ6lEyynmaycljOog/i714CoPrTksT4bQceo4iZYTv8MQGFlw8ZPgvvBMswaHGWAeYH
UMObibAtHvP+m2OdXP4SoeqqHbFk9z8J0r55im6UDxstwMMP2WZjexhwCxERjzlQbrwoi8+CJ+8l
MIsK4YBE7o92dXj0Eg+TSdRTheRlIVe5om17a0eRcXBueEMKYIADWDcnhGaAYKwngStq/pSTH8ov
eBuuYM5Zcv2tXGkMb+Uy/MBrYNQzV4ozvAMRlLAj5mQc4+3MFpAAd1c98YwAADOYAuuHYmUvQyq8
VZQkd5I5fASA5gDEIu42+cemmpviVAg3/4elPWp3PKndJwbX6Zx0K4j3BK/FbyWb/rMXM6ELkefy
SMJjfFaAAg59PPQ/GujTg8Q3oV5iOy9xr1hucglHd5YbfgobsRk/JLAqph7xyy7e0NE3CYwqBGm9
uOWvKZcgRR0NMrCtWP741rwmMH+ztfSAFgOOV9MuEeC1v3hy80+uDEwZu5/Mf5AFJ6eFyck9Dz6i
Cuan1UZ1MXR+2rsA3vR7BeOjYvkmQFcQNomiLR+j88WwF0FiKejQhiVGpJgreramYheBFDZ7keNT
+STEIDABWtrXV8jvXP0bl2RNfz8RAux3rVpg0gRjoQ6JiDQLsw7P0I74YVlC61IEsfxYt85TUOqa
gXxkI9gNAceGtaxji4ytGgLArap3u5PtrW2A97Wf/44t4/i9KGIWwHoQ+f1MDuKnTNDa8zRHusOj
ZrtoqB440xn4RAY4TdVrceWcjhNKDRVqmJrna+YBzzZbck32kQUqCkpLFOCni4d8faGlsIH7iq/j
4EmkJzQ8HjyQ3DJ7Z1y5yGPBSxfjMld0M363VRteBFGUFtGwK4P/NPXjNi/UrOLYhqmUa+YGhZTZ
lRBWV781JRTHdGBKE/vFrfK0duET7/OsX0TaDiJpQVBUWfPHJrznfHjh6mBh8CEUvk3kFqqPGA8C
siie2aw4w6x0XxD9BNuWEn5jZUdJv+l4dKW+n6FLOH3RHVqPh23Pmb65j8xMxLrE6XptHBWpbWSs
4Intd0bJvQPD9s/oFhMXCCTRcDww2pA3gbjIoVe7p4zBxt0hO+HYi+ehsHZeMhFTwG1E8DIoo41N
yvPQ1m1/Yqq01uPqxpb12o5gvA/xVOTlTbN38vvVs0Dsec3syztl2O9fRq4eeaiUSpgDfdazuzwv
x3uu3/Ud0JaqeQf1mJHliOOko6MRScQp5W8xDzTDSK8VFTGOQnBbxL6nD3YAvCpdJsfAQBML4QqP
kzrkonY5dbMtZjhlbp0mGL9ZnhHqONEpBzE9iie0lMYlQrmpnaxLB6/L7xFFxEsT9DhChOc370kN
xIQTTlf8oGblv1A9bSgkRmPNxsPJdwuLZIsr0gMyZQV50+BhW4NafVf9ElLuMHPar271cmkEbmef
o1mQga0j6AZJAN7v/YY5E8zO3M3pwKyTbDwPLZRrqnOHFFuo3pH5gkJGzgLuEgummxgPMRLIV9eu
G0eHcfvIIp6Af1m3rKNjnF/4ggK7ZIviks5q2RUEBD9ha268apVkHJRmo5KFi63S1WVvyXU1LE62
i8Vq4q+eBxLY1p5dxgtEQat8DkuWFy8IiUwEiQOe/cjUsRRvK8/BPHVzyphAN4tTg54IfSbTh6Cg
QrCo/OWMFR/wG5TR40Lmt6fWSCBq1I6OCM7c7mTbhlZ/4GVYBvYmx38gWbwPMFkwjszml6IbfgmW
sCvINsch0YbbvlWorCNXw8vKZVudRvwIpOBG0rL4ZcP4La5L8wMfxes/LAIVhBlafoycpc65DaPo
nr5hCtjnKMOlOKgaPX5svXeRuZl3ZLst7guOypxPK2/InzCnuDglFoM4nZv8wr4IvUzkCLsBObAN
62ufBZ/2/evYWqAiA2cmbeSzF095YgWfOGas565ycYb6ir54B+zIZZ4gnxTgXNHITd/9dCC67lQ7
qD3HLtJKPsWmR42/4bUoQONfYvLNO9ARlg2dzC/9LR6X+rGQVLKRwSY/vK0cg/SP9uWlqLxLl/IL
6peFw+0rRvjQPoREHvmYTNWzFp8r0P9BVJ1VICNr3/VZ9BjqMULUXHI8iNgL3PG9SJruj3HYQJMx
HjrseXaY3ZURRU8b5Af3zUNIb09zs5rhRvFR5RHiQXbJFS8/0nC3/RmVeKSIbnebcj67CLLhD1Oo
nzyOWEaHlzmfquguhle5vsbJUKqvAWTovu0ToLSJ09FS7a7MVY8rG99d7AwLdZtkO2/i1z8YhxiT
bAmYtg2xWGXT0H/7zcKc0beTCrZlL6p7KMnhdPVmj41Jx3AD8iqw8VTawXAkWJu7p2Fg1JjiAN1c
dvxBuluX4bu31vmTKhSOrtpI0kijPgAVoealwSd7ohimZZ0X8COiwi2xfIhijd9mlbW4ODEUmmdI
GPRYSSd0j7wz1obCuR4PS8rCIfyyQVpcyWtWwE66hFXSqlzOi1isdw3zAtwcq5wO4Ao414N7rv4r
EmtGUtZV/mDGtpl/pIgx2c1huESQbiZ18J2p1ntdgwTeTpjyvS3zbvMlQxfGKmVS3s7UQext2NX5
j7whopea0yvGE68g89HG1S+AWnkB6D0r0tvKe4JiLHZNyXM6ZZJYX/woqXbLEFntwSPNn7Z+Rqg0
c5aKjAkkFh5M9sFm2H4rDHH1TR5q/2tcyH9zEOZrmjnX7xyL8x5nR6t8t2kmeCHZ0D+RhvnBk2p+
odkXRzpr+Hd1VZ9rrDJHD5ggK/hb6d2kaJmOogjQT3mLMG9ie7SHLbx1c+eoMvHS0aJ1DS9hbl99
Pw5/lORhjfOnGI5100bALyb3w2WZwJJoki6PhzELj6EbIGz7N4wPNgV+SlbFxb+19KtXUqrLL5hJ
C7pFkHlofIRXXBs7NZ7JMnmcaXt6UfzYX7BrhycmVEYxH1wQqTS7vNbaBD9CuD0BgUgnl8TW4XKX
01kXHQjaEluZrTk8mJKzHw4lOFkRqZwH32k5fDEppH6Bl35rS/C7MFdxjuplvbhY7pk0IT4jpWMx
00lB+y6HsnXn254Od3iKyo+ukMV7zamfh7xKHoq+Vi99X4LNYp6pPqZo/Cxp/ubjqjA0KOW1FyfL
/K8OkMtb4dFNKKJRlMdwRtNf/eVvX8SGAq01uNb9IKpjzI2Xerz1xs0QuNGjbOmn34SE7u4nOgZl
asZwIrkVytMiPT7VqB8/mT+WdCAZs3e7PJl/g6Gxw70Fc2XfwQwQm1yWyKPYvnHJWpjkFN8WRSaJ
zo7W3CbuzhrtlzjxzYN9O2ThG+H6LQwYSgzGyZ3biOzZZpOw4SVV73xUL7QNGkzOqvfKE1v6dPEr
s2+KiDmLiPkgkPr6+Ky1nECa+Fc9FwDg/KU7W1OZvy86fCFqZe1d+HwXG9fzsW2d+CkiTH5Ya8rU
T04HJIBnUc95Aat0u3Mo5zqXfD8QjFAPnI3vGR8lZnIYM/y6fV94DJ/B3fHdojQVaDx0J3906Jjr
0cemcfV5WR1Fkdkf2B+orsD0jKgagf0IKUavdsbzY5/T4/iDNVO9JqLDClSH4gMjpntqAxjE9eRq
Dxc+aEgs3sUflKIiLdtx2JRgMjeh4udqZ1hWYnLwTXOo2nWeBwWLaskQAK9hHUwldPVIsGHa6SJO
ngvEJo70usyxhVkhir3w64KeHuhdGCoa+4gny/zVcz//eMJpGGfHb/yGc+rWZsar2mTJuxVnuNVy
67reflNMkBSZ7ziSMc/S8XtUTRQiLIDgBtTLCXbCDzAO+lhRsbMFV+feYafgIBpH83TTPIW9qeeu
PEcEbfhRV2i5TYmNw3YZdcCebpVmo+0Dpt44NGg8IVABi2bvI2YGpsGtPB6H+UAjgupPoA8UPS/T
qJ6SfD3yWSdpL1fsgJGF/Eek9sfFGrAbHG2d59KciVSzrezDUfyLnUJtrNHl5af4VFfoytXLulCa
tptCQ+8JxANFlEluOX7WvNAAcn3mnHdvA9s0DDdJiPEQl9QTPRrxl6WCSxFIfQcuIHfPSe7wUHVA
WD/YEzb+EerTlnQ8BFNcNReGpfoSzLfweYjV4jfrHT7voCaBlFRxuKcpZHCgb3BFW471n5Dgwdxy
AbRIzmDP3kUjOWIFq6UXtVsAoryI46h5qbqognNZ1e4pZtv8FUeyu5ujiQg64/Avk3v7p2m6x/qW
sOTWzSL+z5QdbWzHcr5NXz92SuafMRzzzYgi+pjFYbOHjO4UG5ODdd2KINE2AZuOl3rp/7aWU195
Yc3ngEmr3xiwPJtpoNvnKD3mZ4ZbSHIezaGa2p3bK7TmjfXu5TYAXXa5fILJeGRLYbOA5MdcJbsL
uZTLGWcPbutCkF7AFCJ3RR2xPWC23TDSJx9ypi9umbroiA0IAIeoidiKWr6qWnHYpBBIYT4KbsjU
1ZRpF1IduIG/d7sjGl3/RZxK2tRfcudB6jV3CTSwMxrzEdq89GBzmbL9hbgyehsuv5vhVY7FW5Vl
7gM9LuLZRzbf1WqOIY8z/89biTskSj21FoLCyKngyJr3yLMwGzYo/MNtsij+zJk7vnDW/+ozLzso
AfaYRD0TAhIpFQSN/EaINyWDXy/vtBKxvy1QsWEDsKD7XqDsFNsw6Ft9ZyuO/HIa/rIdznYq9gww
q3nqn8vQjqFOJeXNeN7gAIrEDS06gXwnHe6+Bp6hZCcY+vpbCqc4rLjv6Yr3WWzDNusOCySzp3zQ
/TOnFJ4loe71Xxo99KafVqwEum1YtfRBQHd4DjV9uwL4SdUaFuP+ZlfYcqo0W20BC+oWme2sxsLf
MedEEd2Ksw9e1hY1I7TPbsZudyCstcNMrNJOl5JAQ0NU1RZ62IbzRCOE6GI5puXaM8p2uKto5Op3
E8BKHifLO7A5/I+escatMgnRVvPRF3mAjn8DdeB2gn2Tf2pDrhSKXkLIF6dyMc8anjk6e8jjjEyF
Y726C7KN5+nq3o4895MdTfGlI7s/JWMS6oNTVwcIkTf7UcX3QzzcLZ6ylmXYPnLhLw6UrLPsqles
MdlAD48hgC1KeQLrZp1KhMfuYI2sB30dhS81qeyXyAuKXUL+jV6uBAZapNyPWir70wLXZh3q0ha/
k/ax3PDWav5UgTKXEjdWAtydmq6ty77/lhdn2KeBo+HJMZUP7RjWd76Jh63UMat+uA8EOoDvZGPI
cbkjLlTijfdvPnZIpbSXHksRExQokbqaKPdx+s3/5TPGKNKSZ2ETLO+YjnFUiU8WL/xjU3JtRpTT
pGrOhASSTR8b9SGg0ZNRmRdW62uVqzddLa95dpsRBHfaweDlxgjsB7sFplAajnF9IniWP0kkhy+R
ebfWjYYWQ++mNbhzweOTjBMjF9D1AyIDW43YbujXsfuHIYb8KZZKvhr4FNuq0t6wxZjg3HyKxevN
6/dO5GFpzhlLD6apvOgoBALxer+CUU8pQlG/BLATjZiVtzzgkhInWBB5C2c31/LSfpznP50UaJc0
uZIcNCVXVtlkW6t3AP07ZHW+e12Zu4btjHdgBIrBc6OEk0XjAsdwWzYWG118JXC5/0CfmD/Yn9iH
mIpJSdGV8q5T3A3FqXKQs/dq9X2CPATh9MYhpvXPdXxeRTNm0t1U2ONfLl+nPTQo9m+uKE37bWvd
Pq7D2j9FMB+eDLYTznYycUj2x6a6YfpB2Jxws/m0SiU2sF4Bi9PsFDR2ojyhO4TNMwdHf2Db0fMG
x+Qq3GPktTeKXtaYOz2bOfmeOOdFGKUU6Q1cS9bLiu12+StLboE1iiDNsm3CJjKtBWDDVYv2rlxi
3rx8gUI018hMGgjH2lfn0o0KmHld+bu4hcNbFW91sAdIE9RPZABckxpwYh+00TFraQJw+yJs2yOn
QzzSYmqjR8eA3otHX3Cwrdf4pcirAKCcxuz3YrP6LXlswLNhmpg8PaXYHto0Gx0ruccB44bbsW6C
tBSBnRrJuRu/IPzCqqTyb8/BFWlp9Kpnl5sPk9lan2zVUM3K+4+z4xL7VCZFZLb1XW/Pqrg6HUTd
o0XtwB5OifpTYtB8ZG9De0+T+D4O4czDjQnDAckxJkqkd3rQ7Hxs6AQscgj2byefNfo+iKP1C5dN
oDeRv4ZvWtVLu8vtNpSPZiQuSi3dgP923NRjACAwGEpxY8G5nO2KHeFWST8hP+B48UDhta9IV9aC
H+eW9/22ObZ2n4WPnwBTQY98QpKCkz5/vHcJmgaz1TBk0dmktq5iDyXx7uZqOXE64MckDiVe4Jew
gdqibjj8dCig5LoKvwohRwFX3ZLwabOrl1dFLnbYqYpZMsyyci6PPAys3GEn6uXec4KLgpAwjsji
DXKiyN6zZtLJlyEWP561wcBPYqWzNNZsDX+uM7x/aCZ0D/gBRnMsuDtFg6pTaAscR5fZ5cXNMs8G
Rw3JCX5bTOtDdaryMprpsFpXmwJfmI9zQ0nWWNYMbfwngc88dAiwM2DkGcEvDh66/If+aIf/mRry
iQGtUAq/x8FRh0Y+F3UmMxwVnIirAAAetJdhzzIZ8DevmvUZI0hyS6zQffmcCNtSR5n9z9F5LEeO
JEH0i2CGhEgA19KKqqh5gZGcJrRKJBLi6/fV3tbGbGe6ySogwsP9ObAgalN4gaxYuwQhu9aONpXs
6EFKcDasiMaihKVTgmSMLbr/LJLpdokqHXPHThsDUYd1wcxFpsRbaeV3xWGoxkXvTORVn9Rn2NXR
KugmECSAho2T20V+YH+mLVHO45LfQ7bLg/3cBW54nCCrxZg4a6ZMEDLOybgDWwlcHk5NPvvqMzAe
WI8ry2u1Plc6RrPBjd/UULXCbLqSZMIrXBvJ0uzwLh/uCz0F/qFSdTTuQitbOiJ1jfl0nAEi74oR
afIu7CvjoScPiQG/VIF6Vjc+RyNu5Yy4XAWr8s37S9VinBGLx8fQr0l2JHonoHd9NdmAHcQDaM3b
pfKdxyD15xslS2No6iVdKUfsYOF8VK0r051wxrK68J+UHSWiHRZcHgCSElNLvylrDp6wPJnxhVai
/kEGxuMvRfEMaBLX7fZ1X7lg7CI0GOF0rPg+hjJG2NIeeZqnzSvjQT38DlB+fqmkI//kcA4PCZAR
2b/DlKDe2zJtgdkirz/V1qD/6D0uxgMpV0ysJSbSe5RDN3/wOodRxw2nLR+79Js8RdAfLfTUlWyT
/CHncVDuzVimxa6m7O5HSppxNhmpQ4otECuTQwHJLSX4mfHnhDhcnUGEScqpLCej47honfkPBX64
qqRrhn00q/AHRpxNiprORIRFVzM1S3AaNg3Dsjk2Xt7814MTQUmyLdro+mW0zzZ3tS8SpNN1nlrr
ja8tfU/4g+g0C4d8CI69H4v7kT2FzmNhinOqof0yj7U83PnN597O6wpuwgqJgJAGQX9OFl0e3ZWw
1yhLJ4jBcsgTSJzHcmneyORIZH5WI3zUwsnIsEyBYFNzpMtaRCebuqf7IA8obWqxipTS6b5jajcu
tDrHp8EnPM4reiwg3YiGAKHsuVRugtqSL0tCkIN/B7kPykGTBqDSIIILDQqkoyTV1EgMrUkNol0p
qw1+Nr94qyChj4dqGKofi7ZmdFnUWD6z2SQIDIEk+vFyUqkk50UcvEAtL575jdZcAVTZnyj6CD6E
z9Z2QPZzcB31BrtxVofDTtWtb+1Ctt5mv7jI6huyKOybru15005hejMkW20ifT0p789sGeP2XPrw
gE/YXtPkP6XSKt9aetTJ1hq7rjzG4Bgz2LDUrhGumMQzaHNo25Lr3q3Bk9FsIPb3FKihQwIRsSjW
ZckQuBr5YQIHbQGLnwo2iaccx9bZhrGZ7emHn74pTWRL5mIrr8whIExNefsT68FGoaitmgIcPy/J
wY9DxL0itJkV3DKfcBNXgue2WVon2JNsgdXMk5I8cc+T94nsQPUhGp+WWz69RAgSAxVpQzcY7DVe
iRRCdDyIjibJsuRFzYjN2wFg1rBGMHAfM1Bhzabj7/CSGHhcm8n1kjWwWHFn6cwmjZIsxaXRNcNW
j8xafSrfUuoVAbW+WHoZExJbY5udWPS8bUc2Q+/R0vjscQCrJ6CfkCE9DPgXNDj7JBKeGiKNzbeo
wpLoTLmgdgpSc9x/ZoiXt89cUh87LoT4ZSg0E5gmyfPmm3p01CuIMDn/58QVFSCrSiDafeeuwZjA
sOnKAyOgkate2QKXNPTl9KqLmp9GMYuRviNPThH8nQjtaJqaqN/OIxn+lYBzOq5LqzLz3h6tON+b
jL77vbYQwJyOz86qHTv9Ewou2jtZtuNFYMNpv1sU5AILQ6L0ET3cSi4tFaJy75pcSmamEmzMiJxw
LSc3xM+kGLIJk+Zw+CQ5IapMuLNBN0GFFfyopUlG+8AhQGdf3HSH7s6TJMwPjuM1/jVHXrZXthra
5VA2Pa1ibjPW/mG2VR4eeVuMSODZDWOqEzZg6DMOF1LXBqK+tts2eKkJQtIwBQYq+dZmqNtTwtv/
j2oWLjP8stWzpfBrbnq4IMu9l9T2H17k6WFIRjDSbQbLhaiDsB/nDn7BZhrhxJxU4wR/OBe4y0nP
zoJ1gNExPNEvsgRfHbzQzRBietJwC5keqjK7D5Rn7K3hTWyxCRF/Exh513OZBqcljGg/ZrRCYchV
CsYPyvumolCShwGlyGKX21w4n10Qa8cSCA7jw1j/TgE26JVRGteI8SE4b0VSIwZobwCJWJedflCQ
QpgoK8MQnHWZ/8LfKX6efBsQHO/syAYsF1PflIdhMzxlmAOP+cJd/4ZNs+8JvKeXphMfdsdxd6Mh
Nj4s4wRphfa7buWDbdl2jb0QwLfcUwhWMOFBLfG212Es3kmg6vxpHmwfJBXK99rhucvhw3IeAnhC
NlnnSiJ9NdajwHV+yVFQi3WFtLdrrZwKwlvTg6qxaW1LhPEjBokUtshURXuMYlzy3SivPpbKkGit
XEqi9qOZrOKiZhdrkhEwwnQX8bMwcbyILXy0ruWyFS9lgRd2IYDU5M6/oiMFlVYTb6SmqW/TVPh5
o8Pc82fo7oGycT11ua22mJvKwlllYwO9rK7mL+lWCtTuQjbFJo5y8hz3JUHc3sZVeONUGXHCKwWn
oamiD4gx/0E38gCvmvERhyHf/3xY+BKg1PoPE2vTFVDwxAMPDXWHzTF505b29kXIx7AY55RmiyoT
UPNT1gC/dcs7uAW4m+ZI/2t9XZzq1pYcWgvMmdsoK6pL5MTFoS9z+daEJe9ATtckjRRs4NXYkRHH
Hxim+Yp3QrDNfIzIoIbiaNXpyAGTRmRonw50UOP9JimnF0XxdzE2wV0mSDUD0cCuZojHcDuBS+J6
y9aPPd6k4AvusyKVDylWt0soKBdCj4ZXFCCS4q5su5+BaWPYMLfNL2ZxAR8xiUfed4Og6jLy8hdb
T66DGNXwskAaa/clHwF7h1c9bvjpdbw75r6DuVO3xaS22hmy6cgB1443pqw0qFkmC5IvfDee+VpT
sIiYXLQ7E6SDvQm8ri2+i9lwOfCtiUduDmoLhEBFKeFLhhcKh01roJHhhpYpuA4q3oAO4Bc7guX1
kaUnGxTDTgi+fhuWj2r+6O02rddi6UP1MFmJHi+oK0Q5JBk9j89+hJdhlcSEUPeJdSNb8iSAU9Ui
nbjr0hnxACDzRBgnbS/ae60pb9Raen14vST+PTyK2+FMp/+ihAwZtIB2vlX+8ASh9xCbPKAPJ6Z/
ZMfBnGpbHBIVaLKI5jO27IFHslvbhn48ZDL66/oKV4yZZcBfXrB93pRjDErrLK26mbdRJQYEKxhn
eMqxSG9qJwme4WdxO+M/n793dcPjbA6j9suNOeytIR1FvEFI7bbXnmQtv96JMs7thFuXhBcBZIKo
JGSBhYRBP+wwWHrP8McijnF4NRKcfXmb7dOCkWfLM5ujZK7TKISRG+OlD3gf8TWngRmOZ2pG6Isp
sKCNVzvefCANNJq1qift7kmlOtHeBWp0bCKQLlg5UmMQS7ouv5CH6Lq9LriqbEXf0j8Ryb4FjBJa
/YM33BoxQvrm3yqrxbunCYpcO6+AJgtEECNwbsJs5knS2vae4hi0Qz5JtMxmdBC7Z0WbokN4q1bp
L3AOwMt1OMdfNuAyDCa6y7pNHpUl9yY3Vi82NYS/y9yDzKbJifc9Ft2GBT/wxO3PZsLgbUk0aR+m
zpIMnYJ7e+rmPqM3kMo9d9fMCw1BrCIeG5PD5MbXlQa6HWhJvWzwwLIiYkhmDKTP1ywbSN0ORD43
H6dDC8riz+EX+1Uj9IZ39Zxb05mHJoFoeuA8InYsWE98vUmwBpMKuVJFFLwwEUSZRTWNvBEB8Co8
Rbib4c3FXHL4PNnFcewAYK1NP0efVuxYzjrIbykhvKu1D810Vg7Hhb79xFAKmo0Jwd4NrBRU3zj4
DyizVpHeebiasHi64dzguRj6EIWJfWarGw9Ck1MCh1oNYQk1w3ROWpx7xBEfqbvxswM3Nss++o7E
s2fitgJjaEwYbqdW8xGCQCKHNUetxuVSU/VXP8cUf8uLjjZ4PB5+PFNcbMR1XrPeCmb8cMMBiydO
KQS1OQnJRglxmgbcLT+HpoBFE7feEbuKmzx7IWa6B47rPZUafuNPn75wm24H3tMZ9kUZOtEau4j0
ucRiwKJuK+y/U14kdNEUY3ATWanWW6c4jZ+nrKQKktSe9veJtEZ/yxCu3NcMIL/9Ili5LJjQQRYR
V+DzucF6UhaXAeMfACQG4VMhLfU7ufoGL6+mes8gmDwPARGRbdsIkuSwaKbwYkuRhRUUalNCZvBN
PW/l1ECYDXAAco7XN18qE6n8gzLM+Y7JwQ9Pc+XEf5M/5LRQlW72O6eivVTUVSOlwHXh9754ZUxj
KAZKTEAR7h/FHZWzCmSxT4x3TY9w60A5ItyKQS1NLAs2RpB9oxkYgzbb4kyKO3mqEsxYRCja+Zl/
FjxFWG3b7eLindulSM/Omhh9/8PpdbI2jCqdvxmstB8eEGqLlNu5rsGuitFnm+zxId05SVj5H1ZM
bOc4FzkCj6cMle7wH4diPcX5cDEjmf7NjNGk3iIxtd06Idt3xQXB9psrmHxW6ntv5ezPZ4Urvwcc
2waPsJkpo6Fto9PHmdmUB63ivAI8CyMhnMkhPdBP0P/ZQ5P/WH3GLDz2GCePDpFicfB5W7/MwCr/
ABPF3WPtEI1dtU613A8MMQ+qz/37Omk5QMQ8TMHXjI31lMxtY12qviu/U7rg/3k6ofKra7HDIgy0
FDHQ+OltIPZLTHimp0IyUhYcNWO7Pze7IF9XK8vvJSfE/yAZiV9c6fVjmMzY0XLifXsnuHFq7cSl
M4wTFew3RbsIab/shtKKAjlwOHML5jVPCIZZcp/uO1UtOl8zOntPZQfSfFvUEo9aa3kcM1UL1OsZ
WqbTbhT2wp/WZi+nesJu3wQ1Y8GaOoys36mw53yTK1Sgm8ssupK8pp/LF3lCOJyEKtyRDDcd8WBj
B5tgTlMOqeQPdFtF33GXKTQUSEqLOzPSdfwJO44zu6yV8l5avfcKFfNaNPML6MXHMsunR2uaqWtQ
k7jgJoPuo9LkgYTsfK/4SGXArKfiWGK9PUrHYLLAn5wee9PLHW+Z4oD9unum02e+cr9ftmx4FFNO
gfWFZdE+U8vL8xnezbbtaenKQU3tRNjP74nUL2PtjTgV8nztpm5wnggL3cm6x+lchNapDid7Y/f+
58IHZRv7+rkDUbOpQe3hRqDLDu9OzTkW5ZELbEdsJgpS80E04Z0TffhbEm56sjRsAub77JDinaTp
uYy+WgkcKRGGU1mLeLuKm7LkqTr0uzny5JcPRundSusbr2pwqsdaBPadO6bxGgPXVxxSRwMgMmgx
qbYwH5BCugsBp5eFN/5KkweAp2WpDfGMnB7DKfttbHhy8zxYpyJKQITnMBnsUs2P2AXpw1AWHUJh
qM44r6tzUQz5T9sm4D7yKj8oWgAfLDMs75Iv5YY1NiAT5C9frOzzkfcnYYYU0Oj7lJFVRMn3/wWt
rc9QlG54SxX/5kzymyRc1Dnqwu7ikD8iIt/XB2xbw9uAKYxTbt89RF3Adq3gQ1p2oF8U5XCAM8iY
ANOZ+XvVP3kaRGutKufVxia5Dn3pHKFuuwfPaPctzhP5byDVtlcOfUCYDsSjI/ri1ffz7sP1Q/Z7
pyFv7HC2bpVVPtMM1u2XzibCQC56awFBkW2X70XV/qNupd4CjkDEK5EkzsZAAo8bvNC+cT3UXkxb
+xhSAoEXr6eQh0Kj/Vxih2VUwQ3mYjzbmKIQd2VnsjcoQCX2aAZHXCTDbhBSH3xZj3dAXKH4DhIB
gPYhhMQIdZE8H341ZJMjvIMZq0s+hhx1pnDFuBw98maRFSTrObgfvfB5IEtyV6SkX3kq9+PRsa3y
GwfulcRI++kOJG+idMAY20xHGpnit6aIdhYi2qfPOnSe+8rZN1ggiJSi1pKY6w98gB7JB39kPS9n
UVrDH8E/UqrsjKU39Y884z6DesneC98bN+BokaIcqE81pYpwmXvUdTSutymDVZ/W5H2Y/v2943U8
F2AKkk91+8Bdx/QlXUvAUQZ0RrUVTVQegAV3j7SNkf2sxuC4kAbalUIfidfZ+ETaKN/Q883Spnv/
dcYF8smvYqRjwXpuCeN9WgUrA3aJ+kIVHL00Hi4asH0D8aGacudD66TewQe+RqE3bELOyjWyTTIu
v5VIZ8z+2uwW0RGcGod3Ydn4xOmPldxfE1gI8TigU7II8Hobs/lZUgZO6a2VvEvVxeuZkr6XwqRU
gC5+F/zAPRkfCpe746pWC6EEUnAo8jhDnZ+k7/2NhOAkVn6rc/j+idt+LW31lLY+IIFeXjrwophr
Kjox+HcUpMQ6e00lq37P09o88zuRK97XwV6Qc0dg9s1/tmdHH8GI9TGd4Nt3nV952yXBvp/ADYP0
i01mUy+JeHHnjtiG7xDrdGqKTqm+voq8wXedQ41bsG4G+Ss7SLsPnWralEsJDQ9reXuUCYjyssWf
4DUosBLfQgcO86H0bQ6gfbN82hPNH1OMBZ/zoHPmIKu33kgPoXCwWATw1Y9dHH2MPhh/zfZ0zZIw
+0P0xDHRZuz/dtHkuyCTwYZMAekOZsIYzbXVP06AaM3ES6MNyjydPV0A3K9xMRf1DKrEAQTRUBqF
sD20C8TerjuFKU6bQkbsfijfaxVH3SEZq/8vpKQw2Ines8E2HwT7mN05WDUnnsbpV5lI56yU+Wcb
/AgQ0b4yT7jnzqEMe6QKYBeDmVsL7RiYHnVyzwmL8KfLlXyDP4skf2nPO1vr+p50CsCJQnFI6VMS
ok0u645wNKc5gHrdt85z7y4PTfwg/CnHFGila3vw34C/Jm8IMByd8bg9WFaZfY5IC0+TUGQHK6jw
HfTJO4oGHugpcB9LE4i9mqfs0bWEeXdK7Le6EPoGIr3BXa02PHdhrvZRBKaXQdAl4QVE4p4oCVlf
OZg1Gk/z0ng2/tdi7LZNFDtrSE5mh94mHzO+E0zLKcWHmLTJyy1B/1fEYL8w9ozuletMTHTciEOH
MLhxSh1flzIEzpDQh4czMb4zAYXCrNP0IWHtcr9JfRGkmaaeMdEbeFqRxzzDVYFzgy9jegOe1iQb
GbFxrnybU5tOXO8yz1l7R16R671InM2C6H5vJa24wJXsz9MUdifSE917oFggpQi6LUrw/KWS9Aks
JN7ZJHwEiPtle36L8xSxblU5hHJkWjvXGNDFTvtzf3adlrcPr8GdlIN7FHN5vcWBt1RXwaQvHIvb
iR73c8QPZAzKoVu3Y8JmFvp9tDJ4vh4yApQng6PhOfC1eNVaSTjxNlDDbUy+U69qyQJ8lrkvD2Ff
20dGd3GYZtXRjMF6f2Rnshk7GudTLm58LMj2n7qF1SfizLBRsTTbAQuHwJis1NPcVPpQZ9P0Tka/
PoS6BuPGDzaAKchB9Hnq2uUuUhzR7clKzypq3JfcCfnThn0eISvxC74hNIYHSxXWurDSlymDbkhR
AChQCSHJW482lRDGQJWdiGhhdA0TzvgeUiQwVi/97vq42Ygxjj+Mre8BhvlPTnYjl1VBHJ/dXqYP
ZTNUr+TUML6W4EujgcZZTrZD81XniDRcG+3fwqFOpdbNsFFBV8KAbmi2sIb4SokHF0U4xz8UbXvf
MFz2I4sruR0IGxchqnlfQyZhUcQUXaM9Du6mnyluO+U9d6obZH+TxZmbbrgfUdaIORPLotXMGK9j
x8u4QlfL1i51so8nhFA+Ofm6zoU747TkrRJ3zAXuIpvfNDV67086eNOTyX4xBOOoAOK18YmO/821
wAbAM0OtNAXB+yxw3/VInHUVzf44bsiXl1dkkgJCuG9bzw7Zk8+hNgZPhG/FO9n48X02yhRnN2vC
ljrjt1R3mpIM6T3iaII1xhO8YOKbanoBPNIXOaUaBHG40HzEVCe8sJLifnN1ssGPGO5U5Vv7pBLi
L8pHwB43xDrs/5TZPPZfPArdif043TOGZQVPMJ5BWNDBnVWTpv+XVh7OhuXA5DqqK/GY5Ql8msV2
Pwcoe2VpjhmsISa6OaC9oQ03dAnGeDaT4dt3K3vXuG19bTIZZbxB7HSTCMHhNwkpOGjihvFAZSkc
5kgeKbaO7rtcq2/Nq+gylkHwSuhq2MyJ5ijA4u3T6eTyQejUUkQrxORmHaNefxctffGcoqaLQEw+
ZCRKrnlKK+LGde36M+es+kuOMt1RecmZrbD1Y98CXnCKNPttHRffkzXc6rJi74xBL79foomaytny
3mrcrptGV8MuiURwM/y14TuGDvXKaTI+um4Vv83dcN80iz7pHGx/Tc3NT8LivCXbwWNj7p1VCibj
hkYRwHVCep9FYekTZsj+X9CbYcf/L36xQpt1uPMpmhug6Z+gKvs7h12fPFcwX2QspmOd8N4eK842
SJCOvs+Yi1rqYm/8LVP9N871cF/D7LvzffJi2DvhqNsTocKyyn+5+PN0z1LrRs413fcwURuLoHea
wGOtgDwn/1CyigfWgPZzngxdNJ0R9etinDfic6gXPW2D61YzbEdtMDxE8I2LWxa8Rhzy/Hdj4awj
hh+MlCv48qQWtE0T856thyq5Oq3p7vNOG5D0U1etaFwbn4Ammh1fUZuqBSs8oaxHeh+gNGFm+H+C
rXOW/jqFiTlpICP9iV7E4UCjTHWnIH+u5MiatQKFq+GOlbXFczdLPgt/oAKZ6JlclclU7rIxYcNE
En7ze1UTmc2508JlvRbAOveUjIWwoGwaR4mBTNhNIR0ZAhakRFYOsLn/t02Q3XANzbeYWUmQMTmw
lOMfqtI4PuArjKYrDSeDvGAhKjb0SMTPcDUEkz6MpAbw/q2JTK1LMNI7JV1FEUR4q2AJcxqghdP/
B3Yze6AZy8++zBzycZvYE/j+v/ZOxh9JufqDc0ixKflhlWtvCeU293ktJsjM7yEoUypBp6RZjZZk
1NUYuZGVRq9FUxDuYZJ1u58i0f+kvNT/fzsJv3AFelSmg4vkETJsF2It1XGxOpWh1kYcrbjPUPjI
fNMWW8W98SkmW/QbK+inRRdLKHiV95f4g0KQQRK/8NSJrJXPN4eMSt8dA1L1cqem4AtQKWz5Znap
FwIic3Ap1OMTlTK2cWsgDtfOtrUAU4UtKcEf/wOX0oq7vCUusQb5o84L7TjPowYEQcIsPUfZ1P1L
leqvcVQXhHA79ZnxVDqRnzWbhGrWZwo/8mNEjPfCCVXvLck8lFU+1svZs+pt6OjsUNpKVdvIa9VV
WHJ5s6pEnufC8kOseHgFMTdU+PGQUiS/kt7eQYZPN3rys5PrVO7WmiZ9xQdqHyOU6I+iy50t8bkC
Zbvu/fsytzRWTiYz+di6VveRcajkoYWE0sbeTIBkabPDhNnys0+S+Uc65fLYhbp4mNvF55lAk0XY
2eJB9JJmaFPV7x4Fqhsde/9BtOppogBi2le99W2N1N1MrskOAfSwm02//uwnB/3+1koRV6lEuvLT
nwLjB5eA2jlLKhxXo3Ez0vdkzCB0JAEQM4AVj3GKY2oFKFIeEyNdAD51/nRDbq1MSpGUHPlk56IF
qEGwqmfWdMrwkcS0fiGgrO5qdjwaPItdO2LcHdwDIBh3v+B1QDTy5js6J8330ucWtIgFtT+PDCEL
HKZ13TNKITImRMunsD7avMxI+Edx6t4NLZYoG/Ef42Yp3wxbU7QCoPZODIL8tEW+5DOOW3NPQnl8
WtJEH2tebTX5V2pCPEmO3IWegacXkANHlzHc0siw7IZKlvssisdXsCn6TM11dRW3xhHgGx4mV467
XBJBR6Gp9SK6Wj7uDkjN8LpycgFXvyKfTKkMmzcBa5PrHSWn/heD1Djt6kHTDogDWZwlDm+xcyzO
7RANGKUVh7z90MJF5p3tfSDV5kSeMzMCAQ1naiY8J7zM4xSAzpgyH/W9z4ZfkBnCwRomU37uePG2
qslw8USTpPLilhrZebik3usb3/4JwVnILUA454TfjBsQMnTlU/Tn+3a0zRiRXrg1ojzpKuD6l+XU
s/0QUxyfUMATsUubsWvXI+6T6eymPS5eSuqS/BHnjUNnEvvNryuF7a6rkkPKHS7/vgE1nOafKJF4
nqgfTZcVAR8szKKY/GpdtfwwENxk+WgyRchiziuXmFoxQkBEGMd0z/cYJzKlQjiTI5ZDvUzWnSlv
QBl8sRjMFG82mpeC4rmIvFsjtsgqbjOFyVNaeFJ8DFWkkqcRN9IVahIGibSwCD9DZNnCCmToD1y3
PrRYO5hQyjrs8ecJxXkvAox0rCxxI2YG0fKPqAJJoXDR40mZRSwn6JXtC+hlEHCKYzW4hOY2ieWB
iMNHsK5cfslN8bb0UuhCYMkKi9+2P5KYjNiu0L5q0otnh2grX4ZMV5QWhYkuDwYMGMD7CQwYmc8W
0BtMdns/yp5ISl4XHyMmVcZCYnJyhQuZFjjTtNF5yRS/lcx2FrB8kH7XsPccpDOu93hmWYGDKuLm
abwUtkdnQbPYTnNo/yt6i/IT0lH2OQMCwK7ZtOAo+UuSremzWUDEq3z/NI5DENyTzWn53reC6mTb
CqzzLEwVbx0p6mqjgKG050pEwYESNrs7jkUJ9y6YMvF945ky/RrV/Ln+GOwqSfnFKue+8MLptV8o
n4GTsOsoTRvPmbC9P9sMrC5lGrZ3YB+8B1pZgveEhzkrLDroSx+zJG0FZmOKfMGT7f2qAV8T8XaF
1Wl9gje1jxBpDUKrUzXhDtOlCLdBxUF1g+yFI4Nmo/3YleOzg976a+nilWJggC1JhJZKep0Mgwcr
xczfwIRPmG5xYceFM2Or7aZn2CrhmZWGwSNhNX/HLk9lA4WoqGqA5ePCbCPwm6vScd/ZHBEYTGXt
mbSjt0xNf7ObZzvaUlj25IC27lXRocNYzyhBsAH1W6dP+C4oW8WBkP5zB3wdfBlAVcufmcf1Oxin
k09wdDVRrt244yMdDuvaJxMODu6RWOQ1vAUUI4ZIkrbvsvfxLk6josUcEu62wme1EYMkqAflkILF
xNnhoCLWKtv84PR9iSUkHPYONYiAKGV3T4oleGw1Evw6pocLWME87kiWfGBwHO/Qre1znrTB0fZD
8eFpHZ8g49FpFVpR87m0XXRXmJtXKvZeygEr+2BH2X8zi/3eJlVNkha4SIPBpow4SHtm5RThJZyc
6U7AGFyXjS1hhZJZw9OQvnQczPyVp/GHQj28Ii+LNwTB8A69rvlNYmEew+Y2pMR3gIZAVuLgCM9B
KdoHJoBQ3Uap5aBv3vyCqXRyRPiUwnsFDAUpoRIB1hXVVgTpFw8+RQneCiz0exWqv4i7+g6UTfw1
A076F9O+zWZsvEcfjOGuiNtp5YbWgWsYsncV8sK2ieNcBikImcmeF09WN6+J5T8NjJhHAU1lp2iG
vAfjUHBO5RHFneuQFORI+ii2drWTtqscwVptJjDyd7XxqzPLLBpceOVGmOGt6OQZLnBM/DW1U+bC
8Vks5eytQgWxuBypLq154mxRlLk54NTbYzBhXeR2hd4x4Eic/U9FDmKlB/ct5La05axTrQisPwRt
FN9bk3OXE5NbDaSsd6CR+FH1pd7MS2B28xS1G5TgertYkEMHv29/gPbpHXZWves97z2dCUBSw75m
jgclCbCYCZbDQmQH4QVvqTz5BvuxEpRmqRi/nVHknB0TvZQJlDiKg2HAyJ+FwCMYR1O75wAj9bFO
U/nOSfzsLxjFhcoyOpF9NNVBfM6z+c/pirse6kHfGcdFQrW7sxtX+d4N5BG3qreRod+g6cTpAWty
uU1UiorY+POu0cp5RPIPz342n8HooTXH4wsIHY9ZaNma1JvP+Cy/UjEEBG0UOGzcyjs8T99gHzmw
JTRIYuMEEEGt181emBAFXZxkfBxstJSSkneeEvaJ/g1cPVMbbNTkCVJ17ux1qyCtu0+B53g3dg08
4G7ENXymmDOQaxPwbuCbAYZViNUUYuHlwOPvoSA5T93N28D4yjg7l962N6AmxhsZj8cTLmrVyPsO
7yd+dJFubBpwkdVoJmda3Qhyz7jhHX0gHoY1bRRmlZryX+Xy8dHhYl0VU+AptFV/AN8yrlWYNZfY
1a8Rt8fnRLlITTkWR0PTaB+7+zZwpx9h+6wTXngJUMDYwYAEAbVQOyhrYLSI5x3gHBX3PZyYfaut
HwOueEWRlsYkTNYilLKnG4NH0SHIVPBDoSAukaIcG8rnCbrahvtTGQlzj4HsjogyzeK+zRUnnOtm
63pzfCwDi22XyTk7pfWAvAESYD8GtuCEQYihAvsPKzLvaKylm8AjWUtZdi4oOLTkJzlurTGmlT4E
jUAMLOPYMVfQvDSRUZHddzCGdqCkuk0XtdlrKqwf8OzDeAozC1gmeeg/7MY2ABlI1Xs8/w2+6Yxa
b6ue/N2iqKtFOB2nI3M178HGHc7wa6xDHgztI+0r+ScLPf4oIP78LNHbsnZuHil/CC6Oa3bR/Os1
mYdGpEjE3pBioCcW0oYNwUQpHXk0EbpFbg/FY1i6/ioKHevK6wbjyvjdYbzJ9xMC4afnavmfGUK8
MyKZ57XJk945cv5lrc8+h96LHyRvpTO64g4zQXhHyuHiuwHtqnntJcOGm8F7bTDi84YFSKVZEzJa
fqqpxIbdDIRG+exzJPsv6wMc5VFXbPgf0clOl3Y+i6VO3jOLpuowdoI1Al1IE5D8nt35Xzca89Sl
FJd74EeQDMofO4zxfaTLJaSz4KFr/0fRmWw3iiRQ9Is4hykI2EpCsyxbHssbTqYzkxmCOeDr67Lp
XvTprCxbgog33EfWy4zLa1M2La6onRNezs2wZKBnu5D8KDZC+Go/T4P/ji1Mm6MYuFIObJYcMrvl
rdTI4OqvJvuQoj6ypwSGI45N66J0ywtQifINf4WVWb7W2jVrSB1J/s71igcSjhvlNR7/bo0ckAk8
JkCjXinvePj3eD02AoQrbvkyNGen6u09ofz6lTHuiGlrhph2tslcuxdTqSw5rn2Tp2KffOjfW4NQ
XFn5Hmt+NYQkJTlLmbjMTbDyRXCfH9oaz+agP/0m3gc9EauKcs2iHQ1pvVK40Hb5J3ZmpVjzMGCs
SI6EqNi3Ps3kR74w1aLn7G4Kj1dW04pzNUX7os1/d0YB1AaufwA80Jv5ZdIro9gU/+mMZbjQ6IG0
NPG8huQyPrlB4CDTp+1hTvr179DFd89O1pef54ir4cfdIbbS7o1X6RyaUw36wy374kt6nvdjaiv7
IV8GQyVJ65BVuvpfJKPnNKUMEw5D/9U5y330MsQFjYu17ZkCSBave3i2Ogw9pBLZ/o7JIm+xqjIK
U9o8TqIar5hj62T0inDJsWumZAwFUcYtr5DfnODOQEj1qV540LgUsU92O9MZ0X2cbrqW2bVhVGWI
BFsdxGD6odENq9+h3nGBXr02j2iExN0lN6v8vVvwYQY5MtmJSjriHNb5e+3wXJVGTLkV1u9x8IMD
APa/aN0L8OouLKCMXdKcfGUKzvvE18S91UZy0DPtr8mpomzXIYLv2sqGYZ0Ok4ENjK8h1HtLFmeD
bw5IxeLQq80SLKdgqSd31/X0YhFPdOomk2szHOio+y9Q4xHwRom7UtbAZYLnPKOOJSMSGJR5WOKS
c3piKy+7cPyKD5rQxHWsvojyEMMe3gzGyTx4IorWEREFVPQFmskhlrXPwbvqRrbZYIoaMPYOw0Tc
sJryo9k11r6Rbvky0hAM63TVCrOSzaeu4DBcevfYzY7WSNuHHkn3i/x+c3BcY96z78fh25bQ+YZB
3cYlefjwaDiSwHAuITirVQa3LVH/ppWc/nR598oXyGKns9BvlUvgHZdV/HBNZ5PBoUj9yFXR3mza
h+yKIh3b/vDdCkHZZTNa6SOZbFLUXhCv6iaHqBzEJjxthBovVdegH+9kCF+UReh5ZqdwA6XkdzBW
9QXwTB32c8JpcVx3xnOM40trqObUe2mw0zGDxLLi3JbGv+ey5eXoandPUOMtsaq7Ui2vUqRRDXYj
lseJ49BjwM2kJ6RJIeNDFVPqH7pRGq8J1RzEW3xqm4Du+t23PpwVSJcFHHOIaBZHQyQvC/YOSZy8
3sVkp1+MqH8ucri6HCrMEK3GDJXfZH9McgQ8Zvji9iLIDxoBK+QJ0sJoIqIUMmwp2Jw3hpd0GEaG
fWhtbAj9ZjFJonWmL/XSLyXorDDatc54N5d4xsqk+L8f+Xsq5co9hRJuejHgXS7A4LZ3bepWxzZL
YDZFUGU8/1/UJVeXLDWsU/yZ3P/FdcA7LfBGDvbkiJvk0X4wMjq/ms9FFfFyhFlihWR2udIilvbT
XkX+9OaLuN6lws/eWDs4N7g5N0c2zl96NVh1QxZ9OZRzV7ge1Dc1+CGe2kfsmwO9Wi5FPt2bWZPW
qRcU9WCaJ+wv0sA7cz107IyIUytVfMaz4yA+Ax1+Cgx3QmWH/pI7jCOcF5rQtwJi/lkuwBL55Cr5
HZSye7SG86TgF2BxIc2fSPyTT0yCPr0kPgx+mwPHhkx7dl9yfJNhYEcg49vxHrVlutXK6r4WLDrk
Dya34dCk53SIY+9UClKqNXoIZ3k0MYDRoPmg9XDdtIvEOdCsKnZ81+oDaIOWRgskP5dxOYDMkrAy
5042ksCO8kPR2rhDreMnIwrji1Mo+HuqY1tikk8rJxIn1i7Pikwk7ZKZV+PFlrp8dXXcv4+NaJ7q
PDb3XbJMbxb8f/Q75KJz56FTiHK+FCMTOrVdcjZkEfgf2OqA4+S0dqokU047YoEgr8o4HYo9y0rq
qVGdsx8661ceVGfh99PPyB3uQgHQ4tlL+UXjdjndv4QfdHHIS9cjV9g0kADSbIn6A3sOE+5qFD0T
3x4u8Rh72aNArHH3k0ANOnlWx2NfcWWm4IkKsUlU11lYM7X8aGhPhC4D0c8yRZA2lp6kN4HHyuUd
kHcvUvo/1pAmaFWtcyggaIXam8kk53YgIDF7OnS5eu0XDhKH2ud7Uw4SZpKmRBSz9kN+vVn9OlOD
v6F1S2DdzZc/Y582v+ZS/pmrzjsUY5uH+N9JTo6w5LuM2nZcgMW8ZKI0vn1VR4xGrY114sNUTH2b
BV74xg0X02LYgJP9A62XfqXN22blqW1zNjcPXJz6bdMzH8NfHv5Fst7rucvX566OFW16quRuzCob
Eere3i5BdhJVSliuaUcisXNz5ZEJfYC0OFFsc5g/u8GuQQrRouJhybBl8TY4WJVnOU0ZsY224mMK
z4qwYp/gCSIwsAiT8hPZE9jx5AFWQHcqKiJCW48A2YHkWoutmZbtBzswVHuhyLjiXMI6qKcnSTwL
z9cYxmQ9jxGcGKm81ilBPHO4LsSXQa14UoRLGf3HaXt5uPSozQ21dPuIRDWeBoAKb5SWJTgRQoEf
jRwh8xNFLB/mOE2HPAmIXPb8302zi/9BnBzCgPHLMyX4b5ob1XEhwL6G6diALdcldmOGH7qHmdJU
oSNr98Hpvb/kGtYY4SsEvGC04nvktV6YBnwuiboT0FATWq2dfbEM052TEQOfC24LqFRih1GrH84m
hFHMdHRIjH/sBZzyhBgiA3zsY2Bh/6ZDRlfWSXx7A1yKgSzWGn1aLIhrKCYbNIf8gPHgZGFhEdwg
zJ9Y73Y+fmRzhQw5z1BtKPo7hPZE869LSsCeYElR3e1wkvM9Z1l3MyTEjPj+7HQ1+E9kbbxbS1IX
bDFYxsbF+J0FK0q8D/6kzmDto3JOcMCmj9h2gLdCloMdwx3u1CzLQARE5RGq3CinM2v0yyZdxmLl
+1jWZTATees4CB+phjis8cAiBVDPeE4D8ovw2nTWVkpPCzMoLJhiX5x6QUU4mg0uQBUkybH3G9rW
KUxvt+iCXYsOQ8yUJ+83pyvC7FHvvkeJ/clPdVXAyeZuYiO7LpFcPisXYmHdTUTaWpsBzSWtnq3c
HEN/nMlTZ82D5VFM+wiQ87pxYf2L0T+g/612DvqeRTEe9gT/kNVgQDTnTQXGEwqL5OnLp2dud35L
hEeZNSeljIUyNt4C9via6sLuyMAMZeRjLHV5mK0n0Qg+IWMY2kdpIWa/oxm7qZ2MU2QwsRMFG/yu
MvlvXvy/PUV+CjWwSHqDlSsSSgVpy94lBLowyB72QtrcnQTZT4iE0DfTrN7bfrUmZ5aKP3AR73TQ
GG73pJf+x4vkhZIniwoWJXbw5Bz4mfFa8DHYm44eMxQQGgtzr594/zYvmmbmfKJy7lCl4r9mMgYz
Tw00wJ6RGPc5s61zT/L1iKhaHrOsZxTEZpYPBy/Y4Q/U2JwWUV07zi6aeMbDD/QugSR8kKaD/V2Y
v5fYOIxNy25lAVexmQr0rcQOXuaJJQWpmRkpZnXyFetThMCMrzirHSCPrRnxbfIWWIGN9V11Q6L2
7IkCCplgg1ae6A8cQttzuRD1YgxT3f12to9tOq0UB+bhAnukRuAEeDxZdsGdCp6zwHhMjl3vXLi3
5GMNNNxisjWTPw0x93bqAMb0bGj6K2B1/lYsrQHZZ7L+0pfwVdZKhP9dO6OYQ53NS3kxoZy/SqTa
+kxYAL1ibLvTWNYT+NLWj57Gnq/tHUO3LkJd55Aekrkcpr3wFmqxO3y/qqN2U9oX3a4P72ZsXnWu
H5ltip3djL8pFWm1nUfSluhDnPzUwvIjmHNKsW0MZYeMVEyQTYAe2GluhscyDfgFalP80X2gzhE6
HbFGpL/WL94Ng+ZhPKOjm8TBEmDpm5bCe0wlV+Noax2jTRaEe3IzJ25hFtCIIurAqDWtVVz8hUVX
MRfTNXcLOG+WjJttofySt202mfaWsALz2/Nkf/BYr/9yClg+FZdLHbaL1K9oreOru8Abz6hhHy0U
yXNhmB8rEztkUKILY9MO3og/91R9kolwuNN3WJSmOntm4584TIC8yLUMiZsj2NnMsjxDVJgLOslN
Rh86jq6Ct1J+N5zRmi54wPMZlopHdMtX/ZGYxRRgdRBgyrinHuU4RTfLWuBI9zL/msvC+6WYD3q4
S+F8sOWKK9CUo7+xgUHzLRoZC9piVsV0RCKWr0skgQDAAXhJ5bbvGX/wZ1PUaj+MbohawT7iQlF3
z1/R5lg2CkrQPMWj5ezJKH2k4Ndukw+2DE0MdhZQyEzv01lTWCknkW9nOXZ//BpXvpMN8hNPqr3v
ccmu+ewaZTonIbgJUO8NfbQj0LqGzyBXPJZqSTQzJJulO3BRRKFTf96Z1ESOaRnIp3rJ/4MnHocL
dWKqcbI5J177VHbLWw2cyh6xjMAwMUhjLO3fPkY9DGRNFtub4Ht7rsRfLAtj43llAxIiEcP6z3qL
qrT4KYmChEEzNOSw0mChxGrk+6GN3KMJ0ZnMZlF/Ll52cNPy2UvSf7nHQ4ACPm3sPqOcgA3B+0tN
zTqEISSj4KmRbeMESlI2ANqNIYCGVYeARsGvKz/G3svxygBuo8PygG3JMu0Nrv0nc3Ty2zLStu9Q
n1FuMIpUFBw7ImTHnFuCpOE2vw7suz8zlFzzoZlRgYdm3KdBLy7IN1ydZTkcatrM1xik0N8UpgD4
YDBPyMkB14/Cru9ynoMjrrRNAosS+qIbue+k/1cy8X1h9ocjB0z1A48cmKwi44fA13gvNWcEEq0L
LTCv/lI4CT7DowuDM/0otqIdrGPt2+9WoIuaTkvR/KeJ59DfhR2V7ItU2i8ky1+YbXDO3YpLiGz/
yVeGeCIjiJuJscwyrZWDqU+ilwSXcseUpS13JOl7tj8GJwihP87vzdBbv2OPELDt048astq6q8Hi
fNPAcTaPVdB6O9HW5b0MMr1zaDY9QBiKYD/zP1ebznFGyNiEnC6YnOrDEbJp9+OYTK/5WNhPSxbx
cXXS7EgzsjhzFsQh8WwK4uAqV1+dwy3WEYvOk0EmwWuKfnxMUqhffRu7/3GO6c95PBsHNVrZJUj6
3kPvMNwDWC3rBxE/+WvOFoF3RPJi7qqb1MVtcsd7jZFElT6gMj4VafFYqiHfs+CxrqtQetoGk+dA
3zWYq2ae6lRy4+U/3ArQNNvRuApMcdTN3zQFB2S3PNYRYnnhUZfHJayQczZLVYGFnaxH22j+EL6z
7LUXX1bWNfuJ20q2NU3W7YUro/2kK4bD2OyAzRGwZYjzeUoa6J+oV/UywzLCkD5W2oojKh29Y5wM
nuZ0wOpmenR2Y2g0GCu6Nk1lD8es53fxugAuAsSZe9yMXRDTTPQwkznC2tixNkpCJZI47i40mYMA
F3mwuojY7iJ4LjQTxDLBDBmq+EgzlJ1gz/pJcC3vABKY91b8KP4lcilOQzFJA2+Hx11lsggSTjTh
7j4psgt8qmDPJ7B4nkvxZ6T1F0YW9ONEAC6kVdBuJr5t2UR5evZGNtTBTxR/A0GZjM4INnyPhvQv
UzGCeG8V06ETxtEWZUF9r3pxuFuQhKfSgKDDREOsEjIvwMGwBCxMEMsz7IOjGn4oNKdegavT2WUl
CHVUaeBTGJt7InuANHRFwtsbPX1b6OuiBTUiQsBF8iOUiGLq+AFsrMqrj3GNfUBu2gmWN9F3iRe2
rey+R2WWBesM5ZzuIk0Idksjji8d4Yhh/ACmRNjGrQfzKtnNPgdZbgSv7K95obQaAKwV+JSQhWj7
n0UZ+MVz42jcaKJLu5FgwVfSQdnb5Inr3Jpo7tlaI/S9z4J0iQ4k3KsWDagc15VBXPpc9+gn2u76
9JULoHZCQJjI2VXjl7vO0NmXSOx873CL8L65j0/DyRjVlO1ds2N8FJ4WCTWPp/bFntPmpW7BU4Hg
iuQ3xHtZPicImO5rJ1x8JSAPdfIy8jKowyAKVHUHry249rEcPajzSPlT70eRGWIV0ZJrlzLeqKY0
c17xNam2OGbsdxtIKKwObrmHxPs0orCMTMN0NMKYzSS0WoorPVGH+erK8DnjazGPE2IGk744VQgY
p9KVOYoHqUjivfUIRStlhdlX7kglu+AOtpFq0e1l9myreNWgW4xDn8rJjDbW2NToIaS0WMZafrUl
e3QXF3jRLyqq9r6oRLzcyV1mbdhGXTy/c1SjwI/OnlY/vtuJFw59pTwUrh9RbRwQkLpSdE9GYeYW
2+755H3Ra67V3VGWWA7YAaRbNouFNridE1graoPYNMA6zIF9RkZEGSy1Xd54Nbtfamtot9B8/Xqk
aq5bJmcvArsBe+a1c6KqKH65bsaQOTE2seMVwdJrlFnDU4qRWFxjALUkaQiGnZasLd0nqwbAe2Md
oXpw+cvFkQvQxGM31/SGIwuw6CZJ+Ltvch9uFeSYAdrjxOtiRk7gbRkEZcG31bUZFhhkrawdT530
i+Ohw4iiqcr3uc2H5hOkncz4DRKPB0swHtoow3hvmJuNzqyGmdapTPpYXzHaZ8HCL9etLTj95LMu
21rupmigwjLyg7+WqXCnM5mzqoMd5/hHImCd/UG9lxVTl7HQg8fZ+Cdjk+MDM6QRP6l20+skek6o
Ag81BN6Sn2HY9PdisqqjuZZJapP9qY2hkNgRNLw12g8k5wNFLWd6spJx9F1zYp1ePNLHPMPYk3ZK
w2W8pe6q9bpbDnSYvC5Kp3+awnO9q0Qimz0BHN3/LowxiH9n7JpPZ9Oe7Pxa9HI4jR6KKdtBbbF2
0aeWTLIRR2dF4sh8EM3WDwqJ4P/abmQR2ysXMPZM3yTcfp4IL9nE31IeF9pJiX8twh3Sa0UHLnsy
S5vFxni2s7NDZFxBp0lcXDLuymOBgMhqw7EyM4K+VhPnpGSc+BGPAVsEomjp2w9lwS5kn81XgxB3
j+Es0k9jqVDa3Yo95HvjRAYBWAeIlse+t7xlevE/h4Hs8MbQzMRHSPAfjVJiV+nIfPi1qk4i9fpf
sR14Er6JLSzClfTCLsECVzZNIdpCvZvHamDDFcUDvTir0wOiGIN80xibycF2KDjwYKduwBOHLZe+
jchsk2euvx0vHhxOCtlI6U/j1Z9UbE4/TEINX0uOoplQeSsGHcIKRw9tY7g3a+zCitQp6hqbSFfR
LSTCzcaszxlYDpCqeTwgtjHtUmpsFyjSIIOoyjuLvfy2BtFPH+xNxN0+03W2xjySlNWORqd+dmgn
0721XMWXh2MRg8shHMlqQ+9G0PtniYcxo1E1z8nM+gI5Mmb6NtZgsPVTVYhA4YhXiwaLtt9fOqMf
XATNWPpPJhz+CLBEav9Xc5mBrQjPzjokbGmdGzRtTcbUNt6BqsEiYJ5j8CG8rgTlZNta2NVc4zob
bOzZzwnpN0hIGRPaRRYTKzCjep2ztio4eA6UYGIKvLp13zZveQNfQawB3w81tE7wb6QcPNzpm9YQ
5MVI2cXA3CQK82TNnYmcWZuyEGef9dZ9HZGa3LYD9KprOg32yIqCUyUn5XNCOA74/CGJxf7daVPA
aCquubyuQZuTdCE2kNgF8MN0lfzh+N+FrL0RKorBaT4HNtblRVlE9x69tyYM+7m2IZG2WJtk+9j+
eRqswqdzndIAZx+LcSlWA3RpOzXtuzEgvVxUzWm01mCguSZp9pkKkn9sYlj+E3KlVz4Rt3RJgQaW
31AGtlDekSIzISlzZROvHpmYvbV38Dzl3QniBGcFu2LnLNBVdxxS8/mqe16wz2bdonoRNGouspzq
D/odmqNSZXSfhWk3YZ6Wyvri3FaeUk4nOM8i9oC+ENbu3hXV8gTjxfF2ZosjebDjCAqXl/inrGyj
PxI4Pxr6oC6AsaMzM83TVaZWCSmHv4HLhnHntMQ7e2ofGf4ebFBBnKDjIobZxX8BxXOSAl6AHInH
c3VM9oTpO71zEwEYkAyVS3zMcTFgaSsmYWxRFL5UZZCsGxf9sPgXz7VhcE0D3ZWezwLlt1oMxaGD
PoBJVEnz3a9WVDMQLKRFe0nLMMelLLdBMwPIp3HJPa7gqbLNxkYW7NO1zjbh7PyRDjK486+Jr0dy
d1hjpnNyl5hb9sYenD45cPDuCBEzsyHuLTndk+FjzFI012QOgZySdYsbYWJZOPOHY7neh52M1ks+
5Njm07pBcPNbp+1vJusm1a1Hgol+Shw+nhy25HkKj44pqyNXTBRHtCZ2mWKZFka6C6hRxgWvCT6/
R2NKHV45hFLeYl3Kq5T9ZGQb5mqM4jab3HmgUyWg4DXPfbXpSkN+cTK1jBfTxCb9MiGKHog6FR8D
hbrph1Au5DPe507yJXuOJwdy7Gp6VNmcMPiiJVkeb1bzrlXMf7BzK106OrJ+cUDTzjSrubvuPDZz
+LXV1CsuS5mN5L9WSuvnYLRZyKVYPfhMROOVpp79xtoIm+Mml4ZTirsq8bRF/EVtqp93JOQCvlr8
yqNLBEeSJqdqQjAgA1NIkyG3TqcrF5fJFon3JEYuSGcwjKVYNuBUZvJQTZyuAAmH7v87wkZMXNtB
j5+jgAKsmZR/PMvnj7UJQYb4WZND5osj9DGa7eAE7L7H4udrEprz0MQXR3Of3ubk7Mt71niwH5Cy
OPsWU+OBO+xtbDzbzOF81NLrDBJeQkg6db5NB1d2ZHKhXwZeyHKDp78D8KRPhsVvz96hHE8fQ9Ub
TrVj66r7go7NSnijOIg4dCq6S9w38oxAkGRbkhCrWOC5fODczG1pJFowJ/2N5bt2ehKuZwWnKktl
vrUN3hgbNFjiiIn0ppB613JFAl6+4s4y28MwNx7SSzsz/zMsjFfRTZu2hPfcawUwD86fSKpsl7MU
ulDgjTrjg7RndPJlK3kYgq1yHrVdNfolpe9ZZ9sCOhE9sbyJfbG3eku1L2UyT1gXkFApEQgiqHwI
mhEMiTOe0GPHK4Esm5HkGbaIIcRVwn8JdkSVBYSKrO6s7waYvLcbWk7N2ww2yUxcxUqDAgSVrKaz
FaweVZ3YQjW7GrpIwDVaTmIedtnEZxL3i6Xpgt1tvg7cv/aUAuNdrAfxO6N1f/P5lB6Z4pY9U35L
rR+uYaIHN1ME+ryngQJCuMhc6vUtgrznBLrdiRmuXNE2ZGpJVU+/MYmS5MdXLAzfaEkXFE9t9gD3
NkJmRAoz6/L+JXEHzHSn96viAPvHEg80cnj1k3SqQ9JEBppAE5VU4xitUyNl+aNn0i4NszqrLwQI
inBsTHmMNbHTXVmjPw1awJySVSJX5mTMj3lpb0wPc5aOxdR1IcE6Z4+UPpG5wgls4OJkQ/nWaz/P
r7npTzUB98X8EySN9QehBqJvbTiBxf8d+OB3wxdG7JYWkE2sewDhm9QrsZb7wn2nyenuqEwM4MQq
42JSeOZQhzZYGztV+FYFE64oIIFEIBfI8dhV9GvR3RSOUDoGFxxZvEDu7CvDPjexa649RfztgTra
u1cYyvtldkl7IxC+AF1S9YF4Ansn2EiZQ+5nHvZQxjRmfz2g20ALdBN+Hpk9hCAGW241quv3oiGi
jmrpTw9OcFn9DruN1AFv2VHSHew51Sgx8xZoRt/zt5VLdnOuNblyGP/xtmYvkwyzMub8hanoxT+M
A0e1U9e7kTj6dWypt2JtFiG9g5D5pcdZwwSsIE1la3JaqfMCoow6uDTtgTvBEqcvpMJb9wWA1kQf
zB19LuNBYsCqYcJaTdMZrmLSssdXcex5gx3HPWpneysIsw4MEQovHfBaF96OHdcalSXPfs/s4GYY
yRLmRKzzmt6ciQXFOAgjlF2o5NT/dYvVB8+QZ86t9OHccCVl6Mrum/c6jYNDKiyn2ce2lfgEuYT7
VuoueO2HvH+z2iD5q4EqmN8COMMKd/etP8QOJ1LmuRifObQnIEkSTSAhF83EizwB79Pyp3RBjXBq
9HHyZgyz8R8i0fwI4syNmJbw4duC7YP8dY3gyb1EXNb/NmaAWMSzwHsDh83+UZFPw3wvQKHfVNDz
Lw80wWFj1R3LOHRV49qsnzZQuwcvqduwtCiGbl2rmC9Ghr3I7qg1vumkTX4FJLCsPRn3pHz2lUmh
JApoZYVoxzzVTM05IiZ9/Aae0hDn2fUHzbmnAMwN10rUFajvnEkUnA+8OnMIghtdF6WYcm2YCSo9
pLJLSQS3YEyVYU1aJ4lrhQNLHRdbYUADcGNVGy+P915IHDDSz5SCgi+aIMU7lvQ0hi3u9UmWHlR/
gECPxcZ6OXMl9cpzjPP5OzHb8cM3R/9Go8GYkTD8mfVrG0hoEFtT/82OZTOpy9KgCdWEqHhXPaUj
zh/7wIYa/2PWhoAKIZ4FywzMYETlMjAJj4G5XRDIeKxDOPcJxLi10Vw0e7n1FmMeKygZuglfkGkq
BnyF77XQhsnn6afRCsb72PTyyU7r8tWDZRjdDZ2zSGtHo2YnWck+sHaVpTrOfZEK6tCGepkA12/S
Yzoo8ZG4rNOdMOll99ZxeqF0XtiJtQtYjZFcpRX03A09yAnEjAGc32JM8Bi1bvpbJFbzLtwWwE02
mj9FVgRnYjDNvz41+2uW+u5FFXFcHOxgZBIpoByBXDeV6Z9y7lZsq7PEIxM7hvckI8ytpy6JkoC7
IUfiyyzM1r6See6aozPyb0xiC7JRkFSUtGrtpw00ZNtzvt2xN06U7Lvpg05aYCK7cyEF4t7SOv5b
+7z876VbovXiSix18Ee4nZvdimnIUJhs8F5MB/BKIWgXOZr3i8W7f1cxGGxtAsBjx3Fc0vHGtYM0
Nf14rgg6y0AYMl2qFqaCF06aJ8/LyMROswpYNp/H+NFSNBvCYbZyUOJL4jh3wi7GQCSVI/9ZM5LB
P2POKMtEjj89jbweXmy5zHcGgz31zMJQ8V9VxUiqUxB7EB9SlVJAW393AGpJKlU0mXcd9Rfj4doA
L6qjFTMVAtp9bgP1YrgBGGQjE4DzNiPPHLteh4Az8PMiCUB6yEjUpFLlxC1hg3E6GdA7lNCwvfj7
niNIpww2CDWU46eBI5g4W9Er6mHIUamOj2jN4KJtZ1mdX5dZ06vZ8PQhwoggh4w0Jx8xUDlFu7xe
2h2+Oh1wpBQt311G0CCCEx3Jrm7QyT6FFwh0Rm14ZQXtVWA5fXoR+P/vHkZEgVJSx1zyy5lh1Aym
A9gI7dZ0nAHAc7MUImcfpKeOaX2WZduDbZnHJDZvXCN7onsFbU1MdKd2czoSFEeIyvnuYqDG04zF
t0IbOnHe1fzwuto7llZFUyNutcEEni9OjifzDnwIpxJosIBPvNe1dqz+gsotD/Ek1MFpuHL/lWL9
kAxMcpxkYONMjiotf3Tm2BmXe2vZjYybyx3L3Xwap6FBaE0GBtd+LxMN1mNRc/14Sg2p6rttG0Oz
b4mGxVtrrNziZHTa9Khfu5W45XFOYJL9PYonrPQcNZ9/sJjO5Jl/XSL5xYEmG4/NjKv9xZtiKLpp
XjR3sNW8yqNc6VuNY2AGm7aPG++toHDpvtJeKIt4Q/jJCIm2ESNUkKwI/AXTJ04gLIY0MInJoxjF
ZDmUYd8Kjt7vFmeQ8mXJqvTVQ7Hl7oZu/MM0B0c7343bF6trs3rHtoJ/qfhe/0fdcYGZTH835EKG
WISXael8I7h6aEjqdeld0jrmf4ByD1uQ1QUfUGdntOoJey2FfZosTuN9eJacj6AJXNqyFbOEiHnO
ZpAZhN8qb06do3Lj3nEHIsJhOULfa56nOKJYCuWy052MPVIvgfOWggIkEZUGVXFO8c63AcHkQe2m
MrPbG2natPyvSkjPfrueNw7MFhJ633pR10/bPDWN6DkxKAjhrLucEOjD1rb3VYP0kMYmhj9mf1IC
wiQj1BXkJ8JH6mZrF6gNXoP4FbAJF1FJYuuYWR+eRt7BWBAvSm45iPc3w4ry6G9Qo1vBKuOhDFb3
W/Eb9Y58rdqe5YLStJqb07F9/DEKBPB9NtjKooRpShliR9Gci/tpCWkhsDYs8aHAvfTuIq/+DPkA
PMUibxWrKhIbaEb6CMICPQf/BrDlG3pXQn4NH5RDiE8lnyaUwyWqpgQh8+Gc+USGTjzQFu/BgHcT
A0cxoo4zs8JHLBjqc+7F4lRbFVlEGjkwJpX/3qFScVNXpdR/kM+JsXLznEktIDeqHBmSESw9/nUC
/g23lpuiUQR66N7yIqncbYka9DXzLMYONbyk5AQ267eOw/VzsYwG36yk+YSj4x4bZQ3LtREj19IU
3OveA7sQv7uWqREzFiv3/nDHcCmvYW/Zr0XS+J8LExFxvLftBYiH5ukP9kNaOVwsN8reqrqOo/tA
R3/PZAbA9C5fXgcL+t66yjzGw7urCysJg3GGncpIWVP1L7x2MgLPZVnVn3YT8/WkBZP8xyPG/+rm
SSK4FAvjsyyPu8+WIQKTMkIzjihqxUJgonTdl5n7gXnqmcb4rv3BTz8JGEEw06LN2Yz2I+cx1pFN
T6jJuRIlk/tlM01/podMp5bzqojfenhd/gtzpNy2+OYEv+ZRj4fAsSgpa1X+z9mZNTeOnOn6rzh8
PYhJIAEkcOLMuSApUoRKtUiq9QZRXVWNfd/x68+D9o0IMsjQ2B1th7vbyUzk8i3v8lDrC+SeImn6
lQB2uqf8C4vSkXZ7hz0zUokI+7cogQEbmB4za6q/QpSIxufESYep3hS9wd+5VEgpOhLa/mrpZS/I
fRufKzRqUE7qSoh1eVaru5mMGcJLQC64nVtXRn98BCffjRPejJ4euwW9uqS1y4PRzQSgqPKVhzDq
YpoydYW+i0HQCo2WrhfOvaNtbvOhcd5jCE3IDQOEzm5SZM53Ws7lp840ehQ2sCZr+juWXxPvclcN
9XcdfR/t8wBJXNvOML62JZe0edSVXqP/VSitx49B9uFvRXyaHusevQgDPwz1jmJ2X99LCMr9DpG5
DGyU2yTlB8d1BthwZFqa9Tf1Jwtit4bSQvmUgpku7nSl4CMii4lCNvTigfaqpaXBR6mh7iaiEa+H
O21uKucpiGsopcQw/pYWJ8IfSHchWxXBmdPu+H2qfCwHUYA/driZ8VNAnbDwSet3/mw5v2ZaSpgz
cwo+B8hugLNI0F2GT6FhlUlUaKTbZs4Gd0dOZMi/3BwC7xbtZLrE6P6IiWAYbD69JhQMEBeCCUi5
gBbZs2w1bCoquqDoPtq0KQcju7OQ6eroKSnyAMS4wJwY4aJRq0QLFYXKbrAfJCTtHgFTuZV0417A
yItkHxOdLB1yMTk/cwRnkbUKjSrf05T2IbBi/uqNQ5F/ztq6puERd1MAsnKR7SS7BdG3DwlQYfh2
iKogqRekPzpusPGDk7hG8qDHXdQ2ezGVSvtaIrulvpediy5jG/DueKhugc6rdP47RTzKpy8oHKQE
xgTPH4yxE8m8MSUwrj9C2DHrxsXiIkiMLtuM82XVOgix8Im/lQhgz19hC9gBSjpxFnbPBT6Bz/Ru
xwALBSf4G4HtLvlUVY6JvDdIhUOqsYZExQq8E/adlvsDhycdDwIZTT+nFkfjMA3oskILlRtnCsBg
KxGQQtCgWHSTgiB+LLug+JP6jksBQLf4M3QDe287PbWmpf09ecC7rfprHY3+H1p4TvFz4KHAJhJc
N+GR5tf1S440A8rx1ACffKuiNJAgEMT7YTjzz0QLS0hxBHYQ+3Ahx7Om5NKxOmCpj/Yohvt0FuVD
HQ5++wLYZ5RPi0hAfWiNFsmCXdlVE24inc89YoYw5p+xK8rCZ1pMBmOKBM6p1HCrOWBWYf/BmYhE
NHbakNZS3O0r11EfKrNPjoZKqrtKj8VfClofXHqQ+cDR8LWp3tmzgTMVZTEAWjNHcg9PQQhAVNF8
0IucJKjjbDij1CjvmD4lFQpOCGoIa/5Ua8CsdmZmDd/yIBvdQ4JV5YR2k+/imSBjqhFbJNlzzAe5
PJBnQMXfN8b5W04TDKCons/xBA2Ct31LT8pexC+JMDa9YTnlCw06Zz4GEEATkp7JQXKNe7G6D62+
pnU0lY+0I/MaSo6Vy19daJefHa3TTYR7psGaAd5o/INtPvUf7bzu3gHiUfc45mhwdxIDwEU+IEUw
ucpdSv45Eq9u3s9fZVtGiFiJcfgq4ENbVJigh4o+YwtHrKt5T7AUYEOYu880mFjjTHNijYvMtaB3
5pifw8nNYr14Dtwyw2KPKw6oZFcQX/too3ggUKkuBihkp3eEWzM4DNcs5TYBhZsfio4uaAAG2UQf
HXzhfWaPVsK572vrO+jKIm6pNsQVdYF5Bjgp703oBowQTyJ0PoGAjR7nJksLhA2cXvvYz86AhVnl
2uLDWOmt8LjLIBGShdU/arxvPiZCK/0vquw0a5GcMOpj6BvGvoKI4WGqO703zYmerBbZjxOpVfOt
t+nBbqnEGb+pshTRZ9wY5s+VpojayAXVtnBY1k/4IUafG7o4W3CwpfWb3sNcerhlug9Zh6/OFs1T
lz5UjBERVGKcDR6Q3E8+8i5ATSIlkNpdpCqX7nWcwWvcN5maobAMEUd09Cok8xABNqn84nWHCyre
0bqNuQNSqO4Qb/WU6MEA6NLDoLxPWmGreBdwPgl1M6tTz/FAZrlrunkgu5eT9rF0Jg2ecbYUtN/N
wMmDwxDD1MFGybX6Hzqyi8nL1IxJgASdaChLWIMLTQaiFdXkAK2pca/1uGuKrcTOINM2nVnSh6kc
vEAQsy8Nf+qfIAMEc/W3EnXXQ1vsywkaJbSodqRuWYBby6ddX4V5K57Ry41x/PY1WvvNSySRyvvS
OkU/PgLU0crgt0uwHft7+mccMDDfI3D5g9OBN8ZhLYPS+55cb8aGw1TCDVKELBCCuMdPBOqDNZF9
vqem78y7rjCKH1GtF/0hNrWKBpJeSbM7xDxkHXS9EYJQvlUZEE55T7soDL+HvcmNdT/hFjqVez0H
H2e1f//7X//9//7vr/H/BH+Kj0U6YWX0L+SvPgICaZv/+beu//tfXOvL/3z8/T//Jg1BpdJSKLoQ
tbkWFS7++q+fTxEeb/zd/yWTIGthX5U/fbutqh2Zz3BIRap/tQ3yCdh+8LQhzmPD3Qh3InupHTr3
Y0JfKwKedP3XqNMfYyiK3HhFuHA6bXfpoJ7+GLp3kz3w7n9PdOAeO90s3W86nJb2zuizKTtgpAId
uEpCQoo3jgwp37IMoaQtUe2X5unIhkkPSAu14SuxYnKoswlbFhtwnFJ28A5y5C/dR+Dq+pi6ezpd
ieCcdHSTmjkacAo799NBgU1RSlLgvTEAGZpHR3Y2wpGtaWUb+rG0njYDx4aruWws/aNlwDtFCN9y
U15nqSgLlXRTd/i8FuLepkwbU8SqO4ICLDUXfKKGwXUyxmX/POid73hBRmLz7vokVp9MClciKexY
rmmYIK1c53QOBgs0W0Evnial98CTyvEH6nn9XWMIpLokQc23yTCC4/VRl//XV7tW6obQMVihislG
sXRz2dWvdm0xN0lo+XbxjNQjJhZl7mTv+gRmITTiud1SDlb0l/GYPYYO7hw3tql1YXRpKpPdavAf
wjgdvQMrWzeNKJ79Ymifkkxaz0GzwHTRR7wx1LLj1xOVjmVIgHm2a5rLFno10caQGg0Bs3huWjLL
HODHFjJRve8Sd9zXSjifry/s+nPqhsmGBG/oWOxLQ6w+p4VgTzVCf3jCdRLeQugubRbqGAjLRfk9
BX/6Rjbh8fVRzxeUUS0K+KZuEIRb4nSW1DiYKM23pyIhRN/Mmv1X2FDBpmumzb/ePBbblMqYY+no
nq7vGPZmJSix+U+0zuVnAkV0S6CjRUs1Cjbd9cEuLKcpTV05hm7SaFWrnWJCArcpXS/GQAudH/W6
n9PCxkEKyIC/RrKOrWQa6dPd9XH1831jMrBj8xW5R125/LBX+8bSAI8abuo/gb7ySk3W6b6WaPEG
1Fow1W6QqI+Guf6Z2fpXc/Ho2SZNi8+Aj2JFzW1rQ3wYyOdc9F8+Ilny4rq9eeMQX/iNNgknVWib
oqMQq99YhWUwNIhXPE0mziSbMLMpy8GXNh/yBt/HKC2qr9eXZX3hsruVwT3FPmNJuEJOVyUkW56d
UDOfDM42wED4Ay1FAfDRNgrOEhWpe9PW6N5DP2n3EZa42+s/4MJG577U+R1Ut3RbrjZ60uvQRLpA
PdndaBxTs6GSVKY+YNy+uzHU+mXnjjQXSBD3LIA25DLk6WSDePQ7JyvtJwTt3F0Jr3YP/J6ckHb+
IY/Lh5LIbwP/Ve503UdloygAB9Rzdn99zud3teXqrsWPEcxcWKtXrsXMBRz/aD1pg2ugdzs6+rFM
02+w6Yn0C6RY+1RMOziy0Y2Rzz83z5LDoI7Dk84ynK6AOw+1a5Wm+QTkgw6oZo1qN1J/2jtzYr2j
KfUhBWu09zt7AYc45cP1iZ9/bIvniadR1wkpQFucDs8L5cAZaPQnIyaS1eOhGBF9CuedjJr+r+tj
nZ8lWymBUZ1pcOxptZ2OhcU0vhuN4z8J4Ix70bhLQhdaByDS7TYXY3y4Pp6+HM6Th0mBrZSKSwZG
skBK6nTADMRF74iMLl+g6eUD5oaxvO/peFIajnyr3tvtII4ZNjeISE0BNndqtuVxwtRu/tggOflX
AdhebgC2qu+tNLSSox/7KKqXYfzeDS33w/VfvFoh2wbPzllQtuDPUndX27Bvpg7BWD1/MOZ8vkcv
rL4vtEzf0YxLn4JQ3Dp/5+NJYdh8EmR7XSq2q/EEkCMM0JOK7qSLQ20+QFxHRNRH55+GBerizv76
BP+5vV59EmYIXkk4CjUvh9Pvru7THrxEAYCpeqCP3H52TS07mKaRb+1QjMdIzvKbNpgJPnAjcJAy
a5PDTOd6J8hf7izDGG886usL6D+/RxExsCHRNXRXx09P0VPpDOSUwMvkWYinZy1/D3Hph3/7JS24
Yx2Oi8aPSONDDmAGkWGUUZ9NDIocT+J2+vnGAq1ynX9+EBAkR0quQ7oqqwNJq04HLtnySYIs7bcI
QgNSMPFpYnNasfiAfSQgYgqziBnh1DjJvdVp4u+0NKJw12cmncbrv+jCHtGV67qWIwxn2S6nh8gV
2kDQP7aAAex078b69Iy21HSg7iD/CJ2C0fXxVlfxsgC8B7pr2yCdDWGs9mTSYX/TUeZ4qFCMRjYY
Fafh0UhsmtuVBJN/71S1Pb6vqWy/4K7Z1ze2qLHcCqstShzLq8/668Rgq7i96VIcY5qweQjHdDq2
WNQhDCrGL25UvyfYN5HRCj8svrW/s6VXQ/oreZcqyuU2xqn3WCUhLk5fZ9woMFCIAuvO30GPwFJg
D/HGD+3oeZJK3UcyBQmSUWEEMvvz+iKuP5pDyswHQwzS5HmhtHr60RoTLUOy9vRY8tNxu7EtxGtU
9IHnT2117Aqero+3ekZsx7FN14IaLQya4e4/N/GrUC406lChBa4dHcftBSRPis8jfcYqgOu2SbOJ
x/vGvlxd7gxJNsqTLZmnLnR7dXJtuAnU+p3WM1tR3isq3lh+TOgVtWazta1qvENrsbixOVavNYM6
yiIP0G3DWpQcV5sTt7wpA+6JH4GjHDqHGew064Od0i65r0RZT3sEvzTtODZ62dKwB9ewjTs6Pzcm
L89/iCuQHDF4Sy2HqGH1gXMBtKeG8+Xh7COGd/TZwvYpA06e8XLbXfPN7HQbWm9HwW8nA0R6MnTW
2nF6UX1kNe9aGq7iC5VdiwIJKsIi+j7IxS0HMC+Km+9jQH7JU4Uih78T9NXcX42J8OadDmSfiyfs
avFUItoaksFWQOUQtEDEHlh0GxKhlVOEUXQ0lLo4NkgDYeyTmSM90ykutCUHjUTkDV3W9fg3RqDr
t/CktOBFDggzf47B1qcfCa2RIxyHceyMDf4RyHJf37NnZ4Tc3LWkRKqGdM6wlyV+tWcN4HrYIQBR
spuc5mjiD/aG7iJqOMZc/qam4tz4aMvmeH2xsPdpqAlD5w+HL7dcPK8GTBqo21iRZZ4YxvYTWrnl
M56owY1Rzp60/wxDWm1wKHhpV/MqUW+JwZtnHlgNbJwpGh5rU2LUYvYSt+fSOGoZGov4f4fQnrAr
Scus2apwSm7EluubnB9CSmkBj9Gpvrjm6q0fE4neJe4AXuCaw2ezSqN9ji21l2PE1yMwv0hARkXp
ke1WNxbhwvEwqErZVAoUecV6qXWE+Yoy0rEMgVm4tfM8+pAhY3Q3LLtwhNNxBO6j8InEfzilGvPx
+ta68KXJZyT7iojelP88Ma++dJg1xjxlACmDXAfxChw0+61FWfT2HWyAaRM8k0B4hb2KFfqh6BRG
5HzpGWYiyqaj/Sgdf7L2QTwEX0HyI/5/fWYXDg1fVCGTSMyEbsxqc8VNOJZhFoZeY+KIY/bNA+RB
EPUdwDLLwA7j+nCXNjPyy7oAAM4fbOfTM1OLZGrphoXeYKc8o2NSc7/5XB7jmOxRecAlJS2R2Jji
8l3g0x2YnFb/IOrq1/UfchYVsJmpjlNyUvZSAV6HJb05Ah6og8xDQdXAWn1Uo+PB0xmTbyZepfOm
wrJK/hgbQHtbkicj2tkFxeLN7Fha8DtRoyg/+J2B2ipKLfVsaxs6G5bc1bobGHJTEEvGXhzNQ/l+
BpHUf6h0BdPfFWgcNdvM71x5X+RmDQAHRC3anNcnePaC85hKquyEnoTC0lxl/YhE4h9tUIhxAKv/
WcRiD23fo+4Kbgjvv+uDrUs/vKOsJn9YQIgpqqwTD0ANuRPxSCCal8p8HyIr9AuKJyrZiTPZ91xq
imwU/815bwAbqBZjrv6lxI0nfcc/mj8bYGH8rXKa6BHDbL3c4+Fr/IqJYfUbW/DCjicno+SuOGE2
FcDVDpwKAae3iTykMGcJThurWjNQzWdrNpzisaWp8ff11blwb9qsCstCCiiN9Z4f7dig1K4l3jC5
/Q5bIQtErIq8mGtsX0qjedfIAJvDMog/Xx/5bBPgBy6RUeXa5oGi6XI61ybVMWWqIvahjcssLB4j
yAB+dtFDBsr78fpgFy5JAnyL5AuGn6SyejqYtCAD6GWFi550xmMLv3KrT8n/4hHinqJzpEzDJrFa
RfMDBg99BOHZa+aEaiYAZ7CjQtfw8ERTCSGFDsOhCRycn2Z31yd46TsSmglbcF8uxerTCc7gctzW
LGIPM6GU8p1RHFokh3ehw/BZA2kVepS5DYx5OFwf+Tw2puWw3NNsWN4HfXWYwbDLoXOTxGsds1Af
Qo3yzx2mKOGzERg0dUecGrG2KEb/7Vt3iaWW954sH97O6ZTr0pRTrfmxV2LvcpcMpbaZQLO/G8fY
/jNiQYcTRlDAaaHWWt54888271IopzgvaBRSUJPL53j16AIdDyKnmw3PhkS3Lfi7Ps2GjxRgLLIb
6dXZ+pLh0I3UaQMySY7o6VAWmI6c+pDhYedswMDD00kBOd8EdjPeTUjv0fIV2VsvIhZ1GZVXCHw/
cevpoHUKXH8SUnkp2h0PpFmoWOEJtMnnNjq09D5urOf528uTQKJjO9TPhM3TcDqgoTK8c5LM4smD
OgAzEvPwOP67srEhwL1k2uRRxuzLHPH2EKYHTEdjX4xo1rxxNy9Pk66oPdAkYFutNpVpx4npB77p
NW3lHpoWZCeyFPnOrJXcgNQVLzn8tBuzPzu8y6C8U8v5YUh3tdqRjyTmKHzppU1sh4B3uxmwzEC8
vnEJ3T0EDlGjVlam7mugq2+N7BidViWRhkH4w118uvSm0Gtu99hCcYlG/NdaYR6A+kdRvAeTlaCR
ETRwDd6+zPR/bO5ImnjU507HnDUsHLOgJ5jDNQxCShXf+VrhfnAwOzkEi9QbgNgsvrGrL5xad4kk
6XSZhs7XXY2q0+AYgtb0JpFJgRpV0yDsFPgUY/UQHO31OS5b5SQFW9YVOUiOEI85z8/paFmquljT
ctMzS26GNlT5lqa9vo/C6adEzNC7PtylyZEHEC4SePCgr3ZuB5MtQvxJIhgxZdvWiPDJE+BZctQJ
bqQcl/brUluVBuEykfIqMK/0aphNGixe2uESIWTn3muode9zlctjC+T9cxvp+o7yZSFubBz94jQd
bidyLhLOdQ+jRvoA/djQ9STC65kDunkuiy3KOGO9qaCV+HduBAztDqsNgbcu3r0mLhGBO7nUv1pp
o9Hvw9jf8M/GaGQiszeJ/ZyjOfEZdIVv3IADXNoECh0FbjdqrFzjp5vAb30/qCPIwLMDCLEH/IlS
hsru85iUZgoT7cb6nAU6bLoFOcGGI21y1SqHmQHhl9UUIC6ete1v/BzrA4TU7P3b95pjC92xgSmy
E1Zb22ydsRKiNr22qNpnDJayh7ZF3SlqZvPG3Xj+vale6JIiJSE8Ac5qQjgTWBqqFIoAtRdbP2yN
u64y0XqOennjIly27emBXQolAtaxo9vnmJcksJoaNqACuu8AtwqQQVZG1H4BIN7vfSLwO5D0/m6S
JfwYgSjL9UU9f+gZXtEbB3YEKvmfnf8qppCILaE5kbveFDrzu7Q0H5MSoVtKbD5O9MAOjRAFgetj
np9kxgRZpNijRMbOKmxEjBE/wGnRq6BU9yTmERkzNUj8GVX+3iqwWW6GHgJ2of26PvD5Pl1iJ3bO
0oxccEan56JxhrKqQAN5dpzZ5mNpNgikI5dcJV+uD3Rp/yzZ/JJUUUZYQyl6zeqrSXJfhOhDeFh3
l+8iO/xcC5b2+kiXtg/LaC5VWz7gOs9MwlZEkxE4XhnWGgg2u8WNMqrjB30YkIxL8qr/lKQq+z50
Iv5j8TZ+uv4DLq3pEkRQoLENkoDVC0DuWmpaNtkeylHzBx95QIyMyPfffseQrxEeOpwUujVrsFEf
K1NTaCZ4VhjHPcqmbeUcEsqLb75lGIf3EzgeRWeaJKd7hPLt7MylwtgSmOkPZc75A1SimhxO/L6+
cheOAcGuYxsA/5Z/LZvo1dFTZmiCn3Ytbywn7c4Xeranxj1u+77CXBvsGTE2rssWrdIb3+zSyIR+
XDm2kny85a+/Gpk+zwIP586BMp59RzIp3rl5C8uD9xTJ2lhlB2T9uh2YslvNpwsng9ok7S8akoAv
1iejiHr4pGGnvNDNoWFpdLemNk123eBEh+vre/4KEm65kDy5bAQFldV7EcZa/w/v0oM7TBvLn6Lh
PjMpqlAnRmtFwynw+oAX7lKm5dAg4t3l3+tl1cpBlWXM9aIHaCn31rGzXLRNIomD4lDUO4Xsx/Uh
L81RccnobFV2kSVPvyR5w1ChyyY9t0djOwBA+2AacBeEKkw0ZhL3xnVz6fMBcaBMaZODAp85HQ9F
7FlMspKeNA3QBfwiRMhmDEkG5+13NV1Zkl1JReq8rBG101iVopfeXFjuV70P+51jjcWN037pJCD1
YVEU4kpR6x6b0eiIAKK+4pUV6smVm2lf8ALId0FfAG63GqPZosT4I1L+GyGbXCzUIaRyHHB+Jki/
VYyGfH2CQR+Bug7uN99Ag7W/NIX71dDBWJsjvIh6ScvevF0MwkHkMpckQdrLZf764BetCss+oQZK
werQBkmwM93Cf+kQJdlVcDOjG5Hhhf1poIZI5d7lQ4I7Oh0QdQII3ANJZt82Jv7WUX80csM/YkxE
q91qPl+f3xn6YllVhF5JKBECBu23Og8iricrcjvpIerTbq0gRuIGqOEuGgZoCSOxwaaPJIIbvalI
Ffr6sVhIPgO9X6Qdwma4seAXnmeDAgNNIh4vjufqK48YLU6FPUgPS9uGrrmDt/sGTAoUVRtfyPt6
cMt9A4/hvgKJ9eTYcbq/viQXTiw554JEQTcHQN3yhV59ctOfHT/qagMrnME/RHTTvbGqm7uwKoIb
k71w/0kd4CotRwfgi7F6OpEPlAiUdoYXZ454gGSCImrX2V+KeI7+TCqeHlvZixu3/IUVBjQOAICM
YLl1V5du61qqV6NlerlAyBdFcbeb8YVAw2WTVjjKbnokBd8HLbI3W7TZ1YMyh7C7MfPl3KyCeN5T
cDwW/TDO8uozIz0ZI9pHAjThtvg9agb/09yHxvz20wRuxqLcurTpEZk5/ZZFOqDAV+jS031F36VD
z7QoGwNmPow8mdPpffvecbl9QarwNbmqTsfDoXjAPJbuV63p2e9RM20P/3jtfQH14MbbeWGbLo1+
Y8nuCSXXoFDU+wKtNlPTE1Rut4i9jhhXtugnB0aIdvn1eV24lQg+gOAsKQjg+eVzvjoTbhLPvSx5
NTOA6i9uT1a3gf+Hy5LEwwGbV9fxbwx5YX5sTnIsDiFv2nqbwoiJec4cw4O7Jd7VhVVS7GtQ77OR
N70+uwsnglKmRXX6P62H1S5pIkzd/NjH5klfMDoWyhvDJsAVfAdzDoq37Mfvmhzs/YCmASnmZD1d
/wEX7gE4cg7NNk4D6MvVJTxFqcojv4RaGQ6zBj1eLtA3RG+Q3TBGHX0ikDvJFmKWU904IRdKuty2
UJwAXZMUkdGeflo4zFVTFWFKGGSpCZqgj9CcsHFfmvHOxrxLc9Dni8Lk/WDo8bZ3sPJ25tD5Y7bK
vru+DhduBVqppLignNnY/zBPXm2zZNQEWbVIHmYt0f+wM7JtmcbW24P516OsK6k9SkQd6vjJgyVi
f2e4o4ntB6rQrZMVX5TlPs1RWXtdlN/CcV/6zDwsipNEhwsayOlSmzlAThfS+sMAJcx8mGpkHF7c
wNKfaVqmP9pRIAOo9FSNN4K2C2dpaf5QLiGRR2tr9c7ErWbYCFPGD0hA1PdO3hiHONbxrAiiW+/3
P42k1c3uOP9Euo6CHrQOYNqBvyZxunhQdWpipgKqFdeeKMvwt+jKri2PuPd1/j7AJhJf3zEH5n1f
VRCOZ6yjYRTdeM7Pry5wk3R/lpq9wTW5es4JepLZn7LsISbur7AIradoK4j5Pk2lNXzo2vwWy+d8
tRfUNpclRI0Fyr66TmBFBZbQYixpwzE75KmI7iora3bKMG/FKuc7Slou5ZmFhwWE2l19WCxaW1yG
oLXFdtX8DPUoR8mTI4qiT97COQ+NbCcmF9XE6wf1whQXICEvOHgemDOrS6O3yy7GR9b3RgTpal7S
OnvsojAvtmWS0LK/Ptp5zkGlhnYwe1eHWLseTcJZxXYEdC3Cts77FCm0O7/s8IrB5Bv13Knr2q1R
Ljh1yt3+r+uDn+8f2nkLGYH5KqoLq7u5gNmhBvwnPSvKqPCl3bSprbKHY2+7mzSIqhshxPkduGQ3
dPopMfIanDEbZYZ8HaY8XutXFFGt1DgMoFjurs/q/APytNoUhpc4EPLS6lQMykDCFw9zbyKo/lg0
zvxeg0PupW3u3kppLo3FsyYo21DqJrI/vfZUpNISvNPkoTG0ADsyZKhR/4annNwqzl4YisRpgcxz
mMB6reKvGCf7dkBP3Js6Ff3Eayv9mMdautPmOb6xKS8PhZoenUBwp+t7DkeOUiB21UPBKMaPKIrk
90Zh5nfIit/CP1/YglAkFsgJQezS9DxdQKfp8epzs8HrUfs6ODXq2Vk0gPkoEAich7a7MbV/WBCn
d7hF23wB5Cia9qg+ng4Ik1iEg+33Hn6CGWabjhUdp3D0nwuzsr5jPyEOdeGg1VdnlE7sgHdsV2bG
cG+kmM1wlZdY0WK6e33Pnl92FhcOmQtgJGpw60pYVuMNZ8Q4XqF1gKqGMQV3qvMTL0RLBiGO8YA2
6BvJXhQd4A6CXqZQvFzn64C+y8whTxHm9CQCvt80EM1fxipEORM1iL3eYFZ3fY4XdtUSGgAggOZl
c+2sVt4dkdbJos5r0In2cvSQj9T453ulGv3wvxgKLgzABXJtunSnQ0V6N/ZhqrceOl0p6XbgH6UW
mPuQxOxGe+3SrLhmzKWMstQWV/sJB+4O4au49cY+aj46mu4eCHj1Fwodzo0FvLBJFIVoCifkRMpa
Nz0jRDZKUanWE9WI4rxWu/eDwlFVhfHwWFcTWlVz8faUmoIbX4sYGpQLGefpUgZuUzsqE7VXDDNw
kx1yJz5QtBTbxgx76hCxZQzQxvBA6x4trMKVqf8bYZayudHyvXBTEHvxLuuAEqlMrOKBrkuxOa4L
MOAI/E6fWuwOwmNeV4jRkeRoaKB2pp9u37yRHMnFtICaGHf9PKtmotAwm42nZDYeJmy39hEiMPem
hnDS9aEuzW9ZYtJQl+jSXT1buHKNCb5RROeL4I4v3N/5HPl34O4mJAy0fn99uPPAw6LrxetIU4oO
+hpNa3Q9aWNo1Z7LyUeNH4b7hF/GfZkXn/AXiu6bxaoLeZ/mxtm8OE/CABJgighnwAvECvNJw5zX
GxsrekHZI/022FawQ31hkVUs67vrE72QBVKhXk4NkS+QgPUTExNmlFVb9p4FCwsAWpxgVJ7iJrad
hhaZmabGoSSYIgdpyWweSZiy4K+k1pIfo540x+u/5vy64CxBLVrqrSDV1tdFOCFojhzNTN2tGoId
Jmzze7dPqukgGr24tafOP/JychFwWJi1y946Pbx9WMeTmVbC06sCK7M4QQd+h1Od/DyhIf7i2khu
4zoVJ7u6S8obiMfz64q2wD/dbO5F3tvVgQVqpE9IKwmPHkm1VU1c/tCHOvpT5BqqMu5iFWy1sfPz
zQsMFJ2AmtIKfKo1zjJGq9W0Blx5Ax1ROTNunQ95ZjQ7J2iyGzv5wrekwAlwiVIVEeAaQuQ0VhWa
FsWpoUjkj1yN0xHRFMQHBeJ712e1rNVp1AJVfeFomdTPBR/z9EMGvJGLpv7kBSCm97RVLaSbc+s+
Bf13j+ctwIBGAwMTlyMqE2V+4wxdmKkC/s7n5C0gW1g9Ag5yvNlCKvUImYpDQyqyGfAl2aAqdytA
uzAU6CG6IQCkoOGtm0qN0CSxZ1J5JWD4O92d0ucMeyQcUOvoxhV4YYNSFKIvSHGKlGHdL6sp/+AM
PTIrlFGB949a44F5z3CvRyX6a1ZykB9qjkvx5qeMfiuqCjr5Jbx2Z1mDV7Ug8LHRFIaYP0rsQYAv
BWpSBNdqnnctWnm/Srce0jeSbcE6g5expUlIvxCpVmO2eBIKHLFzL3OHMjvMlXCzfRUmqDpmdocJ
SkHV98Zld2mBwWctTddF2mGN4aQuWPbwuTNvTrBL9SvrZ4Rc9Mbp4AMadvk713C4u35Qzl8XpomQ
BPCH5SVdd9L0cXEfcv3MqyvZPNpzU+7b0cggYVXZYdCaW/IB6/GAGy9VvYVVRVHPWUcleoecrj06
5nHS0yJAnV7iYom/bRh07+NWpF2+WVpU4sYOWt8Hy7C0Fpa2+aIVtM5xRVHkIXxpecTnqunvywmh
2m0maxsx7A7Z2DzQIcJllrMLaeDfDc443F1f6LNnlc2PziMFKLAmXAlrVHBd4cI7Z4FxxDuopZhb
jfnwUlvgl/buHFXi44hjp733Ndf39yWyIVhnpWUSPA4lNfa7EHH66EYsflag4zdRsJELfBYuFHTJ
04MVBnYAiLWcjmlZWZsiCOqHkc7q1oI2A5QixOgGhuvWwVKKGl4SHEos1t6a0i4/gqd2CeFgKoFR
Of0ROi+8FsEmOQ7AdO6Uw4CYiY+eUu0vgZnxjRB1/cYvw1FYJ/VY+PSEqafDheaEv1Fm9MfQHsb6
Y5K5KeykcMIJfN+wTWK1Qbw2wbgZ17doouWJK8KN7bhM6fXzxG8ANkZpgkMuQP6tnicU6yNMNMz+
iEWe8bc9T+mXtA7T93UT9jemu3zC1VAUINl5oBwocK45qTNOf6IZrA6RvFxhNlE1dzYJ2I2n4fxY
U2qhf7jEEVxg65jRzaycTvzQH/u+nB7rFFovUhW40qSj2Dio222un6YLH3GRXeGRXVJx6p6nH9GN
4Wfm+twdJV9veOmTgni8y+Q0ZrgdZnbqQXEzfBwSMS7eBGlrihudg/VdTUueaIlQBmIzYDix2kZ2
mShUx4PmyCaL8SiIzXxK99DrIJMklUL5KteiDgvKTOLhfUtU6YxwtgzP1HmiKM8Q6CwL9OpJ7HK3
V5iyz0eMuALDve9rEvtk4+D/lO6R066dB4fen/icm0jlUU532tIdtvUseud7h9OK/n6YHUceUtuI
tO8aAnvlXvbIn99pAvmCQwPBLKi3wUi54Ffo13H6Ue9ihTdHsRChfjguTsxPDdbl6GhGISqcb/3C
oEp4JnT6MxyTdQhlRm4E3jeg9xVVL3nYYQXdYmrTaClsir7PHzpltHupR9qNKPX8wEjwuAscjxti
yeJPVzaRmFaP9uQfhQBJGpN7bUN7yr68eXqMQmfYJKlj96y+X41rcGGYnX/Es86IN0HTLVpRZj9Q
Neys0jk4NuDwOzUmhgmWNAue3zo+gBL4G4QZ4GaxPzmdZaiKfIRi5R5n5cMN5aaqN11Pz2kOE/8n
9oDBLgnSzkWry25v8dPPbwsUbUhnKN1BJSScPB0cRb4SZZvZPY69jj+QsLJ3ceVkH3sdwcfKYdTr
k70wHoUY9PgW3g/sheWvvzosLiK3fRiP6tgkFZ7GhZQ9Zqc15LKm1EgAmqC6ET1eeFnRyyHgIA1Z
MA3rR822fQLwKlfHYG4XKghu53NB+iEmeuSq8iXqlVVY0MgATBNFBM9TBFt10MPsMWncNL9xnC4t
AdhyCtT/n7Pz6pHb6ML0LyLAHG7Jzj0zypLlG8K2bOZUzPz1+9R8C6yaPWhi1heyAQOqZrF46oQ3
8HVKWaXbLRA5egAM6dkCLCguSjR9RS282YeDmj0XtZJsZDtvLMeExIY4BrBVUg5ulxvL1Olwf7LO
0ZQWftxBDKmi2d5rkTb5s8p04fEbvs/vALrRtKB812V3cXUfTCZ7iStNdOkrrAz8pdaxI0VBRPvL
rsLyqRksG4+v2Ry+oQCPK5GHXUl5evwb7m8EbgPWh7CIysVd4ChsBsmh0YLPmrTq1Le4tWdJnGPS
QJOkjFA4zAl37xzn0kNlnIvwI/+W5aaMZr8d7YIhF02CMbqgpuftCmamR69yygPE/i11i/ukhaVk
eSLrE2Zgq3dqqPSd8YyJLpiJK/oBEcqo2lsqPM39kLfee8GuPBl9S1nAozgi5zi3T6bVWY2XkY43
s6O0Z7wuFb8s7OwntsZbjYm3vlZAQbSX6HdxYq3V11GHBv6hWo9lm2UtByPDwLO0sSqrNeTDxTia
QTqhjIqcHH7mMJFw4PXiw+Pj88b2cuNQVlMgSBjs6nnDXInUevC8c9f31WEcrU/uvKRPIQiU98cC
MgaSFwI/u7tu+SS5Zy0WMjbngf04ukWp1r4w8EYIyiEXQR4VyTv1Jok66PZwqdL9pYin2rx9mcli
os0/KsimTZr+DOLBgpmvNScYZd2GrsQbL1M28GgzMQOXH+PqnOrRWGgRPgrnpW7pEzRNq/4b1o32
hz1kWKM08KYv5txNeDzPvfq8mEr6AydAcyMk3YfAVwoZhxhoFuWNDFm/fZl1tXQGtOXmPNWKS6O2
QzdLZNmzWwlx1qjwj4/Pz6vA622mD2WNlIVCilExVfbtglWHySEWJvXZw7kGyRI7L5Tqgia5Y39d
sKPggY2wQKBcatMcO89slM8ThijNkzWqWfNf2CizdbGTWbE/j5ij4l0j2sL4y0l7O8KZZzTiJDDD
PinOkz7X/cHTxhKB5kTgY+Snuo6PJ8aDGPv6E+NcNfHnKPKMH7HnYN5z1ETTxgfLzAbw+nAp9J8q
jnH/oLGFxaKLTLizz8c0yj66ZVX0fhKKUtk/3qL7CI2CMaeCqwLCBenl7Q6VRqWzEfz+pK3Dozct
n5mYTicGI8WhncHzqlM4beQe9581qbqU76PnKadQqzUVxcTo2s6QccXIcZcI7JvV0rKxt6IJ+d7H
Ay5FWgXxgkqP4ffq8dK5KGOlyM9TM+vfTdwrol2Xue0UhI7eT8d6mMAoL4J4urHyfTnGTB/CDpNK
vm3wq7crF15UCKbA/dlGAWiCsx6poE+UCAMXmiHZwTUTfCObAe/WhRi3ETnvXysVIFQFGjs0zuiC
3q4O66sRXFvT2RoKA2VuuIR0Eqb9QGfnuczd5VMpidiPN/uN9+oxkmCyRvMVxujqyuiBSjNzx4fa
0ae4OQ0ltMGTqlcx4tjt++9CJNYcA+FNOfVm3nX7hEmE+8OstcNZbVRrb7f4hZPgeP6SGlt9qrvN
fAWF6WgDOJQFDLtul3IQbZ6nKu7ONVhLnDTzZo/P3/gyRap2KdM8w00128KU3m2mxJ7Q+2G6BUqM
sf5qUepKc6yS9tyFEbL3tMOsF6eZvRr9tDr69vjNyeNwEydRWCIjB60EoJTXt3rCZE6x3MSY5dy3
o7efmG+9FGPt+RESZfsZ5uJuzsge3b6UJt2NuXH73t9PsvCSSArZssc4YHU/ZQmwKOyOmnNlQFhH
Ed87muWYIzi9iPgDgsZ5MDN3MvkFGIrv8CJudGxF3g1uJzkH/0c3n/kBJ3mtWZN5FQ7KribOxWKg
QtH1Fs4HGIH7OWq2Xx/v+d1lKNeS6iEGk2F6bqso2Fs68pqI8J6t2QDJWmKamfplh4jpgYhiHcy4
CbWNL/StNcGUk+kwVEN3eh0WTBQ2hB0256a16vhUF1o8fbOFgqF1RVvoswNt/r2DH7mnJqNKIpEc
Fa8FU0Mnn5Sstxoae331rw2HKrCXyP4292h8PN7S+4Yya5FccJDJrci8V3tap0loW0UvzgpvOO2Z
ztZlHgW56Fpatko4aycSAq/Yu3XtfSNRr619nCV6+1nBwDRM/dZoqm4jFr+x6SSWQK5Avcsu6+pH
oSrSdbhaF+cUX7cfQBKHP6nvY8UHtjcc6UtF7ftfM01sCk2pSyS/69vYUZeL5SiVUZz7vGhaptOT
luxizNmWP0MzM78bHa6RGzmmLr/R2xgC24X2I6QJgyO9Lk7UbDQSizbZeQHYUTj+woeT1IGFYeGM
iIlsk+lxXs/xxTCwKvpk22U6HhoM2qyXudERs+mseaz+0TDZMYLa0rro1Wgxxdynt+mCeEmkev1+
jD0PzTkswEbLj2scy76qzjSJU7PYdXd8fKLeeHdSC5ccwrUBHa0nFHFltE45NTmo3Co5lYqlnzJF
THu9tr7VbpxuTB9kabraQ9rFlKxS5puCchUH66KotDpJ27PKfO+STV17LZ15q4/4Kom6WgZ6H+AJ
rjRu6nWvXcQeCltLM55xXRmcMxVuiRSLirvIoXEdhtyhApbf3k0KJglfG/RStUtEroaStJGX2c9s
wWnkIybRY/id9owXf0hN7N/mneWVhr7HSzDC6i8jU5aWrVONJxu+mfbZGidiOnxQF1H4ucmNvZVk
YXcEZZ8oJyijdNxKUTYwAYEc6KekNgcNH+jasfxsyWfnE7K2Kgo5Ye4tf3YVJrWYYOLq9XepaGq8
L0LdrF9iT0uSfY5gxxgkLaZAu9xtlul7bppIviS6PvyH/UQxvyyl1vXXfI4VA5laI1408vO4LJWL
8BrkhnxNR1Yj88F1WN4LkoehSz9yxoXo8SG7v+oZfJArStllCNNrQAdYFn4DRcC5Q0x3OrW1PmHS
HcVJHkCZaf99vNpdYgpIGMgBuTDqcByDVWIBgzyaPYbW58nOnSbeISduNh+xqnecYzlPSfZv10Rp
r+1cPMucfTLhrfL58U9444GBZUP4hKlMZ2Edn5RR5MCR54bewlT+MKBU/BB4zuB6irPK/8dS8kti
4gOTY33jeWXhzHZSinOHLLT2Y4EwMf5UMjLU/yZ0usxPj5e7TxXZWriJtBRf9QVXPeyxb9IaIIB9
xg2ufS4EZnAwXM+5JvpnPFdzH/SgtRF531hTNo4p64m7kLlWQcNMwahiSoUrrJjLfqf3nS4CWzGL
b0PUKgHiNP2X2MP15vGj3r1ESR0D+yApObjGrIt50hqbwbFjA2QrzWcHv+tLwrQaP8tu616/i8Kv
S6EjCLFWcvNWR1akcdgioGGf2lhp/jJbbxF7bDazjzpiKOfCWIaNL/LNBQn6UuOdZvwaJmlUcUuf
XrFPtrn8HaJ2/Tzi1rXT3OVXoavJt8c7eZ/+IiFIwIcRwjsECiCvhd/6IhjTLNhLOuapUpXsk9Zb
6k+zJ5nYp1lpx8gnlxU+yenYhWddcTrNV0NEo3ZYz+r7xz/lrhAwGO/QagMeCgmHq/z2l6hu2EZu
6+inccBo919ljufW2ReuO6bdUz1ZaST1yHL1ZUkBuQR2A+jvkGZGMf54/EPuT5dH0Yyqhpx1OfB+
bn+I17cMMBPsVseljfzIiNWjbrXlcQBLc373UpSP0rSH46yCjr1dCutbbOxrnEAxvHUr2jZxbthf
dBHZ0w/SNNf7+ni9uwCMipKU/gGhyfyFM3a7XsrMeJ5UpT/aqT3u28KO/547zKRo/YhjbNbQtd0u
uppmnewer3w/IuUTwkoAqAVKItrdyCMvF1cgcdMdY6fFtw1Rkc8Jbr9XxQjrPVtU7+C4ovCjOR1A
Z81BMrFantpWTc52X2EkZ6IfCjCh2KFPh5hXUVfnHGVnCjOvwe106K1PVj1GZ3XE5DAPhf5iaqmz
EfDuvk75FDhbQQCH7c4o9HYDE+AqkYnf4ZF9sq9x0zTnvFLTIMUB4oCj2ZZq7B3gnwQITAiiqtTi
QBPWoY5kwC7HOgXUZZpxfUDNPWaEboR9jtzksjR69GVCabS/CCfMog89SPucTAE4z5OLQ4f61Zti
Vzniq0mrzVcQUzK3KrvXTPQmp+M3Ej6QUqDMAmq8ipEKGsFWN/Xi2GLPcNHaWfeFiIXfNkkVxKOS
/G0XurFXl9F4nqqQIhOdh13XpFjb1ml61HrV3WlmhBlVHKefcOA2D61lNbt2qbIzav7ZE/aDuICi
lfzN62r94InECnKC47mOW9u38FU9ABlRTvgFzxsn9y4uyafj+nbBLCG4tpYhQ+gPAaFKEccicsod
9Kr86dUwvKqFvguzvnue0IzaqV3fPTEMi98bIuTytJsQ35ED+PUFlAkNWeIpbo9FNQM5bRL3GItm
CQbb2Kqj7qMD4FKmAgYpC6XAmnCqwfGbattIz02hemLYaVnqhIfRElN6MJYqrF5c3U6NP8MoLpe/
FkH7T93Y7LuEAhYSX5fB7IdEBozW6vuyslHNRclPyPLpGkdVG2Ac2j5bY9FcWpsPXemW5fQ4Nr25
KA8MqUsG/LW4+IiAq3DtKDt7Qu+GJBAdSuMoi9uVc1KxF1n+yXS9SLOgzEzRbimN3103CAFxuuR4
BNQvueLtI8+jqPVKU8OTMqIF1lsO+O7Byfb0mbKN3b1fik4iMzyaODYBZS0RElPM2Ekxe6eqtfMT
LUT9EwoaTrDgxLtxm98FSi4ZGt8UerK/Ty/69qmiGQNk1Qm905Ql0UEtEIlzB92+wgf4LjI9e+94
h+XoNTNDIzmS89Db5bKpwmcJC95TDlF+r6KmHuSIqZ2UGJcspUag+PGRMVZbyQwdRAEZ7+v4gvpk
lW3Tx1RD0xiVJxOYSAE6tGrGpyIRSXaI+8FtaB8WDoK8tNMi4QtHrcs/sPsd1WOGQaR9dUdTRV0W
fxKEZmEsqgfy6H75WVOU/kdJiUtrulhglhfK13Rv2pk9Hy2gAUu7w3Mqe5rGTLUP2lRnse+h/N8E
YTdNM4ZXSzgpLx7s5Y+okpj9KZ3hKwYIcTPxMEOQDScnra1pt9RNGB2TLnQKSvBCW4wtpMcqoMCw
Bd8hLQ8kckeW+7dvZbBwnafzEz2puREehRDfh86yvxrh5ASO2du7dHDA88zDVt9r9UWzMAUm+Ru0
VDIN01wtrFHFvvaVkSqLENJQtb/g2Cj7Juv0sxab40mKeRweH4k31kSQkxhtyIOPeMvtw+KVnNTW
4jZPU+TapyhBr6Dsa/cqUnNGZDzKdsDvtmjGr1nxb3cvEuAIrbKkBGwiXrku4KOB690S1nKlgWOq
+2FwFx1bni6vmKFpc/yrEuH4R5MpBn7KVZubgYse+ecId2MEHFJ49kHT2G3rz+iFvphNU4pDWMSO
8xzVkfvdWoQe/ajSQsk7IjFgPuS989jAobyI5wYnN7ai9r0IZ+UXdLK6dDfMneN+VRvNLXeNWnX1
J8OtF+27GKuheHJwDMtoqYRzVgVlDoa6QBTX6zmJUjA+Qh5Q4FqBscMI6vQznT30OgK1sWsgOk7t
Tc1Oi9pS7Hr8hq5tC3ftwD2S/RhqZOp85ubjGRn6Rd0nXJsfJqh0vzJ87f71ICi6fosb9vsiHW+A
2cyrjBsjN0Ld6sqqvHj0FiStr4WnCXTGtL/mOUxeTNg5pzlJjY0M9O6YsRxJIckASkSUpKvlBDi4
cALSiGCklV7bcDAZzmIJHtK2Oiy99av0ondyLeUjAsfgUwLzDmhgrcznMQ9qJ7i217oX82erXqo/
Or0XV9tgXutJsb7Hn9JdcEUDUBolgBPHv4Vq7PZTshAeTSJSw5cmtuYjwmrp07LE1RHQ83J851Lc
9wQKfA0xxZFsmNullixsSsjB4VNDvf1FFdPsY1/U/cynaYuw8apP9Pu3CpyFt4aayKvAD2C727Wy
wm00Ssv2SqysqMEMsysulj4qfxpKauJXlrni31aI/i/gVWMfKGjxeEdROOM3N9ejDPIeNiinzqWR
DQEKzY9m7rUf3dxpW7Ds1fUtw4oUWSJ2SzgkucntT12iir52MxjXpjLnnyXMnH/IK4zPs17+paSi
3miVySf/fWdoH8EkIc+14LjRGl7FzjJr7WIszeUKGme4jjgUP4+d3bw3QoOwYcoIEITWCkQg+Wn9
1uuo+hqHyqwer1paNd/TbMT6t86Lk1Zb3ceoT5KDOU7OxqL3O8mi5CbMiekfcSXdLprOAwCRRR+u
5rjMiIjUmhfwoq0jmrnRoRSVvSXxex8h2E14c9RiRAnQLrcrTnO5VEpJ+uzEjaoGtYHYeRIaSRFM
RTd/UCN8h4bZyzYe9O6jxeRY5tDEJTmpXgcmRUOtHpaadm2tZdgpmW37VFX/dYu3JQz9xkpMROTX
yhQentzqO+pgXmZl3ndXK0T9yJ8HeDiWSZnoa3YsNgLEK1pidTZlAGRiyUtkKr7aThWOld3lUXcN
UyXc9TpXfKAIAGp/9IbTCV/H4bLz3XGOfw6dOVR+5/Wmhy6rHhq+TBa0rxGzsOHU9N3Q7MzeyvDt
0JUfXIVetS86q78sXodzma0lEZpqQmjmk4NxOlMrZgLp3imG/m+ztNUsQIWn+oQGqp4dVHOea8SQ
e8HQxGmnrW/yfpch8lOW4MoIph+Sz+0xgsY3WRqCAlcL+7ZjgZaoPzjh8ML4YtzIpu+/EQIaTXIk
fJBtQBPmdinRDpo1MwC4Vs7wX9lQ74cjl5jk16e+VavVP+8M+tTzgESQMZLSM4S32/VCkH2jHY/I
Sua6+d+E/dB+6PRmOsxONG+pva76B/LscIdJ01AwmAS6VdRxZiNMROWZVwux511dmggH8NlfrSpy
kOEf5vSAs6cAbqzny9Go4y3dkvvdpWvB0PlVeIN7Tr7o38JewWC6mrHsvZqRO11E35t14GX68su1
hfXBLEUSbrzP+6PD3cFsBbwo4oVQIm5X9LIizTF3t69h0y/7GD+cc9SP7j6akmUj6twHOyyrULjV
Sb0dFfHe26Uia3DNSKOgMsJM26vIhp56c+JmrFG+UPHD+dNVMKR9fH7WZqXke+i/SLYA+Z5KBiG3
/LctTUUVRq4X1leS5jwFxOiMRTAg9bzshaEs9ROib84fkMRCFQBw2CzHWo10M0Dtu6h2yWzWmS+W
yjVe0nh0DrUKId+no+foh7QpE/WYh7oY9o9/9focyB8NuwzHUuAQEgF6+6P1AhECe4ZUlpAipp/K
PnO1XQuD7O86juv64xiN1jvHJ9LQlZ4gFD/qcglBXwWRxZ2sYbDn5ppkQ/43aY9b7BTR1c9emvbt
wQuH+c/3PiV3kMRg0E6H0LHGEznQYPN5CturGJrqWW8X9UQfXPxII7VHw9HYUtBY17g8IcgPYhZq
uYD516LRvM9BrwosNyOg7hFFuJZ0u8g1ivBcCcywfBuR0G/2UivBqPfLj3c/LRhDhAgQaqTrsdaD
ca2SBtWoNdd8nGxzP5i15QZeX3vx8zRW6j7NLX7Iu9eUJCeQb0xraKesApq0vC5Cx8JNbM6r78mk
N8hyd67qW1pbfEpcpf38eMF1OOGOlGMY2YUlJ76rrFvT5lrUlfkqWbGnnAH8QXigKfu83SoH7r8R
agEQUUQS2gZ30L469PQWuZDpOtaasW9Mswqq2VOPURn9s9CY3Cjm3noyUhhWA2cnmb+3n6SEeIwG
9PRrie5lHAhY8f1ujM3uT6tO3qu5iSe6TDckFlsO2TDjvF1t8ObEdMFeH/NpGfeOXvwYIZftBlT1
nrKhNzcmma+f2u+ZE+tBayLBYXQqmTerzMklXRhBnTbHShtjmMSp4RUvXe96nQ8AK4dJpSf1caox
lfSjsjSYfyko+pwKuEBfcNT0YhQf6zLzm7pwIaq0+vjJ1TL3R6OIVvdD1E+/qK2nlEFZKBODZ+iN
boBldL6PUnQ+AUwr/T4qIY7TaRJlHMwR4npB7NTFt8dHdH3Jvz6qbJlLFAU0wFWcI7HDvHVoxHHs
FfEStWkMjlltDkzCSoZD+O9MNi1erTTzo+OF88aFe7s8sjJSIBLpbHpsTGII77dvttTyTncZRB3m
yc5OoV7ol1kZ071B06XbjQpm2MqclIAsrPpnlKlbcuEr9Nv/fgDoEVgbBHx4kKuD7FiNF2UA/w5G
i69qqcNaTrVF/RwD/d3hh7w8T7prfej0YjgLrY32DXDPXWor9cbVfBuO//dDcOGhISa5dPya250o
mrhXvMVVsQsPAQPQuUJDMkJBt2/a/hLCmP7Y9E50gN5hHh+fAflX/7/jTsCQXU6SEEm4lWJqqz1Y
sOEGcRHrx8yxo69ZuIRPLVn8xqu+DRmvqzAR5IqjgU8XaN1mzJNqUXtzMY6uSXmOY6X2WZt1sfPS
cKthcRsM/+9STOJJzRkYU3Dd7mUIoqpyYtM4Jk6vf0iUjitMaNPPMJrcw7KEW2nV3aPRuqfcQPaK
KRtiW6sNdJWh8wSdqGNSDjBhVHgvGJEqh5HmQfD4Xb2KS968LOQ+uTJJEnhbUO1XX4wVcZfjFKgf
hdV1H5e+D3ea4ro+VFPtqHbpr6yI6zNV8vQNA8TFj6zYfVbdJPtqlzgukeO1R84hCAmjcnczSddl
tvE91500eUniQvm82BkQphE5ZwHN8DhEbgENWppMomewL+2++fT4mVazYt6XfCYpkUEgkqXx6pk0
q51pNvf6sUEw9Qt3dIpWgLOcjMwQtKFBUatmOZz0QShBnC/OKS9twTBWEXvXmBE1cFFXffyb7o4Q
P0miGBltyUpgvc1qHWvGwJzp6BqZ9QEF5k/d3M4nUSLtWlXLf49XW3/8cgPIErjaaI2yCauPv7KX
iRGqYRyh5XhfMw8hM84AHWu1VY/1Ymp+A3vsZ1oTGt+9MgMo0kAU6WgGr4vlLCZLg1hiHGs+zUus
AZpJjTj0Haeev6hGolzjdtHPodJuTaLunxnSA+0QuI7EO8Yetx+pYYWCZukcnXL6xTut64eDkWLl
V5k55aUrqn2eF/j29saWOPP9uyXD5nGlnLZFabHa7aG2SgHCLTstHvymunKqfWUZ8XPmkqUhzrXF
F1qtx0hN+ifI7IVigui3Wi+fTFRnohqGkFHDnz+MmUJmVlDeuR7Cx9OC3Ckt1uH0+NXeL0tbCwYb
9zqHCjbg7QYLJ0Fd2RbaqQgNBRdIHLswT/9lNuN0SJZoC/+1usp5StnydnmpFsRVeoa3y0F26CMT
aekTdmRi13pOv8+qwfhhlEn8p6V43SmbXHvHTqt+wdveSO5Xx+l1eTTj3P8ZlvMft8vbmET1M2IN
p5z7/NKDVvS7RBmPTZ1+SIpO3edJ9hMao3F4vMu3dTw9H1oFgFzIT7kBiGSrdaNSTbw2MrVT3oTJ
Dxd7yMDMxugj2mf6cTHI7hj/FhsZ6puL0iAFfCXtftbRSU9QxHO9Qj9NwjIOSmG7SDIQMM02hoVP
ObdrOm3LafSNF4z0DJ8LVSpsiDsxLDC/9lKY+ikGXnbEnjD0U01rjkaKLoVNcRV4Yd+ewqqydjB0
9P8eb/T9cabFrhkUyHDDkKpaXRIjmq96sjjWCRHoaZ/3VhHozpge3dhK/UWN3+cZKF8sPxL+IOk/
PcQ7GPuc6EY2Npl9St3JDezKdV9iwBzQPRuEJzeu9bceDhUjbnVMA2U5fnt60b8olWXo7VPGGT7h
6yxe9FGiJ0dz/F7w4WykfCvmwf+eDoofJAsiL23v1dfaVMuEJkrinBbYBX6TGstTPY7FF70KZWdY
M44itsujnps4vAGaPM7cgX5K5Xocim55SkN9+NymuKtTI1QfjbosPnYOXJFa0+IATFABHEUlJRrD
aCzel0rKV0N9RmHGvwFprIGOtFgHowpTLJy1sfho9YUVGBrCvI3ot3Rv7sMKYVu6mKiIHpCl67cv
ZhlCrWydwT41lZuePB1mjAYc5ePY2kAQoMYGVZ64h6RBtfHxeV8lla8PCZmNK4qCUVrV3q5st9yQ
sQuSBwcV64/F4wf4jdEgvlNq2tfHa71x/Mzf11p9WzWqrdiOd87JiTQswx3o6rPT2xcbLkEgzME5
PV5v5RHD8ZMUdTBhQMT4vmhY3D5cstS9HTKCP3E19Z+VevhYan2209u4+zoKL/7VeOlV72vrPKAe
4iPRNh1IVCQRVWl2j3/M3UYDPAcMTt7ObYk0werbcwacoVXI1afJUewAhWfrAl/zOfZa48t7VyLJ
lRKy4LExpltL8QJBMx2F7Jb0HJ0DJV2U/Vg7+jnJdPudAYXxGUvAsWBzGQCtH6p3u6VqSk8763ZT
XMsu/ktx619JPhWftUKd9+97MDmsI4WVbER6pnciCxj9NE6UGybkI9sMROulT16Ja2M+FFuOYuur
j6UoErjyJBqMWeHqvh3ELAZn4mAkajv79dzZ8kwsQdGF2j6ejb9FYTobBcr683hdk0pIugjCDFNX
J8SaU+aSZmudY4T4D3pbaTvMRcsgsUWy7xZ6bY+3cx105HqS0kRPBCQQwfL262hztP5LqpIzuPJm
12u1EagTIMLdTLP0n0FBll6dCm+BpDfwqT5eXP7lvxWYiB7IxVkb0DNXwHrYrIal0w+TZQGmbNSf
Rl2ruz4U2GM9Xuat90jXgaIDlh//rEJOVdRW77mjdcaxTTnY8/zNUKDwpA761IirRM9N5DQbt95b
75HpB80e5KDuOTQ2Erh1lyX2OTXc6IqK/PAptb2MED5XgV6M6t+Pn3EdWeRW/rbeug9hlrVuZ3SS
ztVUfVPFODwhVzj/OySOu4V7eGspygweTkYwjs3tkaGnBONOjBBaGjpVeVcVLw4X1U6yMjai2Fu7
CGcdwBiwRSnlcrtUqo5l6AIEOLvhkKV+aEdu0CR5Rt6AypU/2GW5ke6+9XDc9bDuaFRJlbTbFYuo
NY1cje0zrhDiSKBRnns9tM4ZANV3L4Wwk5y+uARpjar4dql5NnorFbFz1pLiV54b84ua4qFVh/W0
sY33D8VkQOYVjOMol14JLr+N4vphdNvK6Z0zM4T4A3x5A8+SUSo0Nu8DVlDjwqBlwgO4UHY6qbhv
Hyrr02oOI8M5G3p/sXNpm+yOHUg1F9SaAz/fiO3l2+Ozf39KmO7AlYQPI9Eca+OduV9wJ3SX8NxF
QvdteK0XVWhSBaA1j6A436e39vqMUo2GBhwsB5zPVvdCEQ7T1JIhXLhL7d1ciuijY2bGRlvoVT7n
Njp6coJE6swMlZbNahlDi3JrNqcIy0CvODp53gbtkg+fE2We/TEthpe6YXDgpGH8uTGTNCBFHeMA
GfNkn/KH37aDfoKR0zPB1AdnI6q+gvbufh+5I1NLCRpa44nNYUKiK9eUc2oPkd8CE/iFD9TwJPrx
e16hgKTktnGAXW3sjK52AqsovaNlle1uDmP9MoxTdyqnzDzpaWtIfZmPzbQADW3yCJV91wiYUIo/
LGwLA9z0CNw5anqKYkd720rtX1k62s+oZmX72jTHZ8UcnXM5FdNpqFtvZwnQ1GPqRBv35RufEiN7
EMmyo8Rnu/poK7toSdR75QxkdLrkMaqJc1pal44qcWOD315Kwt0ZCjAAW13NVSZa06pm5WxxQb9A
REd3GkTPJRpKsbHU3Q1pS+wDo0omAiDEvdVRy1F8yxBDSS7O0Ma7JFX0sxe3qu/ErXI2XPh8pomQ
1OPP9u75WBRoEiM3FpSeQ7ehAoIgYcSY0gsSZO0x6a32aLjJcCzNdOs2fmspWp5SNJjRHi3t26Uc
BeJLbIfpRekqHGkme3oe9akLprYoNzjid8GIp/p9qdXt2OeDNVuTmyJv5va+iLVyP8dGvGP//44i
xpiPN3EFmCQYyfVcibviGiFfXB1Ib4Y36zQIAw59ZQWlUlW7KIvrvT4teP04ZfQ0WmA9rNJxDrNi
9KD/lQUAMToKeqqVHzxEd77O0VAjCENhUtV59N6Ull/o4IEH+ITTxUu43fzQKWstNZBhIfwXH9Le
+jHpWvQzZ82DZ+bV+4QM/7cjTCsASjJa5YAZt+vh9BKNaOJnOK0M5SEtF/GSlj1iJaWj+AgZNIo/
6nETLKRupT+ZbXq1sYTbSABXrNHXnwFLB6gWnBVQf2usn+42alm2anbxjAUFR0VFKHeqp8V8WfQs
wX0pF95fdjskHR2fYvmn1UMGLB4k/Oa9MUuCDV8Vwel+wzVZHUlw9Qi+1m526VVQh0uEzhUs/uJg
8XVvLLVu3HEa8T0gjYDbQfW5xlqIrhrSCj++S53l+ktU5I5vgT/fx5ozPk9hYwcutggfYztWr2GE
4dfjr+GNj++VlWUBxnv1ur599RPKglWHltil1Ibp4LZqfKlStd3XczV/sRhqbqz35kumQcSVAORc
ytmvFhyXcKmLIb8M9mRwwLMRBMvSNf7o2XHOn7EVLJABomDJez2oJvRz+Ci3fBDf2nYA0XLGQQpk
rVPysBbegChhfnEmZ/oyAQU7RNinXcy8/87/GX8YipcH9twmgd3h0LNxfbwRXmVWCYKBgpl6R76W
3/LLbmmiOayX/GL2eUjTqHVfWrtOLkAothz67t8wR5jKn04pWFr6KLdL1QMM/mHyiovSxLNfjc5I
e9hT/kK086veJ9mWbPNd+0gC0YFbg04kGYO8uYpesM7Azmpee5kqxw3UFLXFFjVhuEtx5StliZJK
AR1Q7b18PxhGf2yNxv3E+NH64Qzm1kz27sCRetCP5MjxkXGTrbe6KTs7n5VpOmVO3nl+A1DklDNU
DzhqNSIhS/GSsA/nuR7Mn4z5m2OSKP+87yujFSr7lIhDsB0Ql/Tbd4B1llWNFcyx3vCmFw0HAN9y
qviKJsd0nZxmqz2+zk5ojXN50CHg8qAsWycKOBqTbJWWdvHM0tqZ4OB3hi56H4MiHVEOPQ+yqLQ3
4rdMeX7LboGoSO1HoKBkX1wka10kswm7arYy5cmdK+NSTk78UenUAa3/nrFsN1inqcKtoyjLrQb9
mytLQQxJGEbybxWupymiPTRDm9MyS71UkecesQpsz0OFhrRAL9HvVC2msMHC7/GLXfVjeGaUmWjg
0cWTEXTd7E4RFokHpjnPLeioXTZo4SEdxTtnlHIVPirQgJSjlIlrfXerddrOK5fieZq0/hSrneFH
3RQ/i1ZdgkxblPPjp1pFp9f16FcYlIcSBrtObgvwPmNkzcVz7jrpzrZEdBJThx/4om+Ne99YClky
eiKQ+oDjrTFGENGTocjd4pkql/dUV6Hj+MWIcKnXpO5WgSiz1tsj6t2stvoOgUkvSltgXskgxHCC
RECG7Uc7Z4xffSGRNz5yQzdfa1N4zyiLGT6WztpG/rmKx3JzZV+By4XABK5pFR5HnFuyPHaK50qY
RbQrUK4KIGwaX4RhXk2lQBfz8dtcB+T/rSiBHPRmZTtjVavMHY/szOyxFS3zNbPmZwynvP/KXmku
PUZ6wN/IcuvU+9F5TqgGkUWnA0Xckh9Xb5EoVyhnIpN8fkp06kGET7gibmNhH7dti/dx+ZwtlvJ/
ODuv5biVbE2/Sse+HvTAm4nTfQGgquhJUZS9QVASBSRcwrunnw/UntMqkMEanXbRCm4xgUSaZX5D
57fJ7WCoWxMidgagrUv5GoUeH/TRKQIlyrvY1+CaXgMsbndWYqIybVAljCvX/thL1CYdVAKMMCpm
bXdi4l5bLhp1JnYdm4GPdvyo3ajRNlfU8noYcLLMYNRiARDbgROZ6pVQiFQ68HFfa7c1P7QyNXax
O7jDic+3Ocuf52tNMZFnX0te6iZgytdo2U3t8lpVrQVExGgNNM/t6mDVQ+ZHaaf4jp79YT/516jQ
uZ1VU4tUabNKI6VwBrfgK8WZ4dwAX/1cTroE5DIvuwE8aSDN5EnWqvthaYblxD597VDgqvzvwTfR
0RjVEzITbXld0ci76VDyC+Ho2RdCr768/Ylf24yEXzqbA6oY2iXHX9itlCiR1Vxez3VUfgWWnO2c
rB+pAXFR+wWZ0P7tAV9eVagBgLSjp4XWx4tuRWOnVU/hp7xuRF3dNgl+Z5Gw+8M4d3cIlgtUTd3p
YeBLnzjTX1tGYF3o6akkV3Rojt9UNca5VVOvvFbwmDkItRahNcKW1QonuVQdJPOXGFTI22/76qDA
kB0UGullb1msSCHTA5ljeZ2Ifnmf2k51ZcQYEjpNYe0jM27eico+JZK8hY0+r13yi1UvEXAY9+bx
q8pcjeJsqlg+SW4+zgjyn3Fzzbu2Ttv7VrN+Yq9q37it8qmGy36Ng0dDEdk2TtGoX3t7BD6gKRAY
rT244+eIJi1Fz6Uur4vc0/bmbPc/1MSjMz3m4uvkWdHV3Pfjie/8/CE3d9xakgLKSZEISeLNhwaU
4GbzTJlfb9Bxx1hdeV/3FgR/N50+GLOqdkFcq8tjYebWHuBRcnCEN/NJpDyPIlntafYmV3y4U3We
V6YD0WrKv1z0ZCLbQLyyaaz2dpFc08tBaal359CxGmPnNMgjzpobHeY5Hw9/uALXS4ZwlO0GUuRF
8zNSqrjIsOK5bockxvEKSLWv9hK3BoKB4mYYe3RkrMY+8RVevCvDEnbzPyCPiPk3H6GKTcWCGZ5c
552m/cyxkj4HrpJd5OX4WayHmjHNp2LRzZjAEGABUz1hsdFaQbPieLlVU5sZY16XtxUeL+LQRO7o
5j6oWmnJgHae092pUdfne0/vZvvPSlYMvtZ2kRoB9wRnd2u7ni5JQcHK6W9lvchL8riPVLjgME2t
5iNyMp24FDfnNlBIkkuaQOA+VkaYsSlP9tVgW9K0unv+e2h6WJKjlaH7jtPNGdhF4+7tVeQxdb/t
KYYDig8Qc2XjEOh7m9uwkY5ZesZo3qv4pgWTTgZTpKgB2Ei1ESjO025UG6zXk7y8yuSovH97+M2l
8ffwLCky+fWa2qwmMASQug1h3rfGku68YRrOlaJRgUPOXphO+oM1unYwUXUO3x54/cUv3/s/A2/e
22hjo0viyrx300yGLRpY71Jddx/eHmW7cH/NLswYNgoqjtvyY4zbg1lXrXmfepnyuRkgNCpkmvvZ
deIzWefeZdEYw4lXe7mC+KQIIFGhQAUJlO3xbmm8NovVeDHvl06Oe3zj7NDuQDTjhWb5hRedwnxs
b6Xnj/gs8I2gBjt12/zJhSNKe7HN+3qo+qDU7DrABg09ekPOIaSheG+nTbrPUfd4kEjbBnqiNu9q
BFxOlOA20dX6IM8WDQYR5eqfsH7032pPWevOWiZS6z6x43Jn9bW40FvY3IuUp6RaXplkHLTgr8B9
Ajq+Vbmy47wGDTZa99PQ39XOoF0YsWV9zYcMpJQz1acov6+sJBo/lFHJWkG8bnELpd560dL01v0M
t/qsLHrvJxeAEo4odOwic/bwAzRPcSde2Z0GWjSQIFezN86+4/nEvc5IM7237/HRA1Dqpd25N/UI
YMvOvF4i+BSZlPemOs2njB23d/36KanWE0auRaUVbXc8dDTiAdaXmnVfzRBhc7umhWsirh6BmNzP
kYqDZRaLneXgO0SrvN9LMEB+gkbtbdSl9i4pK/WsjZtTwPXj7wBuhIue0GuFrJPhkZgcP5eWZklC
rcb+sRIlvEuKnbl+GQm1qb0wMgwAv0PZpcPHopex9Weq/c+DMyzcaHBP0Ey28LVkNKiuYmP2Y6oc
sc+wY7hgEpMws51TJOjje+HXUPQpoKBiruiAmTt+TzMlYnGNyf0xA1M75I7W7Ec9n888u0eAQXHg
93uZqn5wsQLzUwxM/+jWpSTK4MDV1mIb2BIYUsfjW7k29ZS30yc5QRg585BZVO/aOhnsT1mdaGPk
K2gHLCeOzk1BYR2W4iISdVRtufVRkz4eVhd1OXdmrT8tbaHAkPMSO9uhSGXX507eVEMbAiBS+/cG
pEP3Dhiomt7MbZG0vqlHQN6RkYh2XUQGfSLsOj5veKLV4Bi5bsrddPgQijp+MCIuIHu2UJ9ASUKv
MbNM26dR2Q2h1Rb1Z7eshlNE/OPTlDo2DHgopFTzV9z1C7CkqyDjNzhW8pNyR4tl9jR+wJZw8rWi
SH78yT3591BrILJ63xDMbg7upOvZcFja/4SsJ4yr1OvBukFvcvMHTU+du3lI8CJkrznWiS++nVdW
OiB6SBIU6JDi2KoNUNvGdMqb0tjPBqe/FG5pHGbk/Q1fOLZyhvBAeUry/cW8AutFFIi6Bx6QnKyb
TzlE2EIVXoJ/rOLQZlfizgqqmFO9V2V8eHtij09wJhZZmvXoptZB149NdbxsFM4wR+nqJvZTy47O
ZFnQ18/l6M+VJm7HxTFv0U7L/MRZirO3h34xs0Bs17Ici3bVw9gO3SwDdUIEIrEcN935RpI0Brh8
VRSakELSazqBbw/4Yl5XjL4HmwsKFXCcbfe7FUoPsqWMeNc+Sr8ifljZPpCx/qpYWq89Eae/HM1e
efqwo6j58b+bAzLTUirnSzYmdI3BGgI1ygq/TXPP80duqhOjvfiOpEA0ePCg4nxCb3IzmrqY8RLr
uZ34amyqI6OhHeo3VhKZNEFyK1sRvVATPGuW18Zsup/fnttNr4mFxMz+EnGgZEhjd7NDR8q3uTEY
UeLTCtFVpIWNdA6rsXDzCzl5uHw1Mk6x8FYb90fiIvnvZ52nfu66tvszBzCeZXX9XZX+6TOuvsib
Z0kImRfHG53E7x1DHHo97y47WQ18cqfEn2g5pcrwYvZpMVLSwsYN9haHxGYX6UMfT1QnYSyUY9fe
007t92hNKb6Z59F5ksn+XWwbY2gRiZzYRdt4A7Xj1aaHLcxrUyRd7+nfQlpMTpzGLQaGnoy0+DIX
1T1WzMYHWaq0kB19Ps8Qnz9xajwrAv0nO6LdROBFyIeoKDVSwHuba3CIBDeRNNTENwnk2/dqPbZT
2EzFXAb82Xww7GSSZ1M+6V/srhDvjELvy0c714arFnXG0bdkNn+w1FJo/uQUc3Ul0tL8DHLPutYQ
37lr+gT+uoitUTm0sC6nrxyJ41WnwjsOOiK45s5Bwqv/lSH87+/T/4mf5N2vd2j//V/8+TvVzUbE
Sbf547+vxfdGtvJn91/rX/vvf+z4L/37dnhqur55+sf1Y9X+Y9+XPx47Icvt3zn6FYz095OEj93j
0R92ZSe6+V3/hODbU9vn3fNwPPP6T/7//vAfT8+/5WGunv7113fZl93622Ie66+/f3T+419/oR/y
2+Zef//fP7x5LPh7N7IZH+cXf+Hpse3+9Zeh/ROxU+Qc1ksROdmVEjo+rT8x/2nDMIa7SBjCT/CE
++sfpWy65F9/OfwlOvAQuTkj2JfrX2plv/7Icv5JdsTxD9cBFAbg57/+34sffaz/fLx/lH1xJ0XZ
tf/66/hKwfeabGC1U1yV7ugNPOOfftsMrllKb6mqJTQTrX5nK1p1Z0vLaXxFr6YY2XXtlP3BepT8
ZyOsI4JjIB4hjQZ8B9jvePsthjOrCFbZoYlj8wecTuxDopenZM2fw8rtMBwvlFO5v9Y6yPEw3tqw
KpPYAg1Z9J+01lTeW7PS3EqR9zlypZb+YHQjAMZa7dwuSIrOfJ93VVv79JeKwZd0TsWhqNnJodFi
5ekDfpHtrun1+Lv6PDl2k8/ofE9TpwetaPKMHoDglC7VQrsWM7C/MAYJtuyKVqrT3hmH5CFr6jnl
kOuSKtD0QYsDqWZy8a2J5lrgeLnI/cGItehmSltKwEIUIkRlum9DS0jtMU2W9MHrk1XJp02z+HJs
y/F90iRDvasToX7sXIGKe6fJUvqOLVsPv+kx0/0Ua6DhIhqd7L2BC4Tma9GYpn6HzjKLZzby4oCm
awKNDICEjSpUpl002J6bQT1PLY4cA6orgSby+HyuKyF3WjU2N8ocJ+0q8SKRDI672Az+V5lXFiUR
SiTowph3JSh93S/qUV5my1ST2XQJMyXUVKCOZAgxhb9tvb9X+NsrmvSaKHtFkarcquvN89uKHlQA
BZhAG2GNrMmujxDhoGZbh7VZZgEmhM6JNOKZorlZaewd4IGQ+Nmp2y0EsyvK6APpYb5UZReWqcyd
K6eZhmRnGXBW21jX65Vcotx7Q6fUfjxgA3vo+shOgt4wBaw9McVmWGZz+tmy+uQbkDYn9VW7H8cz
dBG0n9nsdmKv1DiK41dVDT76Yfr90LrN+qlix0e/sDX8ZRqb83gomigYtQiGmxKl8MBbBKy9fZRW
yXlO/V7zXWeZct/wasgghiaVj+3QVmsaQtE9rOuuuciKOi0Dy5kxmZF5LL4upUxPhWDHN/HzUUDo
gfQ0KREZ6TY19GYNMSbi3LBYZats2Kjw5Bv7LGrFg64WHRY43ilawIYv+WtQUhP0mZDlJQXcHAwa
dWcrV2MtjCPD+VbgVhsmliEDy4tbQN1jn97nWMDtwOvGD9I04sQfEM/bucKrPsZGVoZOZjUfKjyz
ej9W8OTwybrH/JBref3ZiBYnCbwCIZTR5W+Rspxybt6EEusbIDNG9E+ngGiZQPl4hcel48blqn1R
lFAZw5bnviRNzjG8nwY839tuju5oIww2DkPqUvrRspTuTqAn0e4Ksy2msEymogrTCAxMUC9dMvlS
Qvr2Y7TfIr+s275F9W7oL+3YdEd/qCJqVJ7R6LeFmIhhOrfty2BOwaDv3t6+x0nA88vRun5OWZGT
UbdoSrs1S83EnTpM8R3c5VP5WS5LfWk0HChvj7QJwNeh8KF45vLDzYKyu95Uv50UeNE4TT8tSqgr
GFKESTYtkb9kjgTP21IYCRA1aCCleuVTvQhxCX179PzMKLNT/gUvN8KqGe6hBEiH4iUtbVZmeEtJ
nOzmEbU6I8Wqp1bWU9PVC5oyqem32kl/4efa1vHBBbEDkbw1FoZ/t4Vtd2Wc1YXTJTtzmJs86Apz
lvu0q6obI1IaWl/pmGWhhf8JYTGAimDIWTGIXTajeUjddkFIJMkdcNAeVY0g02Pr1ujK1PXLVRjH
75Uyi65wosKRp1ZonYd6r7j3Ay7oqZ+oenoJdjZHoTJClzaQvTbc9m421Pu85bK6aIBuYEHC6QPS
Z0mXnYOIiRrq1Cc5Qz1FUf0JBPxHxO1LeW7MWMkFcYLS4HU69+JMKyLY5WMeV+dxjKwlnaW0uKXW
RG2Ag3Q5tB6mFb7de5OJk1q/VCdW8ovQatUrJnzho4Ld0bYm812yxJHXJPkOxSHvqeid7sIcYb1P
GPrs1cyU/6PxLPpqxIQIzG5KyxO3AXlmke8ws4335Djz4tu1pwSD1ZkQKnPrz5DPbCCkbKFRorS4
os0ozh5voHnSY4oRMt8Z5lScLUiQUOhJ5ksF3YSHE5t1BVccLdZ1rFVkBAYUKc02bCy0vJUZ4cdO
G6fxauqEcegpqUqct/vuU+UhGhEKxZqu0jKq3i+J7bZ+l4wYDeLLckrBYFNL//Xma2NmlXwkifTW
b//b0dHBdqh07P52bFCtO0fyf74Zq3ytHwzZFV0ERNvSbPkxuX0XYAzYfqC64u6WzhahMWvxlQTS
cSijOv+VjR0lY79HP8+s2e08wZ3i2dA64HTbgFQUzYpoHlO9MCYRZYc2kxqQLaTofTEj1+1H2Vyl
fj1yJQRjLaIlqLS8+LooqwanUnmLHUQIEDU73VJQ76mHQdyp6Mq7Zw5yoQWoUHTYsY1zsCN5+xO/
OPkR36AwDQ6Vav+aMR3PaTTVq3ut8MJMme0zyvH1JXtYvVeVWv7x0c9YSDBTAuCEIErcjAWYxSjb
jmaPnEvtW1fP3RlgreJxjoV245pd/BUenX1eFf2yH1rd/WYl9XIicHzlfFgzQhYRn4vQcbN7KBRO
Q2zbERpksSn2k2rKByAP6WEx8X31raLFl/DtKX7mT21WBy+N3d7afqcEvjkjUtVAh78qojAXSWUd
APvRd89VEzGM0hXFh9IoultAN3kf5pbSB15b1YgXUdv3Aiqdkw7mfnDsMO5raYRjPtf7mWJRGVSG
cD7QNKIBWVdq+mEoC7van3j6NbDZPj2pL9H2KudHTfJ4hUjKAeuJ41AVyiwR5PXkqb4dNf3oj5GN
42lGJ3XyDeK7ITQ7EUkfvMcAqICn+d6asVLsHXU0Gr/yRn048XjPNIDN4xGPcTzxS19xADGreMb6
fHBCuFdLdDE2zayEWRWNt2M0CqiTrMY7C5A1gofqqFxmfKQ20AEoKvspdVPdX52KUn9GsOBqSocW
5eGhLhr6ES7VQEVLFDwdO6TPc6gGbTBmZfOkTFiF+mjryins9IWCJXUmbdipXpvnfutVZf/BiBv0
B/s+SR5sNamSIGOE4csYC3DBYrHJDYSF63Fk5+NDj2nkd5Mi5E+vUhPVrwnf+6CrdMyb+qow9D3C
uvnit5WSCT+PLfd21rzlPTIi01Np8GBARxPSmYEyOetlSFXu3ljUtl81Rsl5Y4jmzsy66MuSOqv0
SJ3YAaatw1kLclH6SxQXX0SlwEE0pvZJs8pI3alq0jqoR/T5Y9LCe0WKseRqc8AcCD9qipzFjCq9
7aNjbyiH3pVVF2IqHJ9gFb+yaYHlU7nk4AByuNVGoseFT5hRKWHeTBWoXL0NSxmPfpa05XmMwuL/
4KTiYsXshYo4l626WfNdNaSlmAslHCKred9AvQoLp4r2AtrLhYsrlEYTxzH2JJ3td6tz+j2FHOvE
rfLaW3NWElash8YLwI6VzaVOeUkJC5xEzhbMks9p/5Sh1fXfplkk929v9NeGWy9VAgwuMvqyx/vc
Bb3uZTqU5mZEfCbVXBlGpbZ8L7ry3TLaIjt1LD6XmzdbF1Y1+CB4L3hsbc9Fq1EUj9NBCZPY64ZA
N7E/AgdV1gk1WrhF2AgXU48235iPw5mGfU7hF6rZPAw4ATq+O0WOfZhLlU3t4qBHRZ9QLETNaTIx
HRPmAy6+WRp2y6R+k1meqn6pzC0aZUvE4bWYDXvdSFIVAVYQaJNvKomN32Mi9CCyPHGf1WmcBDqQ
TCVALrk1fS9XC3K0YqnxONGBR/v0cNsHzaKe5NMzdW/HWGk/yNo1n7qsK951eZPetZmIVD9G9h1R
rXTKtUOFkPS7XA4V0D5lWX5YnJJ5YHFD3pi9knzrYc6nOy2bEgP9ChpNPs4ukwzGKNUrf+qX/Fqj
OyP2CBPWfUD85uohyPkBrxRvWTyIyMn4tXEsRUEbzVS/RiOeL6HQs46aTCLHb7ja9sKf5sa9B4oI
43dqU/oNnV3190urZXVAv7q+l5mAkaPXrfha2abUyD6rsfR7wxbXzjQi/mtjxVj7TiWsW8xx6zQA
WgvKKYYPafhjXiI/U8z95Pi6VBQR1J2tIew6RKYCwNDAU002DXcI7tGfsSpCucZyiiygVWvfsAGq
z9YwjiOJi+ye1GEqTB9j5uqsiVTrJ5KwSRnQvCvu5qSzP1S99O4as6/ft4ozfpw9o6h8s0NTPkiT
jHu99UbThSiJRCoOdEr8adb0rPTTQUHForU6JfZzKllUI4VsPiVKY7d70QGUDzoPWgJuPqX7kJb2
lPkLWnvX8Gbq3NcWoqtQSInWYAFA6sK2wXCepbJIbzPHGqVvJqV2brpSSt/K1lJkPI5x//in+xci
KgQqjTbdyhRd9/dv0TFudf2oeSUckCFNdtyAtj/3cr4BkE/lyhvHE5nPy8hxtXmiTUm+Rc3P2IxX
JNIULSD0sC8qO+AjRQ91oxQfW1S3//wkXJMr8DNU3lciz/GrwUXMLAkkBox5434Ubp7duKOiBXEz
1AfKb6dwmi9fjcYB1UVIz3QKCOiPx9MGo3ekBeNeVh7szqIpL8o4zoloCBre/mov6yHPTYpVzomG
BLKum+BQF7GSSSv1wg5GGNsw96zrcnKV8zGFLuGIzvxA07TNDuUoxkui1/bdmPV1fOI0Pm4NPudW
Ky6UMI/2B7nl5sYzgGouZjp4oauDez1rG21cdmOWFHd9Qj3LHwqlzva8Augkc04X48T4L4oxTAPQ
DDrfrCQ67pu43EV0oTC8JgpFnuvvvB5ZhH5wnLAaomjvxep8nShTdiL5ee2l0UECCIX2IDzITUKC
mvRoySlnXU26MR4S+gQi6FJgef7iSpVYrLFvMeHwAtAV4o9I9b9mfJWagWhD79d+0YyVttbITCph
DATyu2i6kaSw6wNX4tEa9FV7iklBrsG63Vy49J2AAwF8Bu2+jaN0dS5EttRRKGM7E3utWdRHepMt
KsnN0sxnKIVPLmyyHEtOb3Ijba8lAELfDY2RdKFnyvEHUYl0glnv5eNCetUGia0q3t5V10O8VAT3
YDYvcRHkIzF2EMdLcudEDXbp/UBOQOu1ukbpivqfAAr1WRDZy90IzyCG+EqPeC+92qa/qi+Tr7sT
t92opi2m7gTE1wUROZZ1uIN+ksBd+pBT0DMCJelS1EMq0CMIVxTx5eBQfdkhQUIV1RNRd6HVBiaa
LTbCnM5jCttA0VCBWoqRQpygtPO9bOco3Q1CH7+Ope3SIoPXFIy8fscLJdx5+DjKR8cZpnaPWIow
ggWcCiZcRs8VN8VZFqFXjiZN2OPifKO1NI39BU6l3HnCjXDYNZZsrV3rykPuZVXsJ+WU1kFRd/jF
tH2iPHKNdNKvkrlI/Hbi1/vNnOH6WlGeV2hUJN2THAfrvjG09Cehq5D+WMdx/F6kKBeHYxJVP91Z
RE6Qt3k/hzkK8+/tTmTKbpqquQ7GFlVcv0gyPOqKLkkQq62wbg3SdmxiBAxV9V0ReVUfKqsS5UhB
kLoEdUEnlE2W5IdlcNon1HVr4atyUj+VtEUoUJpz1/mSEOMiqlGN9cEe4HOBH6FOX642qvrThFnB
d44faqpOlrd9UCRTdW5UBC5kUXNDn49wo/H1SZo/OHr6Nassp/GgSlnkt8acDNWOPqENF6er+C2Y
mzTmFT2eRTvX4rS1gy6KI31f6HIZfdOTaDWrSOdUvCfqDYHUV18+K66Hr2ORF+WhdURW+UidOJ8n
odi5nwuIxf4QR8wQ12tuBZpamu8Go1mmM3tUpm8ibqIpdBVt+q4mk/U9RqcCtpepeD+J0Cznws0M
KQ/C7R1xls+qVV8IajqKj/il/GmgwddSdSjSK0vX0U2A0tAoYVNGUI3LBbetQW+ny2rFGkDGQWoo
kFDpPnVuaX7XlqjygrRWOIqEPdHKQ8+w6c/A+VkdKOzZXEJH6WfNN/AijHfTPOB6aDWzgfNjo/Je
JGVdQEtTLkFta4oVWHE0tmGTJ4MVellZPvAkuQx1keR5oCkoKp9rKt7BCEjHrb6vKM8kJ9Ksl2c+
LBigwLD3qInDPjq+ZufUa/IceF6IHiu1kGKI1rBzrAlMDXVOz9tYJgd8007dua8dg4CeVykninYv
qAkx6LvJnalD5YRRdOSQGPPhQ0wH2Um6d7gf7Zzant6pxYCPh4l06Yl45pX4AiAOBDMVpV/CjM29
43QqnMA2Y08Lq7ywBqldx9HCWeIlX98OL16ZYpX8Cus5IhkafuvPfwsKu6prY2cy3dArkjX7GMp6
p4kx/qFYS3OwKuRvhzn+M5Wf9WojFF1Z3nR4VlH3zfvNrdup6sztXeRyOeNumA/wm4wPtGLev/1+
L29wRqLuQ+ILW4US5vH7zRPCZvVAcUpfVHmd2fEU6mXWUJYwslunYEIJvu3+M4C2L2+P/PIbrgZP
CNQBKAPus+UlpqKJtRSJ1tCzR+1GlS05AVjajwvzeWKfbATen+eTBBkLHxDM1ooZOX5LqxxitTc7
L1QAzQ9fsHJFVHDo4hmzW8S/6Taby4UoHRtJQ8reXN622iWIwFdgf40qHmQwJ6bZgrEqmxNpxyvz
QGkT9CetUSBl7qb07aCMMoDajMIR8aprL7OMnTlbzcH06lNKKK8NBfpzNU0BjINI2fE0JKkFIn0x
o9BpBMWfQgOuXHb6sOPPEO7f/r4vDwlArRSKIemReNAoPx5sNux8mRXTC2FsxfGhcPXyLM1RJiKL
VswpiF1FntO/1fBHHczkNtOd6JQc2WsvTNJDBwkkqPciRKQVUGD0q0YwA+riZzopyVfZTUXjI9il
vXv7fV85Kehsg5FHTABowDYWbijqYTaMp0Ei57rdJ5NXzz4W8na618wp560T9aPVRfWJMPiVcSke
czitVTz+j3k8z1VsmTW8CzdsvJRI0EZz3a8ytf7YFrH063jsDqITy5+neFw8yMpYa78bpNkme53s
SLHryBTckqh5HpyZ1UpwVcod2l7difrlK6cUbwgEiyAVIoq1GaxUHaWt2B+7lLL5zi1VF0AJhOfd
ABT8xwxS/9ywRsf0bUxVxe7tD/vKInKQjdLAQpLZUTc5nmAnG7AlMI0E5Lsbvy+Htj+ndq9eK3l7
yqDxlW9Jcs7FhgUD+cW2+Zq5bgaoCQiOtsxSuzLMStlFuTtEuB26c7krVKwxzLSN/vg+RQQDeOda
sqUNsCWz1FaZg8inCau1hvPTUWv5SXXd9FyLkDR5ezbX5XicQh0PtZlNY6y7dNTpiIqYjD7Ii1Sh
qAOi6sS2WH/PdhwTETnmk8I3ccLxV6M42etqOme7tEzKK1Ts29uSftaVUi4g1kCO7d9+r43ow3rH
YKUHYm/lqpDgbiEgPblVqjdZDnmxHkCmpIUnKr/GWKTaOYtZ3eBmOL6vvcRDhArQ5LuMWuEnWmfN
IaKtE/uWginNvqRSlIACQz8QkZBIhtWcp+eWFtGcffuJN1Yuv57Y5UYkdwckT81rM0WQtGsPsevd
rM+UB4ZGlGBG4/xDMlZJd1tTYqP/GvWDCCKsF7rdSDz5s3cKdFKUpihTf/DyMjvEeuJ8xhBb68JO
pqhN6rV0vjZ5RUvDyNro/VAYydcCtam7dNGs5gLQz/ChWNDzCDHfdoWvm1ah+1YPrurE1f9y81IR
etYeBSLOWlh//lv8pjmFQdaTiF07iS/xpBV3k5s9RpGpP7w9m68012HAc9msdENwqdtIKu1nrEcV
RAYMysP7sWi1fWYM7l3nprgVevpyJ9V6vO/JjW5M6TU+zcCoJZGrYKZnKAImaVnEPq7y9GnefraX
x+cqXQtgnVgSvJ+5mYQFMSavEiJBca0pD2JxvyT2kF7UBRU6/OuTvdZFy7mwluTEEtsIET4vMVhU
K/gBeZ9V9Ph4+lFunNOp8uhYFx0KTShLa2dCzZc6dFo0FVAbzOdzw8ywxcizWXceLEQxfuiAv73r
aGinPGi8kXpJNI9m7gNNcz7DCxfFoejt2Du8PU0b/urz04JMg99IsI/P8baUCHotjntJRaN1qGWY
3VzkflNPeRymGEoruypqTTh2SXFpGenga2VvtDto0/htc3M9vf006+7bHGA8DDVFENb853m9/bZy
uegROdZAV/FZin1TKsMThhHLp7dHeeWYxIkTwOmqbwx2e3NM1qQaZrdE1LsTq3tiAaMAuRjorTg9
qit1TI7/9oAv9wnbhIenjOYCv4H9dLwkoADosm6EtcMvRcbky1X+YC1OfQ32OdorMtFQAkQRz5qr
5tyjztb4bmypdIUzp3k/JrF61S0iOwhkPU4824uQVWfnwqvlClyj1i1Lu057dagb29qZU+sK+gC5
LPylnJt4p6Lgph2Q6nOToMWi+aErB6sAJGWDUXl7hl4EATwFKGBkkgmu8AnaBs5xh0KSHNydnMoR
fBttS5DSAHI6JSLHn9GwZDnu3h702br3aLmRBtJBZI/iSASVZrMQOj0eFSnSaNe3uLj4rWku9Z7o
tVx83cB8feeV+Afs4zwy7vUsSp4AUbbf2QvjtxGxI4pshlv/nBHrTf0GZcHIF65LnWuZ8+hRl2ql
gl9b7Br5o3z86Yyg3zn288bdx2k0vBsHs3lHKCtAgafzmIQlNGYtsPXCPbgCIT8fgerpm2WnmHOC
gdHu8kHFqGlRx3g5H8zU0QMzni1fy2yrDAyeM7kjXsZMIXciwz4RxbzyjRAkAPfDLlwD0+03MhVU
Noym2QknrcJyLprbzjbiPQIAl7nSJXsyae/UwnhxIqyauDZZIv9dzRI3O2duJ2uuZdXuahK3M0m1
ePSryXFOUcxftlTWuAmCGYki/+ZGO96i/WhXVaUh8CugHyN1TpymTFZ8MNPG3NVuWYephxmZlzRw
Bax+CijnaR/fXpCvzTBhMHV9dgCH4OZlgYEZNQqMza7RVEGdR8w7DoQxmObW2GW2WZ+BFE5OObu8
uCnZeciur0x3LgH6BsdvroEFApg5tbupRH4aP/glLFRFnNtJlO8SmAmHuWkfcT9ST+hBvXzdFTsG
MoMOJMzy7UUJHlvHV1hrd6C6vS86naQg6+fa8GcvLZYwQi81aLRUOaWU8OL854XXBcWJzL8Qbzh+
4WZJC8eKahDWWpPdTJ7nHQYjU8+HDkP6sUj7b29/1pd37Drg/+XsPHbk1rU1/EQClMNUqtTR7dz2
RHCkcqIS9fT3U5+JS9Xowr7Ykw3YMEsSubjCH8hGeL0ufZ8tSqKztbgvl1TuU2jjatdlpHxxmcXt
Cpbw/3oCggUqEaUX9YYFBazwevXYTjOT+dTs9GvKcZeMm/X34D1DPxNVJWfrJlBrXjJzqcg9Aup1
le46pFXaCIjxIHZWpmVFmCxd5YY9BJFgPyXZirOusKGK6rKN2wjND3mndzVyr35rWfke+omcQs8G
27WHpV5oIZHTaI5dMTHJNrUl+bMUYIZuAXFn7ybyxu+aLbs1xza1feAWnR7ihcP90846WXFep/Zy
L4cl+6YNoDBCnKjGcefHUn7OzUl58Gh1flQxpO67BK3VT2wb69my5rwPnalNvugaUlEhnr+Y6eS2
gSL0LPT2RtaFKY+NaJNnyBTO4zKVSu0MxlanYNGtHBgumMw9bAsr3jltUc+/447eID2GsjiajCSq
NGwXY87CLG+D9BOCIymS9GlrRFU6JfUpTi3V3pAri4ORyrm8sagPPleTQdsffs9inSALgAIarb7F
/XMcvBPDXKxoY6dUf1XQde3eblMgcm9vwjXrPL/roHNRDxDA6QmC1Tnf9I1giDSlTb3vNDWeQCd5
EQoDy8mhSX/lXv1fr3azGO09+vMUoQzCLuQfm9rOHGGWe1QS/P551OzqW+HjocRMYcXDaZPm/aRQ
jRnYzun8jfTIMj9WUivUgdxI/5U5ch7BNGJTG9XL2P01zD7Wdr6uIXU4xKL/DAe58266FX94W2gI
+NxPVYUpldZlTQ3Bxxs/BX0Hk75zlWvvMn3RuSj7vPqI3byVRE2r0Q+c0SFOdiOou8+BRB0TlpWt
/KeuAda+n5EZLncxYJ9u1+rYbUG5hZgzDhKll1GHWxUFSDzLEBdxgE/2NDjOvdMlXXui7A3ezZh/
/i7ws51B3A+5HhZAGt8bSuneLihMIaKpt4EYOsGgfayJBPreE0l9z3xTgOBrA9neeu1S9pFV0GSK
Zvadg4xjWX/PtX4E1dK7NRShMhncyJlc7xTUUoyHfGYCTcxxEH8D6T1GFUhCLIKYs047JDtsNHFK
isRDPJRcbpA2PBUF1VSd0tIVZgSfx/ideklbPttitJzd3Ov0hGkj6zfu6A4AemZ0tEPgiABhcog1
v0lnGnPvKCEeRuy9v049/Sr+TSO1H1G5qK3IBoGDp7rtqPi9Em1jgE7KPSMC39B/A2Nvj4xurPSP
NPPW/zjncT8fE8WQDhjPFGN4P3Q2tCnGX2Q35TjHIZiA9HuXBKCHtADw1qi0vWf0XnHqEhnn4SD6
qfjEdpf5u27sp/eF8IxirxALq3Z9FizMC+fGPsgsnUYscZMsfaqbYf4wWyK1j/1QNc7O1Vz0zKau
siPyQjlFemyPiPiQDkPMK1w7PQYOrlKh0pXMjjIuxySKG4wdQgQxpXPsAqZSx6DJF6h0RonhVpna
3V/Gj5l/gHXZdljhOM6PNJ+D+QHeJ9POOLGWRxF7ywfZ6vpzB6hDRvYoshQcUpA+O1qdiZ0zS/kp
N2Z4REY+8KNkzNgpguKmHoG7iJ8urAnE0Ya4pDUjR/FbeJR0TK2AY4Wry0EQYp3V1++lQK7zvTW4
Cw2JbPR/Al3NLXg9k3oe8CP49HYoeuX+XdkscFmAyZB3m+ehyGo7bgdTDnt6j9OHKYiTGxVXv334
de/pMlzDHL2S36xNvnVeSL7PBXy+nHCQNSkSa9hXsZmLkIkHBd4MMoUORT7sAdm0B+idxU0Fgu2K
Bv8rKQ59nACEJAKPDLfW3/ZPQavMftbZN+V+qaqEFliyRCtG4FS1JkikfjafC2wArxRTr7xfamf6
0/z0VUNms6jTUpuM7VzvNb8Eh1c3zj4HUYka1mx+SdrJOb79PV95SNYjN4diwRWztVgbBnseKsHV
UlViOTauRR3kqgF2lOxvvHh0afuV12A4ryVVeOygg8AGIo3bgvI1xBZ0q6eHhNV07+2LKsFmAolI
BdY4nzTwgrUwUI1GZzQEWt4Xn30vqdoTQDD3Web2dM075LXXTvmAGdQKwKXUP//WUi/dSrlpt/e0
IPnSLhL4x6rk1qdy2Xf1fO0YvXKjrx0mKOFMMhmibfZ1LvGpyDx72JtNnSGMADgCJE5wD/zmmgHc
ZaOXWd06cmcOQS4OVfv82dIm8SZryKY9Na11AqFQ3DT83V1Mbr+nKdDvizbVDmgXGIwqRLGzCgNE
pXSmiDI1t8K6ctWhdc3JClvPb3au6sqDbvaOv3t7M75SyK1+S6tSuukxotka06DQREd0sDF1krL4
AmtOvGswIftkNziZhtokpm8tlPF9olnORzBjeOQOcX/lSFzSN3hhvKcXTDTjse1miNepTuWlIzCl
Is+Pdu+K8lMpgCjsC0Cfctfmqv2YGHJwd2OaGTos7bz8jIC98RU/EHMlRZfN4wRm+1fWpPrtkkFJ
A+JfFC2gp3r8CkQ6/mjHxnIlOr9ymgGwUx4AZKcttO2O1SluFK5c+v0qv3E3AG3d92M63ulN1ewz
wPy3y3JVl3itMTcJI91jSiSKb4d50+bsaPidd37PnMvzM7kzMYv+UjfCutqIW8/ExTr0/6nyVyuQ
rdYAGArUar0V51UPljpks19966QpkI2dbIC3nupOZYs6dpGgXXhYs/b72Iir/8c7ZlAMpomgiYze
erT/uRaCkrrX8ZthzyxCHe1JN+66Jel2tC2z+0ouvw2u7isFwGV4Wt1GUU+jrcpNuM3JAWwEgShY
M62y4qYYEvUzhZrsR5SAyb5IYuuKIvorEZpilzobijC9xQsZs6xw3aHUlwFVBcMudyOCKSv0qeji
kHeaPBmJD/5tyU0Ae3XvpPTJ0LZ4bOlEf9fywfjznyMD/AwK8RUzygh3GxnoLZRxq8Zp74skgUBG
jLCmvjxpkw9aS6ILUFX6+JDl+sqlDdIwBUT77e0fcUlqh2NKMqKTDzB6Q0lv8+mDsZNKc6b9YFjS
2DcLkH98EKvgTgUurilLh5LTzofVTEPa7pCKXJQqw1r59nsPVT0Vmr0Y41Dvuu5b7GISts+MRpt3
M92Mb0qLYcG7Y97d5PBOULzu8jSnAk7Ma7odl3MOgiwjP/Sf18EBXKrzJ0GuNEvF2E57qEYlCIBF
nkqfwR0ZlsW7U8ZMjO2ym5xeJrY/qOoAZASdH8KUogOqo5/RoDpz48mmvE0TvSGFt5rT2+/7sr3t
goNYp5NrXEFG7vxHNv2MgEc5zHuH7B1/5QJGfFWDcwNE+wHuwPw0VoN+UwKG3Jtj1l056K8uT8MQ
uy26eoa76TDTPctm8GEKyYSxn8Mxs7o5xP7Pi+9Lr9b8SHaMvUG8Fs4UVvbsdCsYNdaupKEvg9jz
uId9B0htvhQqBAjOn7+GxfGZQpmgXriGGv9BVkuW3KfGMBjvwKbCQhJM0J7gVwAU0pJEe3TMaaxJ
XcrgNqj6Kj+5iWWhv1BPgwpz20cFojAWFFda1eKwNxrUumGgVUEXzYxfzRsrBpwA7zCx2htbS7Uf
yGnS6K70lpx0RqQZ8G1c0+42Ji07tWXu22GBs+renAcwvwp5rzsxrWZySD3CYMxEK07m4sn4UE1o
bKDAIrKbrqgyWraJHgdhnSNLcTv2rvzh93PzpYtH+4Nwkzz/PMV2ftNSILShq0iMsUqxm6NCgvje
wzsziOh261dQdJfpGdgbGEo6xQcAim3KNKqevtZoc9Bdld7j5QYFr5ZschPTgbc3+UvFtPm85MKM
T1bAD7fKer3+c59MwRLoox5Pe1rcrY1OmkExumtAcQ1YCdhmt0/oeZSPhiZaynKBsA50x3nxfhmy
a/Ub2+h786teafrnt3/ZK5cOI0WYWqSN9LO3vWWgikMrpdnvhyXVvqHYVu2gKbQ/p1F+RRjmqoTl
ZfKCKB1eusR5OtkIrpy/iLGN9aGv1saTsCAjI/zXl1W4umxRZgt8rQ9eoWNjE/d9U+4CroNuN5Z1
YRzmSY7lHihaPUblOIKKrScXTnqzWHDH8k6OT2M8x08j8G979/Zbutwq6LlBJ+BggnQgWJ3/ai9I
JxeiZs7sIWaIlPXDeBhw6rhrJCoJ/30xliImoXHGnHU7UZFcLUKZC7JARuvd5nPt7jyduZdg1nZl
qcvoxxVHDryGP1qBW+POqogdmo7Vsl/0atqbflP/0OhMH+zCFU3Ye2V9msgyD1yZ+II1lbw22rjc
DjTvgVCtw3iKJH/983/OhRcHJkPzYNk7JNa/gJZ4n+agRq+jw09+rwHSHcGAOxi+v/1BXw732YFE
45IOqAE2Dgr3hVNTgrDRGLcoYXQzLLPbQej6YyeXPH9wyllvDkknm+xoQkibwnQiBQqrsco+OUYO
aUcvJv8PM9/kqcnJ4w5OzqyY+x14JuqOTTuHRZfKIRw9pcCtx2sQ5zl7mtcz+UGfq74J1VI6cTTU
NjB1Nx6cX7bW+8815gHDrgGRB/az1OcP3Zzqc+S7QwNuh9/2x6WXP4ZzPA5jSLtS5DdSesmVsHDx
XXg9L5Kc4DOo3LcbHkBkYpsiXfZrLy5H0aZsbrpeGvU+nwbDC/tJEwd/1K6SdNc6YvtdwGebFooC
mOZslZVV5cRUy7a+n80pqW7n2Oy4SaCuaDv62eJbHcMHDKGV0RsebF97fntfXBx0nhvEGUBJBqkO
JfX5fswFHPAklxR7RcEd5zszzMDMOCw+7ae3l7o4ewx3gGSaNrtwlUDd3PiQQ4EoVR2vWFblQWV4
0SYdg+lQuPO0T7rJvVc21YAKYJIESXxNfPVFnWnzqkHColSH7hFNmu3AIU11CinRGHvUiWB4QtCo
6ZQHRXtfx0bl72ZmudVO82PnVGAWpUU2HteITHpZlpwI8A4d3FLX55sRG8s7W1eLwlm7WD0UZzse
QzTd7I8aP9/fKaTWeuRmsvhQekat73q9xhjEryeziRCCb94tMxcfdFV4SRnzarTkBFY0O7Mr5ZWt
/TLM2z63vRp9rohYk6bf+Td2JqOxhtgx9oE/TM2trhnG79nyku5xSAQThrkbjCFqTSgZ0VgFi/nQ
C4s+CYrEc7PvWuUdS9nZYuV0LaeZlDCOuqqgm/T2BnnlDK5IVh1YN87NQPnOf+fQpFWsrLVrLxOY
+VD9l1WQxvfnBzqi7nQUcNiS0DeXOL1yL1zmKxx7F4M1IP/0gV19sznhbFWEx95EIqbSlkip1P88
jr36y6shHOUpjWffpmMOVsd77BDEbqCwJOKbDQspgnN7zUbnsmvELwI3SZcYFUJ26+am8C1RZ77O
brWY6n2oq1HdLIRoc+dVWXCiVqtve27pXVf22ocaRPuHNtPdK+Hhtb0DkZ5jQ9lMjNpifs0inlSX
j4goeEYH4HCs4SZ4QY/jNSoGc7Njrh3/arzVbMd28gWr2s7JT0kPKjTUof/hxBgn/RNxDQ0Gq4XF
HcEg757e3joXWZ1FSYWw5aoe7eM3vqn8zMFN/RLzjP1qSfSI+5+IOLbGh6Fdqs9F0RQ///N6SBl6
pBJkRyR2myMFE34AYwm702/tuIqELeO7TNPyb57Ahyj0KrpKV07H5UWB+AqNovVjWMAftju0dtJE
4Mm957TGkZQBUgZ6mXddaCkYE1mmmAxm8XLwYRcsV1o1r+xGbieUt+glw0Z0twN6GMozbHLf3o8J
Dd1OBOaqw9h0xp3MkjTeW2jRnnQfzrQx2c1tlg56cmcDYb2yIV/50BTNvIJ1Jk3puL6lf/KnNh8a
x08de98MECd7aPE/JDV0QXaBcEs0p+Dmrtxbl1ck1PhVcRmqBqz0iwx+CSbLboWznxl73UJQGqpd
XXTaXeemdn6lcHrl+ehxOqsU5AqGeOG+/vN8eW0yrp9LFvMHGtOy1lAQLMSDSsvfwESaK5D+7XLY
VZJ2rMwMNhQqUpvXGXiAcYe0FYfMsZCYRPjxFraIkjsk/Z3bBKzbtW28DfIvKyJUB19hzTdQoD37
gAieEModXdtzf7j38OV7tAna+r2O1gtEdbOOpD9cxZS+xKl/78B1WZexP6MZdBsBo58vO5pV7CEr
7++Ry8T9GHus5lDM7fxsDEDjwibord+2HmuoVjU1zRn0/DA1ZTjchzKOg5UoY+hPKIAgBje60tIZ
ddf5TWVmyXvEd2fK+MpymkhJJT60iVV9dEENoMOp58PvCcHD6RDXYuWTVolE2lgfvpZzj0ouXnuu
R8btDijQaVIvIoV08TGtScEfoW+3fxasmqtQDIl3mECe6Lcym4dbs2o9ZCvGNPmepMAMGJ82owp1
WXtNFKiJJn2tdeQwvhRZ6GvNMgITwcyE/5fjDwHYv1vH6GLcrWkP/xSQ+D/skiGOEGhHiDKtGcir
GgpalNh9/SdPOrAsGdG8DbtYzRlo1YwH7zoN2XPQS9oTgvI5/ifKy+6VMwqsb1EWvgl0vvU+y+2g
ZDBuZb8oElDPqNhocTgHbvc5JgWt93Frok5qOMoYQgbc9O2mwcofND2F9gEJOIHRWyDKHaayBGMo
jU6YaPlocnlE9ydbosFsRyoF29K6UNCqvO/4s/dxKZCODcxRE9GMK/AYJmXaKsqs1kISBsjCYUSu
/I8rfbJCBBPlc81E9k8/1mgNUvX6oNx6UT+bZafQPJ1UewfFMi52IFgmdF0yI/lL5DQqLJLcxoyG
YQ4UsPMYGTlV2kuDVkmMDlIGvOCrN+iGOGWVnp1i05sQwjTAtoWkPA240k5fRedsxFwjp677KiLl
mFXIhDa5ZTQiLFZjZhgi9KI5X7iZLSAgI8MZiL9zhTaxCBZ6DObQixtrMFyB5pbWeYCfxtmLENdV
vxc9hqU+wW63Q/wHiocBLDfiYcPyN4tj57cPdKSIoFfQcoNeP+N7HozJPV3c/Hvm5Jxco5xcFQ0o
nbuhiWrGL9x4Ux3+wujdt3WQ/eTFQUJ2NEQQrlyCr8Qr739DmXWOxUzz/BgvNi0R5bgonmlLvUtF
AINQ1ljOIYN5L3M1XpkY2Px7m7DB8AWrhtVeb7UAO18P+f7a0go9OcRAcDNGBc5439RVfIUm80pQ
ZAiCgCesn7U/sEkn8EmaFxcD0oPFzNTYawLfHOarXhu53tgfxyzPPnWGe21i/crbhDxM5kS6DeJ4
m3Ajn6HRKE6TQz9i0IRJFZYparAeKUHloxknzrXPd4HzIwwj3O3hHceq2FGs7/uf682zWlUJ24pB
2Jme/Dksc/+Ncr/pUBfQsuDOb0VyKq0K2a8OuvlzP8YwUnUDrYCob+O4+OLhMe1EJZ3ix7yC43Zy
kFpoI5R4AmdnCqk1kcQK77MRlGYfSYYXv1LGu/WhamZQFoqBJ9o5KZThEF8YSn1V5dadFpf6GKKM
q97RjLI7DPxMqzr4ytHvk7wZV0WGwu5DDfKIBvSqrFaAPjuiLOOxBkYFYIazrhtuZGWF9XnQTGqF
pOiHr5jNAg2qW83TdgwuGqYT+tj3zBxEbiJSK+w2ylTTfBwctQzHGaWi5QDj10CuA1uQn03toeg3
FyYhOVOZB8optlK5Q3jPmEj7Ko+4I5CL6HKgM2EuE7dC9NSsHmNDzONOxx4K5YCqXB3dBACaI6cz
+N0FtGHDxaHlGi0iyH8pvageiibQh9PbubJ5ubtJHSGoEwIpQ0nQNx+9debY0Mf8sFiJ6USqmpAh
910N1W8HQYTCKcyoQ2z7MCS1cSOXQYuCIY+nqKh9VCfdbtIXXmDa/6kqS0FybCakrqm4yj5VH63Y
9u4Cv1MU4Hqd7ma1+GHQCStC7KaKOteeH1Gaq9QOaeu/s1YPh7ef72LshKQokxyfcAR/iwx9s6mH
daqaTUF5QE5kBtKnXMSgl2SknZOOZhMwGYvpcNCVa/7qs5gT8nRV/oKgJrydLafyKW1xTtipBmul
pllB9Fh2LAgfjXjTXImgr3wMFygIgJCV1nABjXFynEqsuGkOoBKMqG5hE6SA138MRfp1TOxnHlL/
9PYLemGhnkdRUksk6NBsoRFOB+h8A9Q+gipD0zUH3aWFFVp1jFlF3ur1vskkzcMuMdwqMumFlXtb
q0YQs1o5q11l9tKJpDLbLkSovPgEAq5CC3Hq3fid247ucYpnUjaOdwZy2Sv8zylshnLnzkbb0IRx
gTX4gGafUsgsPU4swcJsda67nUSiafmArbOVvjMTS8FItD1w7UkKJbDU5gFOQ5wj0mSLP2IQzlcH
EGEKfTiY1W1uFs2PhRk5ws+iZ2ro+T3DJn1MCgP3U1E9ptrc/yyXUbCpYa0iNJIZ/ScYsnZxrHjF
H9yCb3QIjLyUN/TDvK8UINN46wDFRDUHTMi3YRpp63vZlD4ENvhrUoSy+tslic5wi0sSCW6hqp1s
Od+MbmPtiMSdroFkXRKsq71iqFG5BHIYkVmMz81szNMusfKhuzE6d0ig7hSIzog2KD73Cxo+xwm4
axv2BrFwd2UH8IHPNwBcLsT/3NWNldnL5tpOEKp3l9EvDrY7esept5A+6atd0zqMM7yuvOu95Jr/
9wss5HxRdh2DBdA1jL2oFc93XVcult+PQXawMjPBlU2YFlWGbsswdlsglOPcemjnjMXJURzh0Jhd
5zNWGEt1NBN3ttCdbs3vfYGzw/1odWb5OK+fAOgWqT5V2Vg7D3BGcwSq9ZJ8x1KIGoc4ZJfTgTA6
klLrcVW/C0bRP+CJoKZdwRAoQAvd1ejuCs3703eF9lQGnfvbckuUKd9+7Zf3O5qiyO2Qu9DA8bdN
rRnGp1fZKj84c13dqgXBt0zQ0q50NzjSaRRXKuX1HG/eON0qACRwGaBPbBuN41R049isAltlkhjo
HBmVfAiKYjm+/VzbipyAS7ZCz5zF6Elt1aodQ0xLxdVwGNFTeshwFEZXtJPvVGeqKzv3laWYUFsr
bIR50YWHJQBX+oXOXBwkUM4jkotg4aXrP9EU0q6QT164qZvXxxFZu0oMIRiKb7LA2BSQV/00PWDv
6JQHjXJ8DDVgmicBDiB4nMbZ/xMbMr4ZnEH9ngcu7GHoAeb72eBS2BUon0aZ7ig9xMU8OwWN2xaP
ceYvuH86vfUU5MVArjQAj9uxcbrktu/bDtECzRA3nE3n72gGA1Q/Y0AjiB7T8KV17JUPWy4MfBQz
6j7SHdl9VrW0XNhgNGbvY+ledca43Lou5+hlUAuEk6Hg+eFttRoQbtPzFnRtrqJxCobgY+xp2p1W
dBTlmj9O11jKF/rXNA7XGeSLog0Aki0IKi0LQ5fTVB0yLcc4TPaOeZSZdO7KQdNvIVE7pxL3nxDd
seGPrQmlos5PuyiwKucU4OEQOkh/PnTVYg7I764y4kFZAJc29KEKTWmJK6nV5WVOREUoAJAnGAqS
+PO3RNwimQKWt8LC9APaqsCWJPhHpzfzqENZ81jMdnfllF8eCQyRjdU9wlj/24Jr48bPS64YHCiV
12UhoobO58orgInhb3/lAdfU8PxIQL2EngQ8zCeIbyUMbdiF6ArJ+rAsTbCXMLOCujhA8nf2oyqD
xxpJvQjShv7tP0YYpsM8GUo+Dv51jAbOX6xyiWINGk6HTvmf6TlkjB3s3D6o0Wo/vL3UxU5nKebA
jueiXU7g3Zx6zce9nSFcc1gSlf+xSmkfaTCVPwEE0LHxxHKlpL1o5QL1QniOIZiJugX2qZt70SZE
+53Ef71HI/RjEpfSwZYE6mAj2+lYOgbUiyTp+XMukFtmotUBdTX/SrR77WfgohfgoQH4jAR6M+0p
i7FBxCDpDrActF+ZMfoRQAx3rxyoYPTNJvvOrjPNgmuIuzhmjNpe4at5Jb5fvn1GkSQk4AF9apQt
ZEwxjdIXB8NavTDUw9AFy46X598YhZh0fgVWVlcu5YstzXamdl+VHrgh2dznW8sY4c/EaYr8Ht5N
p8Kk2QmtJjuWYl4enKDEYGVA6Zr5YXGly3BxcFnZYNIL/IccHEjy+crjYNndgpTWIXWH3IBLZw63
tUNyS0KUxVce8yI0rYtB5ObssOFo9Z4vxpnVFExjefClZf0AeGCcpNRrrJTMaRfA3byZIVFfWfTV
JwTdiRYeqBsyv/NFu9Fiho9B1sGngNrpJrz9tgnMU9Hk/X+Ngjwf11PAIIeWI+Dd86WqHHVIYQby
gC2fGw7D+ANtvvGrLT3xH2dbHsMeVH5WSWuPZG6roQI5pSibySSpTDTvVk0z3uiD/jPJEr8HuUfh
8XZAutygAJbWW5CIyzxta9wJk1iD7dkz09Gm4pcX50nkLbHvhr7DcDo059Lq4LB1qMorx//49uKX
5xHKLxQ5nSRoFbZbU8x/GkRJJoMeFCIpq1H4x4RjT1gyg3tPL+N7yJP/j+U49VjABisabOurTL8C
ry2jLA6LXOwHe5EqnFsGa47w8m8TMgT7tx/v8lTQteMzAox7SWE3u2bN8EZ8UHk8CfsG8+b5Vq+G
eNcOQxMa0tDuqtm6hq96bVEKIeI9kQdoy+YyK0k/ZqCI3JuDcg+qCvwjUjfzPmAicZB2Xdy7zSiu
POnlUbRwI0IywwPaDhh3cxQbTwV+gxcqWCEzf6c1PvIhbKtdwDjlSgx/7fmQN6HUc2mggbI73zOi
88yJark4TDOGl1VOFRYXJTqrSen/RFNpAlJ5VVz5AjEAlg+MAtUsI2DG9FskF9ggb9EWpzi4Yqrf
i1VP+7iUzEOARpk36ATiqYCWKaMMdMce0iIbwqYMnJ8+VkfRgo75j7e31uWxBddGi2VVloNOsBpC
/ntygHeJakAV9BCUev1UKcipg0UlANAdySpfJntPWtouqDv/P39qXjwSmAb0BTZ2sNnUCSWKr7AD
OehNnn8ZJX0Ux6yHmzT1r7kGXSD4vQASD7wMKiQayOyr86d0euz5KCs9vKa84EQZ5D0yRVqeVhHv
UzE6Vhdm9eAfsIyGL+LEMJ5yo/hSVPo1WM1FpOKXsAewf6etpeM0d/5LEAvymtIZPXDjwINqc/7E
4D19r6TAw6q0nSuX98XnDSCzrRxFkDFkiVs4SJFV1iQsd8Yabm4/ABy5rwPwBppsmztUC+Inux66
n4Nnaqe399Xlc4I0ppFiUoYxr936Y/Oy8UrKFv3QDrXDtJ/6x0bm+Z2Xix95ZV4DzL62nAGogkRl
9R/fDsBTVGDNOmuMQ4/WXFjDSj5i0cGAaqK1Og6N9uvtx3tlR1Fm8m7B4zPkcbc1VBpUunK1xTjo
tGGe7GDK3g3CTY91QhYcqmJswzhwKY+zvHzOnEonTU29/WIX6uvbP+VF2eas2mHqYYNsAFaylh7b
QF2X/ExGqAtcn1JX70TWSRmOM7cEw49RiFMNfrV/0pvMeIY2AlYumJxk2lF99TayzZV/wLMJd18G
hT05c2EtX0yPULBvY8tYQq3VJyfCT6YFkK1g5ISyat0+qlDyLVGJjjGhqgRcrv+aUazTHIARkAPX
RvBWXBPNmL5w5GQcapDnCnCV533Gk7J+Sm1vTTOKbJ8iy7Ur3PkacGWNB/++UixHYKmTaTO7Az6z
pST2YAkGHKyWKJ8sMxK1795mzVhfgVFsb6B1lVVyjq8HWuriw80oGdhdoi9RZZjLr8xLv1ezWzz2
aaA9MBlijJt017SCLi6g/y3KzAGaFDzerdb95NuQE0Z7iQTZfMvQcLRAi/rtbraF+cnokFsrGsiR
Edi19GPdB364BKp6xLa3O3bp2F4JFK++BFIo8m/uYGSlzgOiPbuoVwWpDoKiIu56L9a4vC8FgsJH
hqIcrWMLvOXK5rogNvIe6JUjB0/OSkXrbtIbp4w7JrL9EmnYS4axVQZHrcuDT5Vdi99ZC5gjaxBD
kKM+H2EBV7ThW3FTmFSZiBSpR0Bp7SGIwRXbXlWeUFsEPFb2xfMsMNsQhZ9cuS8vhHDXX/xi/kaY
5rreOohltZxRgwdW2Nm9d+9ajMkFcn7IrGkC+onbeTAzikBHxiGZDp2duzucXb29Z2baJ0CeJDh9
dq39eMGoXX/VCn0E6UcIIiCefz9DQx2uEuaKZuyn72YhR/xa1Bh8mZbav63TWNN3CLYaYpdoAx1F
GyUYLSwbfbiZ6YYy/6Rcx4JJ1/R3GoqEXxo3tZ7oEKZjWDkAQQ5vh8tthrn+Xo42tR5FNBn85ruP
8G2rfswVSL9UPiEMnt4OOKnsBte9lsxeNCte1oKrhUrAylN4+aL/lCVT4ZK1FYBG0jz1vnDza+81
DViWKMbhZyt0OwS0lbG9m3SvNE8elsFtov/+vJSbK4BpTTm2lBpXSAJXj2ZvbS2/kyoB3hIbwSej
l/ZVr7c1edmEzTXBove1XkXQBc73QkfpDBGasGktA/M1qZJIo69wAp+AcRduRvgr1Ll3w2kzjyWQ
4DCfZ9WGjRVP799+7G1CwKtfJdFWphwIvIuEYAwQp6xFu0Qlk5ioy/plJzK7utV1qRDAXKwr1cQL
82z77OiZkxUY0CTAK5w/u4beWMx6CxYacXtjTiC+H516lgzcYIcOoS9joIeFJsn1h2rI3EgArv8x
OHALQ3u1B9znVtahSRJr6ueYaUinVEOCGqlnLdpxJtJgMtbZ3XdssO33ophL9oto+hvH7Z3pSlR+
7fUBJmTf0skkLG/ai0LJwEE0iJ6eLAsGz7n2TohSI+DIleka249vf65XbgFa0iBZIDiSTG3TRVT9
M5HVtYrcuJ0jo0jyvTZ7GGm0bYmoufZtEFl25RkvIgENGDJTF3QBiThSUudfrF0EYDEUfbAWtP27
cSmhBfq5QHzGvGbMevF461JrV9hhTEPp52+WEsu0xJrPUqbU7rH2mI5pVSnYbI6LHlvt7pda9lfe
6avPR10FGJyLDvLQ+aIx9tG2leOZxiS5/QGEJNnJTkdPd5VEf/vzXeRLPB+aeisEFRQ+n/F8qS5j
+88Iae282q2fMwgnkZuClLt2ab+6js1GWds8q9Tn+ToNBkCo7ULoLON4uaUbQuMl4MXu8iWNP1lx
XkWIozTf3bEc3yWGAs6Gi1pUuSWyKXHvOb/IiO1DjmDLlTdwcWCwYocqBc6aVgK39CaN6cx2MmMc
bWgfWsFH6r95DxlHwf9UwXFEFOlKP/6Vjwu62HexDLIZNG6ZRyMeTW6KleiurT3vABQCIAg2PZFY
gmsf97VHY9O+PB5HdBvV8zRToBY4JzhyA5XPAHJKkTT/x9l59biNrGn4FxFgDrckJbXU3U7tMPYN
MR6PmXPmr9+nehdYiyJE9OBgMAMYx6UqVvjCG7yubLNTNSvSzlJuTY1UXUiCwG8Hen/9kSGTpZkB
s8LvaUy+RDnmdoVV1Y+9Ze9VfsU1dnVp89XQXmFOMABoCq+ycZuOvawvYAIRvZljf0zqHJnySfvJ
YdGeWnxa3iF4NUjHWjKSg5x2nX//4IiDv/4BTJMrD24h6JrVxVB2cmAFBcboplVPz+CvpPdFk9cP
wsPz3TJP8WVEAS6iITjlx/tD30ZuTJ4KjCIqUhynNfuBtLbsFBMm65h0ZXkw9T4ZTjBK8M4m6A4e
apm060JRgtZuhPyTdQr0fMR1GUyu/jtdivpoKcj0P9dLpn+pZ2qzbrsg0x+izojkKaSgnRt74xq9
+sWrzxXmhRQ2pPk+tjPti2XOwxn2WwIXVgexgyj1y6ATld9fp61B6TRx0MgW2JTiePwRxJlWMiUk
wKU/OEH8e24aJLmUFBWevB3fg7vrjyEQhsP9QW/TND4O25LGMpcqRJ7VfYLEA1VBKS/9qFac6Hvs
oN1KaBAGxWlZFMiVQQLo0q+aQT9nUZv+aBejiw8w36fpw9IEqGHZ0NVe7v+sre3KGhDeiOQJusH1
WpRZAuI0IqYZxtw6Yuo3HewBOUI11dSPKaboQNdrPT/aVbZnxbt1CwGPIDzA5Y/XenX1K0ksUzvJ
KhzDtA59QxnBGVbf+GpT/8YPtv77zVMVJup8dBuRlRu0SI3BVxYBi/bbtFb91tYTNIXLwMOaUz7k
U/SrlLXkL9Qa93wENiZKHwPBH8oOQnJkdf0htxMnBsVYPw/x31P0Lj/3Wdr7qiTpp1DZjdo33lST
51vECFCE+N/1Nx0tvQ7KIGRhRzNVj71tFNEZ6ZVdGRXxhVZ3HdIRRFyiZwrsYDVQhVJMYI/0YgNN
4MuWOTFPQx+0T2PTjkjYTNKplqrUCyLaqO5Y9N2zOfWoABRhbrpUJiJ3VNTk4/3vvHG8QUOIlJB/
sadXOUsyO8jr9Qqyh9AA3vVql3oSwImHognaT6DrtKcmKb/cH3NryQkBIJWJ5gpv3GrJlzRTCzkm
NRjxq8nCzHy2pKje6ZXfbCQAQbhR0GWkPskgq1HihJqcRLOFlS5iD3wkbrBBCWF16uVLD25o5y3b
Go9bAa6MgpkCha3rWVmV2qryYNleiX+6KD06JxqU5rNsF7VXx+MuQlh8mqsNxQQFf489BSgV5NH1
gAs9A0udVAZUJbg2UhZZ/4D4mMJDi/dr7FeINbwHjYRNqbFUqC6rIQpeETwJFWnuuIU+DAjklJRq
ox0kzGQ9M+OOORpxHxXHybHj2a01JKjduZIj0HyjPJzwMW0dVwqtak/94mYnMh1yEcQ64Cgo+rpW
r6GeXxRVbnu2IUFKU4GtIqMDFfFQzJV6UhChPGrGm1XvkI/SiD+oD9AA4rpa3Tcyna4Z2Uvb4wVH
0aieTHzHukJbfOBhjj+1s0PFq9rzLr85A2JYZO8MggFA9utrJ59lhL8NhtWF0diDnViYT+A/H+4p
Ym8NhGIHhT4cwHhUVy9pJZFJ11LuQFIGHK535vipLI386/0jvbX56bAIQ2fuNxb0ei+OZqnJ2TyD
vlet7pMyYptW9lmJGkQsn7saear7490EyXTNBAefjU8viS7m9XhN1A/ww3JYV0VK3a8v2vKpQ7JY
cUu1bH7eH2xjZ3KJsHavu9NZS22McHTiJOXxM8ARPiva/HvRxsTVq7Q/O0WWP2Vs3p1Yb2NBhYI5
Pp6AbMiqVrfXjIYZmYbheKU9QGmbahN04sTljLPmz2VQd/H4G7cJ77zoy9J2ELzN6xWdjLRaSuAU
3oLGExDxPMe5gky57nNSnxTp+jCTokPXUJifGquGxLs4J3NshgfUCvcUPzanT5Qlfg639xqTgsRQ
UPZqFAgQRX/KByKrURRY88j6i8A6Pt7/wjeBHdtJxFY2dAsVQqfYbn8EuRamHdkScZVKRWCoF4Je
613qjMNTAqv356Iv8kPdajY+I0qv7Yy9tbugQOqYwYowZB1U6twy3WBBXEkCbI0NdJOf6hieXJE3
7UufJ+MnzH8n3b0/49e22Or14MaDWECcBapNXt17LZV8fM2ywCua0JgfUY1J++8A6RHG7ktpaksP
duuMrIDtZB9tXP0GbxyU7h9paTHKbXXJmqD9QaI82ZawTlSnwP4UBOrYeDGpCF4tEW1n1+nCrvaw
UXFyn7WFhVcHU6T+XHI5+pwMWFFQ5jMRidYHE0lcHeGeQ2WWqPUieOsUj6k0NRkEzTCSzmEjNdoj
smTDQxHL5eg2bZ5/MQMD1e5Zs4Nsp0F1m4WI3rxokADJwM/1FSz/x7aY5SBuy2RCV6qZTeQ1EFT8
bQZlfqlB1vqtuuQ/0KFBdat3qrOyJK2bVM74kkm0SNwsnKs9l4+NY0EvH0Y1MQYCJDfIm95GAaSd
VC8Oiv7bUo+meByT4TFBfFjIIIfhTqHlpkRAqen/MMWEiHCPr09GXVR1OToJEcPU6l6/0FUFzq2c
5hzgoztIHSXfpKphURKJNBTbYpiv97fqxqRJBYhOiZpxal6bm4MmkCjkNao3zqMF+aYrWlxrM9k5
ICXdv5PQAMnfWjvEVpLpovYmuoRAFq5nXeKbQnu30rwyKZenUa9zF9+KDFZnv5zfOjtg69R9GQSn
thsXAzVSezIOGo5ZMpLvyMV8tPrkZ2In8UFVkrdqVHGhQpDnrsOjUydQXV3zpjTKWsw/HiBOhBim
ITpVdlZ+nRWqz/dndvtGk04RoP4vVBVnwetFnAe1CcvKVDGdsZzUncq4/9n3hWkdaRdB6bk/2u1G
ZTR0UGjE8VzQWV6NZs2xMuaRRviY2o92iuGwC09pjt0UWdbTEkdO63epBI1XSavyp5qN0t6rdRtr
CVg5Uud0X/DrXCc2TqNbfaiPoG+rRn5cskV7Ydf0OzO9PQ8gnpGiAwUMv8J49Ub741YaDexHqwyq
XjKVyEeZc6D5qQbFuKAG9GVxuHXvL+0N2kNsGqF5oImGIRQV8Yv+GFFuamSt4hxyT+XY5VGZ1P7Q
9a19MVBo/wCOAAZVZqa5V+dD/S2g7YAUQhF8D7Na/XD/t2xtKgiDqKrQOSOpW+3fdu6GehrhYHVm
hJNimUcPcWfKJ+GVsLPOG0MpaDyRqZsQsAg3r2c9zZomWVBEvCBRsvd6Yr+QIgdPbTh9vj+n29Y2
PASudKot6CHQKV1dspiy4YqUNLpnTU3xicJX9TkgAKqwGLSrxjWKMp4e0jpsJ3eKGwsn8RZCkasu
tp3SvqlL0zVMeLCeUkOff/sxFm6oBIcUpVUafNfLYKuS3GYDkPLMpjbj9VUfPCAKkY9IOqilv7MU
Iq69DkvEJiNLAA6Bi89NPcJArKRre83LMRDREGiolH7Bj0lZok92CnXDS5Ow+T5lDnV4lH7Gf3Ob
puCi8//zZH0sw73NLz7z+hfx+YUQNBxDvs71/MXTI+dNImN3F2UHlA20Xz2eGEecjKR/OnjKLSyH
HBcHwAgx1hSFfJyXrt1ZmI3rDVQ9NzZ5D4iDtZ5KVCxCHDJEB6gKpkPrzKo/o9jwayKNPC9FldRu
6EhxRNgxZN9pke49iTeiRlwCIhICTQdwE773apPGaG9KgZXLXlBk40XWu+QxS+Tmi4EX8YXqJB5Y
+VR6Ub0QAmZSqP4YZLl8yKZ4OBVNm72AuCl/jKWcXYzSSP69v3E2rl6069mm1DxIC9fAQltHojQv
U9kzK8yfNJTCUQlpzGhHgfUW0yB0OUGLkOtCj4QScL0bZjso6znEEayqVROtvRHEQtPBsXDDqaph
k+rT54rMTRUKEPL7ZIFwh0hruBOabrwBdIdw7xJqoaJOe/0zRlMfLCtuZIKxPPqspnH9TVfj+CvU
ZfNxAke6cwpEwLM6BFAvhEYUrw7P7Op1VdC3cSobyxADhYH3hW2Fh37M8ovqjNW50xrwUzQdz/e/
6eaWg1DG6QNDibaP+FV/vDsjs6kWMibP5MX7WzSlLtWYzZ8bPc4fpjgpMoi7QfDbNOfmr1yoWAGx
F6Yr5OfyOz2cTGQUQzn3ltTuPo55iTHS/Z+4uS4U36hFmAIwILblH7+wXOj98HQo3lI00Vlt0ePU
qiC6wFpDow/Odf3R0pdmZ7NvfX12IL0o4NvclKviQJw6/ZgWueINahliCVvP8UcCHrw+ptyMa08d
BqRi7s9064ABBxTsDZPk47Wd9sdMpdaSK72eFU+e9eUFn7iveF+O3+8PsvHkEgf//yCrOybF/KGa
6ER5cwOryYdjtiDA54RFjohlN/2XZQS9ik8bvU+Kj9cfL1gaXv4CZykUYrX8QCbYjwcOwezpY03D
q43yw/35id+/PkZCiswyiIEIEMX8/1zERVekoooJiWM1P1c9hohT2hrHHiOdM85Ev6h7VJcC8PXD
/YG3FhYKBYwiqhygFFYDO12ypFaLdgFwXUiZmm6gL9oM7+C0tTsbZXOOHAYeKeEEudbmTIAtSCbX
v9c64dR8V3IlGJ+mBE9oWr2FhlwVak/HUMNNylOVKXyrIbR4pzgUXBicSnAfqz2UlHE2RjYZq4oo
1TGckURo5KX4UCOIsvM5twI3ZgjwAXgJL8Ja0a6ikVXir6R6i2lO0yPOtOP0HmG1MfQQRmCRsRkH
U1zIaSM9D/God495NqvSh6xD2sPtKqWxjlYX9V8jmUtt53LauiZQ7aV/Sneb1H11TQTmEmN7HGDO
FMLuqpQYP48lap9wFfoF+2zZSZq37kLBtEKUB7deBKyvN3fXAwAxJmpY6FJDO8y1rwP2aw9Bn2Un
e6wtP9Cjbmdfb6UmFAlpfvARSDSd1RwLy4i1QeFaKpamL77Z6RRd9MappwPeThkN4bys6VwuUu/2
cSFpl7FNx8KVIvCCLqlyVO7tiY2LkkwUtCMpPenvmowFDEAp2XmyF0lTKZ3k0FC6IzjjOv2LTGMp
T2FEbuN3lbaMpyiM4aMR2icsz5DpfyVKrg4k5wCVXXnCiAfkuRLubdyt3yh2rPBQgYezppF2qpST
LrcydbxaoWYTqMcss+fjmy8d/nYkSREdwJz9Fbn/x21Hv7MfcGHHgZO04jyVi/E17/uPclJLp7eO
xKXKDhB9eXya1s+w4wRN04WVCY9/zE9xaKPIQaX876Qeipf7Q93ucoaiPcVnFCOu38GoiEOt1VrT
yy0ZceNYko9sJtwSJBgAs6SMx8mYp52V3BwUnJ7o9gFnW4sc1ItuwVnEHo4nqaOAYVKJpwZgHx2E
pp/iXJ/OTi2rOzf57f0h2h4qVwE1NvDN4lf98f0yLGQ0tbYwpYuhg/L+oo0yycYJ4Z38ZJVY2d1f
2o3gGl4oLXgB11NEa+d6QJSkxj6lwOM187x8ifKK7jfQq+wF+m97AMobPCuI7x2SRtWeg8maP7fl
vPdU3lh7CCQfBXFhmyOqgOtEJ8L0cUQuziS6qhQrRfdKqEiFyTQgvgLRunYVtdMuYW9NP7oyUt9n
i1DaMgIIPq6amPVvuTTtH0aRVB064WP9DSUDNC8jY5pLtx2k6Vdd27VzdDLdvsS60WgXuB7Sl/ur
KRbrOtZgGpRMWU4grDf9aCWa9U5DB8uzlHqUT2auxDbGfWpJUT7CFA/I9TQde66w9JD2Wlx6JTUK
fSeGv71pKBzQfKS0gZIymirXn7RRzVYONMh7atLAaDSS+GOL/MbOThV/y2quZMZQzAWUjULFapQF
b8hKWmzdk6dRKT/VQ5VJvi5cl6uFhHrn0dkcjSoYaZcQbTFW2xTb0T4NTUf3tKqvtEtuKnrxvKjI
EnmW2SIZeP9Dbg1HEQrtARRVhQjc9RIu8iTYVph7LF1s/zDtpDj0QRT/Var4Vd8fauNrAZoQ9skw
p7lHVyWvDrs34TlhkUU30T8KsnpfqzDeiRM2rhUGYeXQbSd50VbXClBgG4wjgyxyJWk4JJTpkaJe
BNNmahbznCPusGPisXWzXI25CgodFTiIPRQWphmQmSYZqyS0g6ZjB/f9E5XN8GWZFTvBFnKcTskU
yY9DO43f7q/uxoe8+hGrfWMEzaIPMydyRjfyYAm89xhHzUcbAMfbtygdTYgyIPLZMmtsCEi+Nqem
aHsQSeicDCz6RVpqLihpWvaKAxtBGEge6kIi5BEJ4mp1K9qGlZNVtqdIQ6adqijTPuhGu2gnR8nr
1HdiFZVXs0uX8cFqxuZrOKfOgiNMOJ7Buwb5TtNqa6GpDbOLmSido9UOwz1Qb+hRs43T1vwFGTP/
mwR+GtxEU8e9xHhrMM4KWThgWmokq8EGWvgFHAcGy5COacLa/kz80Dyo9tzv0Fm3hsILj2FITHmc
Vuush3GcDEpiecpsSYqP1IA9unXUhLMfFarz1/3t+lrLWt2qfEyeEOQ8oLCulzEvqXfYDgfVDlUd
59Jx7Duv7uI+dtUsU1/iJZ6pQptc6i4Ml+I0NBoVmAKAZNYN0Ucn0tXT/d+0tQJ4MxJNQiaAdiXu
lj9CkgUFwzBCkBdijd5/ycNm8Cp66rCmDWVnqK27EGUplpotrTtr9pKNpH+cUQr14mRsfiRU2S8V
MmfRzu0utsdqkSn+iy4reSRY19X2CawZh8kCgExkGFhm43gs/0J6FyWiTtI0t5Fy+UeCXffOTb8R
HSAtCHqBRE2U1laPil5qc04wYHtjpdsFSg5RfYyILvUjvnVL6M6zmS8HVa7Cz10zZXhwj52l7PyI
rVCLO8OBQAdVWvCkrz+nY9t5FWi14wW209mXeZCUxW8soLwu6DXpUyTleexNphXiugxAJXRLW4lp
vY/K8E4el+XfOcvK70BgWcDeVLBy1nvLCl3Mc7XWs+UWNVZrTqqzVEcj6BWtwjnX7sYuefvRNAhb
hS6OMK1cd0mKLmxUpQfPVTkzlk3OiEVEJi+/WsLdr289AziOMBLIDTqdRFXXi9aO2lQOQRf5dAq6
JytGGgY9w+yAO1yxszlvn2qGsrnU4LKjqLLOAJTOSqs5bCLfGPr6lJpCVdnWilM6YzQMYGMPC3N7
vKHlipCboinY7zUORyKzcgDGSl4VwGPviqzzK6Mynuw+2QM83Q4lrDGF4SwZI5II4vj/cZPUS1xk
bQd7Q9LUgrJxyuNPpeqdVnXOm/cGQ1EQgCsvsqk1WM2ZBhvTsokeaQm6pan63k0WrB9aWyuPb90b
DCUGYg3Bbaxx88Gg1WiI4J1rBmZwzCh+eOjYyQe1QnTs/lC3ewOxudcUGDoSPRHtegGTHr5jEqWS
p6oZYneJY8yHWApm0EvW+1zWf98f7vaeZDixKeiV2pAs1evhQgptM0DpgBS/DJByQMQPu7ls/jmV
+fs5bPOdRvONQC0Zr4zhGXEqtX04Rqu7SUb5GB0zIIZLyh3m0tJBszRB+jd/TAu5E13JCPIv/LXG
6d2uM+TvNmKssZvLifpvYpXJs9M2Rg0HCteedzQzRvWEHhqWPe5S1vji3F+gjRiX95iMD0SAaFeu
uwIBEWxPK0bypqA0X0yMRl5SGsdu3WNWyM8b/NCxygcz0S4q2snPYYxw6f3fcPuqCNIAWkQ8meTP
ayxbNBujTlkLkeLRxLSyFJj1qFaPSZOX1N8q9WxVQXJAlTtBlwhO1f3hNxpGIiThFRWm5CRLq8fU
ipxiBICKgH/KO+E6kHS8BMn8X6omYQeBdmvr5jAtv0ez0nyK9CU+UksefuE30IB71/qTESnOscyG
ITgkDiZ793/g1iYG7Uvtn+tbUCuuN/FrLTCRLe632rEPehqkJCRKhI1R1J8Qmph9pc2bnUHFX3od
YdC1U1AQ57NwYNe9wixuG6zEkUomvTO+BVVZ8iQ2g69WVufPlCTPfRzPXiIN0Q4Ef+uOFeoVyNfS
Irtxaq3hBIMUzZCRVRS0DRLV8p08sC+aUexVbTZWVvTGiY3R3xK773plpUiNi1lnZeE6Ex5aY7oA
FZM03VOUKfDxyU19+n97bfmtQ8ewhIfQMi3+vdpxGDnH/MOLFarWbH+Pq7LzaZX2vtzPcnLI1Cz8
jaKOExxHHbUqKOKG40ZTsSfntLHU/A7Exzh0VArWFNQFgRtooxBPZ/wSQ8+wB3D76Dz2p1QZ9rBW
G1c/SAAUuWjw0A5cP2hlaylB3+eh72S9he6DWkafwlAuZ3fJpuCit4axk4tsTU/caxxsAZNdN3WG
UpXrsuH2r50RQI6UlX/lMshgNCu6b/fP6OZQwviEt03EWKszSiG5Dx3gN56kkzlnupU/JG2MV8eE
ZOh/GIoGpJDCEkDn1ZsWtGOFAJYWeOGUOCik6qhr5HlYRK6UmHvv9da8aANha48QEqso/vyPgAem
e5djHxt4uh4OvV84o9ycEF/GRjG3827YuYu3huP1RHuJHoDKXrkeLtVqvtgoBZ6K19tzZI6pV2Yo
kROaa+HOOm691Zg08q3I9YHFrt+dWEWep29jggN9qJrHwIjbFz1Ok29apRS/lyCtW7R7av1dLMeW
fCSjST5MemHgUTYu0z89ZgcB92E4IatOIIOdjKml73vk6H/d/+KKmPbqMqYthPA9Qly8AfqqwgbF
ZI5QJBFHJ68QN8hsCNpSUHWHpLb0T0SPveKGS1S9r2o5mv0ZbcaD1KNpHAdt/86I0bsEUwJUVOpr
bdz5aBvvt8j4RUIGNpSA//qjhS3aZ8VsED6GlgTKKLWeYF84biOP2oHaq+5r5YT/cz20hpu1UFbu
L8/GxQIVFzk2zjnrsyYhhHE+OnoCmhAP0f7Y9NIA7p6nMZimd5BW9qpkm8MJrQ4YgDAO1+lNY8wU
jR0uTSyML6qRFR6m4YRJbTaelEk+3J/cRpmMYpwYCCsPMLjrhzhfZLUdZSwSk66Ljw3FuwOMi+js
TJgX1FpaFdggGP3nZciqb6HlFOeoHcxzMyzWTkaysQtBdCIQTG0euOENqrtVhx4xasnTBnW5CENc
1Gr19uH+hDd2E7UFrmuCZ47nWq6A+EdywkCN/B5/x4d0icIPUjI6F5L6ysvBKx47jo47d+iIxUr/
VtMGAngkOYl6xCtFb361mQtN6m1tBvKDO6JyzPHrwHJaQWeuiXTfqA3ZtVEf2TlBG9ceHDKa7a8g
OaZ9fYI6ZRLaPmTMtRJYB6CpqY+RnnUIxv1b7xaZyMsBf1+Q9zkt6wpVw9XtcBIjX1maJfYAnZhf
9XqcLo0uRwfVSacnfYoXF8liqhFjCqmiC+M96YeNGVNoQL8ebD4Q/XXxN26dGh0/M/TjZVROXUlQ
Sb0m+9kTrO3d8yKnXN2euhDYADsD0EBeK1vHWERZwAkiZCay8lzRxP7cmFJ3KuI0exjytv4rSztH
vKcF1uXQes96U8FTyYzg776GKD11kF12kp6NWwQmjQBZiJ9EDe/6kzcgLHQtAb0hOfFvrQXWooWR
fTDzITmVTjvt3JFb602OQ25KJRhOyqr8s9Q6+MtKxbNlKug7j9iScD+LoC+iL/sf5kalFcgX5WY6
Q6vBKOW2KMn3DFa2Mtnr5Dw5WWKfy8JQ8J/RumVnwK0HknoM8HaDBht30yr8skY1ixfEPfylktXT
0GnWyYJY6wdGcMKX6D1QXJjvjtK4raLPpwpX0vdtMyh+izjbJdFQsBzCKjjcv8q2Fp08BroUzVSi
0NWzneCwOtupFvulXKKTmUufeh3OeNsH4c7nFfNbb3F0i4nPcJwBOS+OwB9hGoVMebEMLhDK4O/N
qMt/djgAu5pVdk9OoZgfDQv+v2NJ2U7BY2OKtEsoukEw4ouvz3EgmXoQBEXoSwXCeNO0EJC2MTx8
bfgPsSEQF9AxlHIEN3u1muCdnL6r6tAvh2I5GTi3P5oRlKm0LfbkBDZeOqphGsfytd+4bhjMAar8
uZiVHSrBsxaF2nNZLtHpzdsD3W4hmkj5BUjuakKwtaKsNubQL+IhxKuq6Z36kIx407exvNeY2Lhv
OJJ8flaQxsQ62NWGDnhQTNRCsdx4cvKB12wuptiNa2do/EDSu+/3p7c1IvECeHtONTfPanppMeVq
oXHFz3UZnOwOeXd7sRc3MrXwEcTSHuFkazwSPZQ2hAUNvsbXZ6AJ5WWoLSP027pGfNcyBk9DNNWL
lsj+krZ2/B8+n0gcEEKAiQXd4nq8BVGfoC310DdHQtw0oARjzhjaYwW2RyfYOmVsFKE3YSHXut4p
RY3B4aALG6+6Wvw4KBvPymPjY8DL9PZQhE3yarjLnQWb+HpW1tLB9iq0DEVjdXHDoJce5BAjiAhP
n7cXeqgvMZiwlwHlsRqqjmPHKhB39eexbt9ram5esLwdn5JF2uOzbywgrQiTPBYmAg/T6n3IazsH
1h+nvhpVSBakHVJMet0UtZsOw7SzhOJ3ry5jwfoQ3rkUPG7wndrQ24tFM85PDbn+Cp6mfmzDXcmT
rSISQmXwDSGYE9+s9zt4ql706VO/hVx6IoL8HBmB/DAuNs5YENpdq1GEUufcQ71Oqoeosd7qakiw
DPlQUOjEAVDWZoo137RykpFlNa0KiyD7Vx/E+WeEQLtzOSXBzobZeuZpqVIsZjhSvjX2eqL/kWlK
TatMQfoDzYyifszAJlx6Mxj9KXDy547K4oPUFdah1+P6PTDG4qUFA/gUFroee2Vea3/rxhj/c/+y
2/jmVPNwfgKrQUFv/Q4qNNIbLS8Tf4kHGVikBMUlSvfoNBvPPPuJ1joofiQv1v3CYCaU6jEx4ZPP
Nvw9ScYvUyU1wVZ3Sc3TNFrmo9SPqILHcWXuRFkbh4giGrcCCRJ14XWQAStlBqSRZn6Wzcm/hSWF
T+FYm5fYLnaqaVvzpF8P8ItyAl2b1dOh9tZQ8LHBgBSNeSE7Sc9EBfKB6r12GFHwf0KcOTkRDugP
97/jxiPCS0z/RqHUIppi19df30ZyZSTMkSZq/LszjPYwztqAE7FRtw99Pu6B0LamSu2Z0g4zgNAv
/vyPyK2LFhPuEyDrtJeHI03nwW2TWHehjUXHNKntj8GwVK6qh+XH/zBVCHMK8SmIqjXknpQnRqWH
RdYRqnARsx6/tPb8Y5an6WQXjnW+P9zW7qF4QAuaDFtQGVYTnUEd6cmERMFgFH9NjRF6yoTCrRx1
6u/7Q219ROHpTdAhYp21rGhVoB9YLHLmq2NhwnMrlL+LLss/DAqdW83MnB2g2O3hp8JGkQZyFwV9
XrLrqcXN0rRDKmGGGC+ph9dO+a4dlj25z9sFvB5lFW/gdZcWZYYiQqNmypehKKiwKUX3YRppGbx1
AbliANrxsvChSJqvJ6RIzdxG2SKQq5H1gnTrDzyAzQcH4PxjVgx7kGGRD14/mAIqQAuGHA6c8rqA
qI+GUqdyWPi2sM4oSVVbN4Uo906elgb1GdyNXWMkg7MmDCJ519K42bnbbrcMP8GhQgCIAGzn62P7
xzGsAkyAZOSJfEB2dot6ql59Nqa2vwQICZwyVHLerNiIaY4Q7hC9Fxgn6+d7KPQowC238GX6aoe0
ipXTYkcOrSh9T45ha+cwGK7KNNzBf4jJ/zG5Vq8aqjx14SOA09F1plnxDPuv6V1E7p0dsuPWYUBx
QaQ1SOiTQl0PBgyts0NnRCFRh31LP6hwMWKN90IB8QSs94zwsgJuCm3kRmouRVsR/SCUwOK61alQ
mYObmYNJo3pR/USbnOM8q9mhUrv5ZEcBKINADf69f0xu725eAfp4ACcoV96qQFlpZJe2mvtDOTiu
NpJTFeBQzljXJ16gT/OZTT/78pwPO6XYre0q1LEJsMg+wA9dLzLu8osVVNwFXWrP74xk/p0Z6pAD
jkQjGVOU8XB/piJ3Wq82Wgy0m4g2SY1XD3KSAZMOZcaTreXXqCx675bFWDxNUWd5KDNXbh910Q5d
dWt5Bfbl1f4ODvVq0BKBlDrr4sJ3dDpCbUA4hSoDoi+5kQLkUNJTGjvxV0Xqw7dXgS10C4TwMMpU
oih7vb5FXHW0h1CKlao+8jSpaN/NEW5BHWpVflYYpWeaybyTMG+U+nmM6bnTE2FLURW9HlUq7Moc
HFQzKdGi2lQ4UqZ7cWZqP7giwu4QdnijnyWkRDu3sYIpBzUyNECiB6G+2o7q25FV/CBAEeCQiE/o
Plz/oIIgsE9kdP4Wo1HcOrWWCxL76GepXfD7/g7bnLyDTzkCZ1TxblDkRhW2ho7nCc6t5uhXSZ5W
boR2QuVadcODasTDUzlGyzdA70RhZI7Dx9kI+1OtJ46382M2bhfR4eHlc+hB4Ep6PfG8maC8aULc
uq2sE2T1zAud6tsgfsmkBPGDjc00kbednw2UUPygC9vj238Drkf8jFf/VSTurn8D91guBSmZeEhY
Jj/XkTE+6/bsGJw1q/+3iwP5g0GA2DxJZhx9rXTuhBPRaxntvI0bzzPtX+G5wYJAk1gtxpRIM87r
YeovSltd+lG1H1IlHy9FCWRM0gLtUnZD5iEH0X+ZoDDvXAPiLru+e4QVgFCIRnCPdsFq+DnWlboa
kLpa5rz1VMz7vEmTInfopca/v+a319wr34S+CK5OqNKJP//zocz6aorxpvVA9jkQfJXq61Cls4++
en6WcFb5pk+mnL19t1FwQSYDfjTpNP95PWxXNsqEsYKDp0mnPrTQfvxUb4tneF2jjw0qV85iqi9Q
Lx7m0S4flanNd37DzTdmYU3R9OJFA6TxKvz1x8ylrG2zTsPlflZigF9pDFIUrYAyg0o1SJar2Ivx
KSrnuMMnu5mKAwXS7PzG1ec30ESmsUh6QKK5+tCjBOZBnUr0GwMjvKRzV54svU4OUSJZH8c+w855
3rU9vXlJXwela4owgpAgXKUlrdJ24VBViBxKZYUgStQ/BJXeH9o5/yaFwXC6P8db8q8YT4jwwDgE
6bAOrSFuDxoazCPKm7nztczM6tI4UXuplmX2NZSiHjrHHC885NaHpk+CjziWGg995/RP5SRrP+qw
m42dj3/z0IqCH9A3GuginliDFtOxS1FibEagppJ9LMpKxQO+6Dy9ySbXcNLRSy0Ey9QBw9T7y3Fz
tsXISEO81k0Iolc738Cf0+np33td5oSHuqkbH1Z94s1Ws4cy3JykqKAK3xwx5vUhy+nf6hjiDZ5l
NtI7pBllt4wT5SGJ4vZUIp53aNS6cWV6sTux6ubIDCnybKLvtTqNYy6F5FRM0jYGGH3NVCvPBWiu
n7MKsbdU7OYjdpPIiCJvp+1E41sLLL4tCAK6rbwk17MOCpzrhRygNywIWJ3KWNP+Cam7psd2dLKd
J+vm+iRX5H3A3As2D+jB1QFGcGEq2gl2BQD9/LQMEUjJGAfcl3Fsx1Op5ehazD1ulvc30eawhAyk
OPTQb5Q20XrXnGZKB8i1+XIKtNF8UIsJ19VkiQ/Oq6FKHjc7O3fjo6L5iE4wUAGQUesLEzg2+Z2J
vmGbNgm+yE3vY/+uuTWELZ9YJfilWWN47pZkTwR245NCLUH09lXEBcb49Self60MsAoQuy3k4jwr
Xfre1sbsX6VS1J2du3E5UmblOYTRIlo4qzOTzrXWEYQOHpEZsjUDgQd2GFX7lPWa/lyUYfPl7Z8S
TV3qsYSdAnl6PTdVDZHKaesBA8tIP4TJnJ0zzUFlQy6aQ9wEiAlOcfFW4hfb9hWKQGWKC2J9JXMd
2wqo/sFLymg6BijQXcaqDR/hgkc7J2Tr29EqhbmD/CzNlVVhRWY5TWPghDQopJ7ipJGf7bHJvdju
g+/3l/J1ra7iJjEt2GUmBVR6meticdcamDBY4eBJidK/76U0mfyRJ8XwoLs6kYvmYtwcZ13pTbeW
nOC7Ew7pp0x3gtHFWKZ/p4x1ilN0oKmzj/5m9uF/OLuSJTlxdvtEigDEuIUca3SVZ28Iu20jxCA0
IIGe/h7+VTsrwxl9V90L2yRC+vQNZ6AkIkk1uoBld6bXWbEjfR1/KXw2PEJWp/kmoc2/VNpgAFCu
6M7+Z6QX2qTIQXHiwATFPXURzcJOQ1PaFoikM48fZmr00UjWvIxwXdhw27fG6m9s6jGd2tSWt02x
nfRL+GMaro2nEhmnAtQhh4WHydgv9LL6pOR97Zo7b1z3NcNK+pMdh2F44XLt3Q49Tehtzlndvstt
PRRlEo0Q/EBn1Kyfl35ZoHCRQOW49LO373sbuhtJ85WTC5DHRq7E+UUkvlgpjEn7lNVkqVBHgY0O
s7jmp5oTaZ5BfpxZySwfkht1wpvODxYL+xqtc5RwSNm33/SvHDKEJZhyOoSr2bROL01R/DCRiG5s
62sPgfsqGuWbtgBaIH8+ZNC+DY2OkDGwfi7ZGKfgxozd/u+H58qVgmYkwGeAGgBxdIkC89OUt4Eh
SEVD60/4pPYce7PpCjTryQ+iqDpWFDeulCvBgWKugi7dZrCLauDPV+PxaorBIw3rlBp/29Uzf6hJ
RjEGgErcjZzv2hsC4QbFG+wTJL8XzZXAek15g4R/mtpeAlgXTy8G4nSfFUQhQZfh6pCrJn35+7pe
uTXR5gXUHANfiIleQrE4KHhOgO9RLSIwpmrGtH3hK4QhLfx0oX7WJ91DEHftY28cufFNry0vIHbA
FmKLo/F2sT0BpWvDsUDw2IZ1+1mtQXPEKEL7jSRI3I1L5do+xQbd+PeA17/hT4xBsQBQxJYqG8f0
K755FJUBT281Aq+91GYWC+oKsLfgbf+5Z3xRSJVgXl7BsG6FP/Kk7+0CeQHIcEDx8e8f79qzNkX4
DONXtBwvh+gLbmdQA4A8ntF62iVsQbqjw0A98E7p/8dZ2ITncXEh18kuRT1GyEoCdAiDAhVCWLzG
9qhWDGDv1iDkN07ClS+FagxBG0PVDRh5cexm5x0USnESaABtcj3FNahaarqxH64EZPT1YOIBet2G
idt+xb+CI41HQ4cVk9lQMgwY3BRmGOolZigTy4S8W/s0vZH7v22pwVEPYF1kqBA3RIv64hJA50Ti
Ssot1NemluxxuoNf4DTFj1B4Wn/Dcw/4h5DrCSiIYhmCHaj1wzGQREel1AISVP95/2zFL/gfW2RF
YvnnErChARJqRC0CucO05MuaYWQ/i6ODUsqNV7+yVQGtws2Hmgv96kuiMndLxNHmsBvLJD0m2qQf
Z8kpuGxdf+NRV0JaghZdjIEjDjvQEH++VcqVm9UcA2wEOZFTZEOoCIWJeyJZtDwnvgtOuYSnAeR3
6bv/vJ6YHG9aIvD+25Q+/nxya7CONcVLJsnKnpp+osgnWjdB+Xyg6w39jWsrioJmU5vHrQHVwj8f
NmdtS+c1c7AA1d3HjoMRHRCaPABEy89/f68rR2WTu0PWirYMEGQXj4plkk6BjWZwKIl7WnUYHZIN
26mxxXdUuVvAsStXIZ6XbYMkqMcCr/nnq3VFpIspTCCEO8720KBDVhIrP6Yho6esL5bzGNw0yNqO
3kVyjriGb4d8CeTUS2hoSgKIm7Z2rtYk7oaywexOl/FapE8N5D6mUlA7fO7xd9OymaT4EOWduGWw
eOWTotsGSAeOCmiX2baz/xWS5qIOQa7DOjdJN/zDYtK9rkGxPqYwjL6VuV9bYzS9MHvEzPOtEm2q
krxtYobCDqbj55kuyd7Txj5yeGbvQEBCUQJUyY3Ifm2R//3Qi41kQh76JkUFNKWjrTqfrefeN2Ad
sy6D0zhv70k6/hxQ/W5CcP+PKwwDSsxBMVGGZs2bWrYLEs22p0P3J94JF04HcPAJLF3HW7OCa18S
nAxgolA2b4y+P7+kipsGvSSs7sLsegpHFF49OCI7w9Pw8PfD+T96y+XO3YS2MEsGgv9NxgE/oFGZ
JZ6rzKZ679XE7z2J+L0KWfdNZFTbsuBSvso5qhI+n+ZpSGU5xKoFw6BPjlv2jhTapz/hkuA5iu45
+c5m6K3+/YdeiyLgx218oI1nmV5cfvnioxRAa8jirSP5mS1sicqxC+SrnkDPhiBJ+P7vD7zyEcBl
QMjCh8DSXOYRQHWPpuM4TmCLwVMy7/XjgJ7yIVON//z/eBSYRxtkCCOZS3MD6tDvUzaYIWutyCsd
O+CTunVA3JKW3qgkr9xvuFyAq8cqIkO6rLkxLpDDmABEKHOIVBOKQaDGOf8wj5xAKHOcThPQjqVa
4KT397e8kpjhyUjLNlUe9C8vErNo1Wh4J8tc9TQlJ/iUplVBWXhjn7zFUQKsgKbCBsMoNjbuFrr+
FQblhFLDx9jQZIiGu1R177JMur3LG7KPG1K/OlvwcgnARmqmGCqQ2VjcuPGubp3NyWoT3txaqH/+
hGKlscZC4DYIcGrjJo93JEeNCzzfuvv7ol591Nbjh84GKNaXhlm6CRKZ8By7tFjzE4wGOsh7duEB
UeU/gwa2hcX4HByfTVz7EuGSB03PPIaCVTFl9b616BcZFjWQsjRzZVBAQ3Zc3CK6vGV1/u+pQC5D
93CzgrzYNZ6lwcBGOlcWgusHP2TdHoqE/imHUN0JLIlsPUwilocu5xSWiKIXQMvW9qEOenegEXdH
SxxE+7JmZvse+IrdiKn/Lb3ZK/fhlplvEyf8Bwfrzy8uVd7wpg9xqnRjn+d25bgmRHEH1h5/D43G
Ypdi0nj6+7e/ch9iyoeKChkcztMliiOGkgEgTthmal7sGYwQ9bXjfn0MvOdHOw9dUkb1XD9wBaI/
YXN0y/D72lvjlG2wcopG5+U9tXCDvg5D1kPJkh97nS/3qkGR18SQ55EEPhw+Iv0NrMy1MLLtg00j
EkjpS3mY1kQ6EujPVzYR+WMDL5Nybtwtdvu1cwXMKNpFWyRBg/LPD7rE0QRRcQSrWEq9D6dx/EcO
+lfNpblRSb5V2NrQVSg3MPLYFFsucfNzjT0D2txcTbrOS+hOkudpNF/S1IxPEWlGzC7jaBc0ZIUM
7AhQfSA07Ntl/DB2A/v69z119b037N7WKcMA5iL1ENYx20Xb9ZDU5kAN+QFBWvsBExBxYxhxZfPg
Ckqg1YFWK8DBF0emQfdZdYLAmB5eJp/0OJPzGHEdl1A298+tEvQlrqn5z9QBpMhAuKMJCP8biONc
vKDnxWyFlwDRoz/3LaxlXi6JSZ+XYbnJSL/2itCbB5IUDWcoCVzkLAyS/zXiMCqfOYgP08SWj5Ab
QWcicum8UVCzXSZHuMk7ow1MsSCKeOjaTJ6BCx+PRSzWpcxHzmPgCWdIGtcpkrCGCLJ3iVz+H1se
sDcQ2zbMO0r37W3+dXFOfaim1hVwLWbowvYFa3c9r/lDatV/Zi9tdQriBdpc/xvSX1yQC1nFTOQ0
w6ncnPoC/slmAQCHzVN7n2Yiu7HVroSMrc7dsgJs7De6XKptydDgkRidYNUKnQ77sDbRh78fnTeZ
FSiB4Oph6VAhbMaOf65fG0DlpkDvoEoddO/ayS170FemapWZL8HOhXfagusZarW3mr9vUQh4NPCg
kPwAQhpWCZdnCSm8EKQ2m2R++H2GFMevunYYosSrjg/SACACLg5tf4LV5D9htzXFZlVRPNUc/Pf9
1AM+XGIjqte/L8mbA7D9LvQzYRYBSiFwcH8uSZYP4UIMoglADxGtoszTQ+Zsu2vsqODcNiV7u0Jw
q/z7Y998b0Bftg7A5tu1Sd5cbK+s7sxcMCxHOtTd53HMWVg6Ek+37r83F/D2HOCb0UPF+A/CM3++
XmBrqbAZ8Jwl4Mc+ZjBnD/OlpRWLIvOxXerOl8sAR8wmHqEvhlbAjRTgyp7DzgbUaIuh6K9cXFMd
kr7BGvwC3zCHL6gM1KhFXA6ZLnaSy2avVNpiAjH0n/7rGqNxshkqIbYByBVdRAu5BEncZgzdBp7N
j2FN1veyNbd8h95UfSCMIOMEbh3RYmuM/bnCMwPpFlemrjRvYI6obXwCcvC798ae2GJuFZlv9+tG
n8BtDwMvoKcuXwro6QKT8FpX4K2JBGobZr7rItOcOE3q1zpx0Z0ifLpRkr25c/GSYLpsCQDuCBjL
/PmSw2SXVCdEV17DfLoRw7ITA22rFl5+N07G1UchNiFVBRjyTbngpewiOPkBCzQO9Xcmlvrnwvvw
2ZKU/vj7Brm6lij1EADQXUAu9edbkZA5LLUwFUkxiDql49SEuyFqGobOdarys2v0OmOSCnLKjRrw
6luiTMF33GYAl51pl6h1AsnIVLlO26ONou6MCST833h7C+z39gBu6toURR4mQ9Aau4hw7TLBZjkS
GqlZnR+n2HbtsVDeHimV+S9IVoocMppJ9hiPLP329xV+W+pi40B+etup6HYi0v25xBF1nsHrS1eD
h1FhabN1+jR2iUt3sMrxn9s4dcOh8VZ9SPLR/y5mOEZVRGY2udE0fxtw8UNQa0NpY6vt33zrmnVu
qSNddYMegE1Y67oK+zGnNz7steds6FGkjRt3/BI72oRoWc+AzAHAMqj7JiLysEbtrfbbtaDz76ds
v+JfiVDWp9xOLZ6SLXMH6TCg/3NdS+iOmskc0Ge1v258yG2X/NGEw4fEXAM518ZwAqXqzyeKrMvJ
iMIG1UZHoU7XpjIt6z7KnkaT+68WQfjOdGiAlkvu6DlKV/PQF7R9Bat9uMsY1beGO1fXYOPQoCW1
oaIutpZYSN52dDCV6Hr9KSWiv4MdcfgVzNtsl4NPY2582mtnFukQCqCNbPtG2jGZzaCMb01Vd6Q9
ubordvW0dnsDZ/fz35f76qO2RBA8E4SnSzaAN5l3ab5qOBkSc/DZ2J/ZGkDEMXTJf76ft+4hsieg
pQHZudTYSQcyc9PAjm8Osj7bJTkH0pvVMyS4ZbzV7KCSBKoNDoGn/PifXxP5LgYg4C5vLgbbJ/7X
NvZ8XSmUxUxlUTI8zqsMXhqX9aU2yy3bdjQ4rhzNCEK0UN+H+Csk3S9S0BguvLlU7dZHhmnxPVm6
HCwSmW6spI6KV8UIXrNJWeSPKpwhcARMTbFTuSKmjFnWtYdQGPOedCn5vq5L/V6ouk5LmiCJ3MGF
V7qdzmVYlIA0r+txDZPG7to+a4PjNCfTTwnd6emg1Gz+ScdxE/Hy4IjDaqHVL2uA+WzVplP8M5dL
9zM08CI6AZER9xiNTss7DPdnUYou3vJ1Tvt/kN6Hn8Yc2dMuhaj5F6czq4+rF/zLRjIQVcZjnZYw
Hele25gihVUR0EHg4GnGy8zEwaPmtphOkPGy6ZZ9OlXywKuf1qq0f+rTjBzWtO7FAQks8FVAXdX1
bulblR4Bjk4qTUEWOLDC5+0J0oHFUPF8zCxUb1boT69i1f3eBe3od0SE7XJAV6Q/FRMkmlEtkpxC
RG6VzYuyjfjiJW2+j2qcvwAQDfnZSMC5F319Jza6qE8ewQcAhjlzqX3yPQRxdwTaftAkK6IlvK85
TDhKBAn+z5gYRh7zjIWvCkgqQKDarH6PwjEsdjOHKyGUyHvSljoYM/5qMYrn+9wKg95gMq6f1yxj
0A2PzLzij0j+yS/eUhRHKI8TL5KmpJbpx9FD2w9YnRG/aU7CeqmKzLe/wFdsAGALuxDOSku36OfJ
eJdBxa4Zp0PjpkJVCB7RE8EEvr3TPhmf2iyr8aas6O6ahAzJYcix/SvcUPEXYTn7Di9CGO6gQweK
F8YrQZVYvh4HBXeRfRsmcoR5IQehto4bGLH3IxfIswEKfURTbHX7RmSSlrQNF5j/MbBg75ic1+Fo
JgrM1NjUn+3gw2Tncs2WnXIw8z1ksyj6qm3HqXvMhy6kZT1AdlOGQTtVeIvw0JiExXcEc3UF3XUT
dyXYKwyCGzabx1Nis4Ds4L0aAdye6/WOIAv41bYeWKOJeXyE0JvCnftu5oAmNEH2PXaFTA4pxAZ5
2QO7kpdwqhDF67yM3Xpsi37Jz9B8AxUdOB+RHGld4x8jZFnvXNwm5BTVXLzkkRTPdc8nA1lrpR94
zeirc22AJje41N/StE3SKoL8K0g2SdB3FUNxktyFeV3TEig5DtQnWnfzwevch4BKJDp5t7Y5XrPP
7II4zJZE7k3caHeAyjvgiWg7G3HoVyVbUERk/c+cZmt3imVt/hF1NH5GZenZzhEXw+cPfA9xWJs1
/M0gnvgA8nOLKJQyact4yVRcwrQwzspRquK9bgh2qlhlp7fl7U4LtqEoSTr3L3UDj8HjgnLgbkHH
JjuCsYF6chTR+FtzAwLrmkKCpRoA+O9KqPDpc5b1NAGFNw3GQ09q58Hr6Yf55Pqs3hXhOqKLw/I6
OnerFt12Huw/6ZrQGSi0onstMNrMd1YN7ozpsfuoLBFBuUIe9mu6YJfsRiDp1dk2C/uFonv9msQy
lTs7UIdLcoXn1qnGRw52U16QAT6tc/FqUuvGfdSwrjkT5t1SmYGEBnRY6O7sae4C+Ackc+BLrRwc
UpB75GpvVFfLUgiQ6iu3ovUJqV6YZqE9FXiwN+qpyXc6EGNQqpFxeUA/cuZPjM3otet2Xu1uhS+h
PbU1X+r7YhROwRo0anTJMgBTq8Ys1p5FTnrAc4zudLUuDaYxZIV5ZpmxgCzfWNss/QdUt/HPMHcM
Q96JKfEYSrjVs7LzQvkXjZ/j9lB3U/ERff9leAglzZaj8UCm3GPxMSBIVxlC4Q7EQ26eV8ijtve1
J9D1lXnGxc+U2nT40rB+RDhcVwlfgdKm8HEwxzRRRfYjbRud/2jC1URtaWoLMeh93aAf/znqEgVd
eZf4mbyXccKLXytSxQmk53VUsPxi9RKSMoH4EC3KJYzA5zuQKe+mtRwb5dYAehdd2h0xwtDsO9pT
QV8aCkWdnyS0ViYYLKeTPNVNEjXZPbTxEa6qsC1M8MEsc7h8CjHnwAgtFKF7AhygNT+7GU7in0kM
Y/R7gguFVnpKm/q3omDazYcprzkfjypWK39JF1SCj8sChyBZJXDSzUmph5BA80LViohfLbwPoNRZ
UCPm9+g0t+K+W5zMIG2Qe/CnFEyovojRJ8GE7RPMzRMH8CoGurJZxEMD5FkKatuQaPohjwhYApmN
YQVWjg76+6+kT3XX7EXUUY6rSpo6n/Yyjhh5j3UL6A4ixpF+zj2eQkqvB411q33cwPwXpWUi7Oce
/uHRngdjvk7VolEtt+Xa5K4+QXDPsCczFHb6NbQeqhOlo9j6T5CeWJNDiLMRyDJITEfifYC+Df8F
RR7dqJ2loESdGarnZhfV6fBko8WYkwK+EQIsHaAc97kgmyJQMRSQ0KlSuLzVz2skNpOlMPNrDG3B
yRVRKTiLYZIxxaI3j7Ffp+KR9ZstwTrMui7KlK6FhLGUGor0w6BbfBSY5hHXwRIQsiDTcekKDsfn
YY6jk8gTHZ87AVuxhzQQBT9MaYiTEMOwTVeCwOu28vBVC6DcxYqG/cwzb5snqKelUemTYbAV9DpX
2MnN0HkuNQEdsorouj5rHMx+ByUW5KRTTwXAOZGbMEUUWTAc5kVAPVm6GmEZKHLTFjvgOYehTLs2
DEpLR8xXRyBrtgvS12wH7FfQlEk498+1U3wBIjrkn5hRtKmENQk5Uhmvz8WYNrSMBCnmnbWR+Rz4
0IDy3SKM70gAS5g6iuYAPfJsgfh6i8n/ru1S+rz2i/5Cl9T5ao5JqEqUQfVyN04FhA3nHn0/kN2g
0g7lPdDEqzQzfV/6OsKfD1zf/BgSARfnqbDNeFoT3z8A6w1eKF0mcW9IGLDHOszHde9tzZ4t4h4W
TsvsYxLB05KVHoaCOe4q4FIrM8peVwD0LhCy5DPygoxn0VhZhs5qxRW0P6tp8zuG9aPWwbep0/DL
ZqZQU4ksEfZ0RZ1N9AAooy0gqCWAQnd6nPJdZgQis5okg5t6OGsMfoJ5NR+mwTh5bNvBux/IGqO4
pE3c81+MOD4BkyGlO9aa2Hl5auCT2x18450npYMiuvySw0khyA4e9CWo/UIqQO2lTl2/lyFco3+E
VgVfJxWgNMPQQa7nwCmXlynTkPZaW95m+wBMQVKuLJFw0+V5ZO5HnfBTAKnd8c4COJeXIYTW5pcw
cEGA1BsKM7smqEe/T1HMqfvVLOtyXBYZGeS02Txgq3MT7wBUBIMhHAq0aOHI5E2ZhtYBZpLkECYf
NfO7YlMb3NtWISUrUUmr5gnBOOyeMEth3UtrxnB8XqHFn+05FUpUhuTL+4HJuj8BmJmdW2iQT/CU
aCd/jFs02CBimCXHuAf5vgpASZ/3qkPZ8iLSldI9m2R+pznxv7IpIi+L3FLSsW/Hpy4Z1Oce0Chd
ZjJAiiIXANEqGbshLXPawloJfe7+B06N+ZGEDuckkn5KHyZvpnkvgiH9neZzo/c0dXK4o53Iflsb
Q8OzQfB8EPA+wf+mHUUfF7ntUIWJ6KG+KIvhvUOYeI21NNA6RBMN9/TQjvUT5kUUYohzN2D3SAu5
1bEvotdlarkokRmLd37A7XbWLMJNO42wnrjDPawgNc0gRwYNiaZByMqgE7KDIKpcHgsAvB6hRlto
1FQEPqUIqRLO3gS6E0S1g/6WT0P3glgODThqxuHT0nV9e8RJYO/rKcE/OqccXkHLOLTIzCyBLIbj
rUYa1wDnuU/NisfrouhOJApdVkLqy2GO3xVbq1wTVGIgZBeVlkkfVmypgxfW8oQjrQqBGTS5FvfN
YoPhMzpz+ntdS0EreB5P6g5nMjtCLzmhX1PWN+zUxQPnJWa39SdruYVp/JJ4vSuaXgUlErz2m0kl
DDplMUKbx0K09oNP88E/QGuDtBU6wMbc9cs8/bDwJsEPBnQxKxuKNvHJxIgCAxfFfJCZsv1d2mb+
3Cl8rVdR5+whtIiM+1VFPrzD0azHMxodYihjiZnug5u91BDVxCDh0MkRozYoiAJhlazG0r3JwDT8
An5EN34JXZCO5cjkyD9BfDItKqi4xJD64aMc4P1EoXk6SWm+N6QPRoeiB8JDMGGYp6xaoJgeoHcd
IcHNxynyUPfqXX7HFIXL0DCxQH3hVK552WRt/SVCbM3KFDbyH2Nu2Neg8+5z7mP5Sa7Z+LQOk/+O
IRfvz9AGIUvZWuzkXTRAxfFYCzZ+zJip0f1ssXhjmDPzncwZdSVVaf3BpTL/JFla2FNjdPEjr43X
xwTk3Pi1gFxKspdrFP9Tk3BJdwUfk/yMMI6QmrTIVJXv+vABlrvigaVIqkpcFLnELpmCVzugVj/1
IFDSJ+aU0ScH/hmCTFaL8bHXfu5OLp54+HHw86TedSHy3YfJtrB7GxY+QfDHkjt8yeWf2EOq4AgS
sRvfDUhM6UM8x/NvNvSx2qkevMUyzk3WIhkSWlSz4MAgmkSQ9ZG1vcr2oRA6fK6jnHRnUFPynwEs
/D7A99ebM/oYbVQ63o/B4wzgztm1HbTHExLn9mg1rZGKmaQ/DnR0zakVQfuO2MHBW3iMjDvBwrk+
MHRjzMPoeHJObQg6b+MiH9wPWB3wvbKEjEeQJscz0JspPzcjpR9oI3skF9R020Qop5/DwAPQZgSa
tiUxaCJWKk56tAc0jTo8PRn6Ekh0FBUCiPIvs6slBzAAe5RPQR3tZRROr5GTdKxwZ5L7jfDLdy6j
imJ348GldFL92oQPkLXVBgL6BevbGamtib8my9IN50hNCk2/FP6XETOwNYMl9ELfQasnPyjo+9RH
sIqjvlQKkj57C5CrK+2AzbRDBEVwQ/63/BPGDLoiQloCPecmb38Jrla406fpcte6XKEk7sOGom8M
zPzy0AtILpbxjKEzSvcWoqOB4KM4BCuwfkcUeSbHixPP4OYajkB8AP6Qi6coId1ywtwaTbQghmLH
J1QPhdrILf195Hlyv3IYwpYB+tThCwfx0R/Q74qSg02V+gwRm2itJAjK7SFAk6CBA8to/C5Pm15g
G7cQYYMPniiNFCQ84lhH4dEiR4HNfbzI5Bw3fm3v+bpsiIGc13HZG+EJakCYz1Y5vpE8Scqy47zS
sN0h6oS6JHAeSg4QfoTAXo5rwz/CKc6a/ViIaP5kCPLEvcfP2SNnpXCLYDWaW3aiHeRmN8IRzmgB
585QBmibaDxali3JsvdQUh0zuN80AysbMaPJkrNGqpJ0Yw07oG6Qzy0BibDsADZRzzFbs1MX9Fzt
0LIK3yGI91+gr8ngHQcR/h+MxMNdPke6KcnQBt15csgTy/B/0wze+fiVG9N9w6/lQVl3YaGPHO2J
r8pN9AOE+jp77CMp+31s4uTzWKytLCl16tHEuJx+OxPEH6ceC7IfJKrVubG5R0WSou2D7tn6DWYa
MRDbdolY5XgUtA9EYbFArBPuPAmqxb5mUfgyg2hOoL0ICNxDgknAvGOwyLsf1eC7nRjbYjoUeU1f
84EoCEC0cDwt05TUCkXf/76tdwX5iQbdNL2HsuOkn7MYyOK9hJQwfOdjDfWRWYX6fYIg8ctbZKoV
FMqG5Ex7bT8GKmqX/dQ1vtjnuG5CRP/cPiyTNtj5OCfHbingIivGbv7ho8yJnekZlYcwdr2pWB/7
ZyMn3Z8tUGWmxP1JPw1h4qGNO8ysPtE1rl98JBYcp4AgR3YkkJDoZQzePRz6JSUM4gpZUQMVqHL2
RlJ81gafba599jxlBm1DbB8DFzvZQYl2BYPr5CwAhWU0UTQnlzEI1C7uJGLWVM8jrTKI1X23JCFT
xese3oxtJlp0DAfDXle3+ePYGgn0yXGkNmWX6O7FTJbGBzRq1QeVdGAOAqFmVMUYwWwTdpr5T9Q2
yzkjqB9L9BKm49BG6D0UphfzD1NEUh8gZk2n+zFpFPnugdn8XagWjh+6Z/FDrfrpZ46ecLfnq4s/
zhDCPPuobvo9Ugb4OyUOcpAlpsTBb9qhb7ZnsDDdeMDayQoZGSbxJb5+N78qCKP7g9l8DHagl/bn
GMl0v/cIgR+KWizgRDGiPxV0XF6XFFdPv6JPBDcgFX4QK7Px3bBM/cuyujp4TZEUzAcSOFmjGZ3n
MO+AX9pzH2HflAit4zPxKB73McRQzzkGgFEFDeeieUwWcOkdLTLUCT7sh33EuPkcjVLoc+/6/mnq
dQ17niYx9hgS3Z/yRUTt3bDBSFDkJINAs6sXSJ1wR6hyqd3wE2T1ZUW3WYELaw1FOu9gncrKIfWm
hmtFvsCLHRVK2YG2+G6TtUE9uOQQvwEM2OwzyCJ9R27aw3XNoHTbwU4athtxmC1fpqJO3hEh+XBs
uiz+qPIYzToLmSaYoWdrgQ6wyPn32bbbp458sk+hUf51m3iwavIjjytFZv8yxgNKOChTzn7ng5pB
jtE38l1IGFDjg8tmHIRpyA65i+H7ZlNZNIBReLP3fE7105wTZEywEu8ekdasIK20bWR3S5a6sCzQ
Nf8gGoDJPnWyG7BMvg/0+wAF2NdmRelSTRTsl6dpbeeHWBCX4DRI/DaEvCmmZceU/90LTNiO66qm
J5vXqccgIMrbZ9qm2HDoM08lj/iWTDdOwjZ+1FCwjIMu3kd0APEg4l343kDBdLxPmrY+adwo74Uf
owdIxgI+FuWzgLrLUNT+hRQMLlwCzOVyQT8TBJmATNFjM5PkB5qDyXRGHZ88einSBrqzMoCa9ODo
twS29T9qRCw0sOXUPcBCqxUlEi79qadtTzC+Ie4xdQL8ZAsRPFsZ2KxQCHvlrd7ldRPwEpbsOJ84
qoXbQ2kUtR1+Xfaw5k0W70O9yGc+grfyDJ49+hNrMYPEig+QByU6TjEpI5b7D5NKkFlIiHaN+5pQ
jGI0gR3Q7GMfVk04TU2JrgcODyot9ECRc66Qm6LC50gfMMM4Q1ltCtBD9RE/oT9t3+OOhodqt2Zi
3afM2/YhDTXunQV5m3xCh3LlD1YUKH/ATIum8xA2jO4SHq3PNffDNy4zc4htAhg7fJdc8ATJKyzb
GEUtqbrJ9P5xGejw2SbIwD71Q2q+97ZNkteeUg1Qp0nm8CEHIv9u/T+Ozmw7TlwLw0/EWszDLTXa
5XmKnRtWO04AIUAIkICnP1+d604nrjJIe//jEtbmYKkr4I0qgjoES+3iH9nQDZbDl/XVfaVcez+N
IxTKSN3cJ5bKhOx/ELZnbHhbkmvKDy4qBq7dt21FW0ohzPyqDZXRh2iVusvDoFSQNkUpbsuFdMb3
bM38+fprjcXeWNt/BcnQVjfEXy7OITBR8zYsi+GJrYkG/g40YFy5ANB8WCvTX8t6/aHrtsTXlMU0
iOznfpl7xM5BoWjmW5LlItOme155QNfbQKniPUVnGL51fZsMuwr2efmKldBXMwnil80NqEZptb+A
zxlCAfOZM39iXuKjcKJIZWj0ip3sXAATO+dudALnXtboD4hADMR/sQji5VTqmLHEqNHf9mtHFM7e
msisB8cRwe9gnkYn95ysG/NiMUN9HCxE2n4LA/0BpJM554luy298xTZ8UEGrf+LJFY+TNEGz43Ln
UJ381W2OjbdYtUvqjCAUXh25S8oqu1mpxPXfmqiGRyI5Yp33aOWT7NcCgdacQZQXc5fW8fhK+U+x
fI/hPIud8qaegz5u1z2F8IaKzZUFPDfbEkcXP+N9OpcGy9VdvalrjfKAPPOG/OBVvo1VpeucIWao
4HY24NSRBe9qaTdBzbeYrIDZcfNgIxt2z5md+n+4t0KFS9QlUbpoS0efJyhCdUYtzgfi3h/5aiqS
5c8oT5J116PRPa9OEfZ76oCAeXyvKC6wPRH7QN1l9xSD4Ohr60zgTs2G4R8G2QAQtxtR3cfbHG+7
IJv75yJYlsdBSL3sFK7ughtUZfU+hp0C/eZQnfclYdfnq+oLo4hK5voJtrVBQTiExR+XjX3ceW1C
XhgmUL3t0tjTDzVSaZ1XXr39B/MLO4hwOyryEXgRbBsa+YokRculj00fnEdFJxRZMJwcrdjKP2Pb
F+2BnZs/bMMYDTZybcLS1Qx6fhRtWvxscav/kj/NsG0br2ZO76JnksCb4YGkIaD1UQXOgXHSqY5D
PXTTc2SsOnvMdxvoo4x6AoDZmI5g75Gi5A+1KtBXu74GxEd5LwP793Ayi3U+MjmtXr6aIfNOtc+s
dtM4E6Np41bLUwrrIg4TOUPNkT19tbth21hZQJMm9xBsHufgNo7e+hmsywCPmHULy2kqu3G3YO1a
CJNc3Je5WhKqUCq819v/n48OGb3cL+7UQX9v1mv2Blnep6u3yoPJGOWfzitie+idfkLc2LrxyaTk
GpPrt4jXcnAG7zXrTGdy649yPGZ6CMaTPyUrCM8cXAu/uiWKj9BloQDmd3E42VCjjoz6QnW30E+t
ygsdLcQUqDrEu1z2JM8VoZ8+bvT3MALyjv7rxkTeyQGs7iRdMe8L2mjjg+BIuUKR7SCRq/CaV5m6
TgHa+gIfYgCEpeYpvWuiVDk3gfJ6cVAgAuqe1bOcc/Z9FvmgpaYHNm9Rt1mTwjz7rKbQ1Klv+oPh
EgBALh2AOdNO/+kgaCB8025SB1q3BzaV2Vdt3hm1fBmrR+69JZAnhzBLyoyHNqzPZHaIERF3F/A9
eNcHVqqFuoGS0YvYQenWOzKGwMfGvhjLPThKibMiKLowF70f98eiqjKy3Poq82/xDqKbcIKNl97p
rHQPcpjVw9DU8JHISqo0ZzFRX8zPYs1Z1GWcewkjGZGmff/S1XgNLsImbEHOGC2Wena0uSrSrd5v
XWLFXRQNqj3Q3ZQCoERLeckyp1nvHFPWd/1oN/S7kw+FFy4V+b5jOcz9mWvKfe/91v0b+Su+kOqq
TgXJ6VucWNKjXndzCqIwExYadSBFfySfp+m6r6WTDPGGhP0HAtyu1QtLp5FD+QS17AZnHXWe9hW/
DhLknJt63mAWyBmWYY5es3pt6lB6x2ku4LIYb+YLLLatTqMXQtttXsmfLkckODcLUl6KzdZwUvmm
O6lhOFfzUkJGjTsabGkAtYWBhg+2db5d20TUR2Zm2loJZ2KJY8+yN9na0C4JzdYMZHxt24tp4iTc
l9QDpWdZtbV3Uy9l9DHAT97ajealXQ9NXzIyzVYeV9U5Ti5ZJmLWak+9t+AqH922btHOsVd1gklj
So+LekzYp6Hsh1sHgvp1YGwK39kGR/UUBsuQ/AV3r1AIJDXkTQsgtOylrTwwHmSITL2l7b8pNR3V
qcxGn9E9cIubohVlko9rE9Y3AdGD1I0iSAv2sObF+i92Nv6gYQl6RaRBXtwWjFuQo/shJ3QcsuxY
p1WUcJ62q3+WUjWvohzq3+UMj7yrRnIlCZHIzIZDvhN/4TQ8CIYNLq7mOF/S8bhuavL3YAVoIJjH
6bGBq4qXvMqm7NKtegFWr4YVcVQbIScyvVLfbAqMAluayD89vJnJlxoU6uC1xLlc1qYJDiv+OnPc
Kn/YR0jf1Q27xjweZDnPzr4Airr1w6vwgBCzuN2hvFi54ci8gClXUecSlRdu+rFf5dCBjUkvynvF
0TZINAdnM/ec16mOuyeEPEP47Pr8nn7HapPbeeYsJ0rINVX8KlLlJwenJOTv9yJZmh/gPTjrYJYB
4fyRvpNcNYXUeQnMxdsayw6YpSWtgvkn+IA54upvJ1Hqj9hy7P+SYS1ZQa93Pvd7sO7mbBrf8OwW
zYHcJ+yFfM3q12DnZL6vO9qYb0BZYP3b/3+UzU1lyC+YWecZ2xxig0Vt4teq1oqUiHbRdBCqUgx3
oq7JU+jmTd0sdFzqq8yatCh/KDyuWu0knyFQBk8WupB2tzSMEkevDbmqEv7jf4ONIguqnrpvcb/U
P+5aiTJHb+J+UxQaV5dCD0m7h7yLp6O3KvVm9dr+TZXU2wHrn7B3am7nbFcH6TAcbFCtBteMrYNb
zxvLf60zphU5oVU/5SJt3Rd2ILTn9Achy0RJFEHUpoiwRORN3N8jRzrekkLZg7S6/DOjinqbUNHT
J14IL96nIXUbuQ5Dx9/rrCvtb5WM/StWwQx90jaW8og/yEdXUNUxnbHjRAwr+NLq7l1Pox/Yhmyq
97h5qvpulGRD5KJJJ2jTcgS8H4Am7zaEAIiK1iX6h+TWNsepVsP7FGid5EKn62sbK8/LuXsCmOsm
Lf27TXEk7q+lLdvtBDxc3A96BOIfh8VJDorKGPt7Np0b7ozQs3sP/U5NU9gpkvF8p5CP6dj5C0iV
5BajKnIzz7F1YvTAmlKWW4Hxhiet0eF9XBD/cCDWh2DQjeJR98Dxpty8SjFD7QfomkOfKr1h8UTd
dsVn17suHb34aFbjEWPcD2o9dFSUxvB8q/xwDMpAIIKZ77yxiP+eizrJOLBnFV8K5oTXIgjRegUZ
ilUDToPtpBhie8wynTwyhvRfEF6BfkjHRpwn11/suR/4qw9rI5sHL6Qm6lAOSj06XZP8izfJlADh
mnZHePjwUTP6fkEWINvHJYPAJpK+P+wGtSRpHlUIIG6KEITJKf3U/m2CaltzgToEdtTS8r1nykT6
Mm5QIKodw/owDB3VH1U0178jtxQphIfLypSju2EGdRWq78MMCVjnRUF74S6VkDWHLmpLxF/Q+S+D
3wNxTTYYf4qVY+wiJuQZ+8KTntmr6ybJKitmBuuirB/ncWn1W90g9btzAuW+XfWkW56G63aOQZXH
L9bZ8Ruqtg0eJlkQ2YNqpogODpPr3UY9y7TzcD7f1eOyhDl6CJKFK/D9+W5ZFv1aRRFt4zzJHEHr
FHH8pSZSD/0Wr+ROD9Mqc2PX9nfczlFzy30Wfdtirh/WOFresnGIG67KCKE7conmvaoKQ4msC+KK
kslNn8D4w4mGVy6eXOkqi/N5js3PVodA8tYJyu0s/aq5pw+5RiUFlw+woUfkEMSppLcM6UG1rzwY
kP0al+2bNQTvHKvW1+6jqAwnD7uk/unWRdD+VhAgDqtcsYgVsjl6kxICAhEk9tfatdOYG4d4iJxh
fn3oCQTSf6J+Wx5xwJr0xHBfeIepmEyGfNHJfm+qiVgIpZuCKqEq8v4kATLBQ2OC/uSGEwa+uQ0q
Rj+bZdWOo8iOFxGUywR7YKGaTVwHj8qJ5v+4du1KvCoNqQd/8vpfpSD1ZJeNGZBKl7lLeauaeYTx
HNrswVNzHO7WIoVaNrRE++cym7p3du8WSnqpy0cOgSHZV8h7v9WaiC+qSwDjr+DYr7AdqjdR9EFC
lvXm85kxovMwNk16LGheqA/J5pbv0q167xxPSI5QD8miRCTXc6CWyzi8QH1keWH7Hk63HwPApxFB
K+NDWn3KuZbjoUkz9VZghIn3KAaiJ3SxCLk8Pt9zO0ZZxFFRijaf9RCO93PrlF8ArHWVu3XdFzkl
2ByzcdmMt0G4LSs5YbWdj3Y0y19QvYaRYpo3uZsFBPehaeHyD94QZ/q6iyTuSzPL3keutlCPjpW4
fdiyJvicsVb4tyb17C1Lm8+dxq1iTn64BdtzA/j1n0jXhX71OWGrYM0s42M9m+RjIxpQPNCG6Zds
sLL7ovs1mQ9LzFfCGVtvbCX12LuHZE0mgJ9KEngh5qyvUFIE5Q1YtOiO9O+JSxwgOoYTl1ypcl1B
+bdN+v85S0i/RCklhb3QMf69AGR2eEqtVnuKywL+ndX3P9cxkPEJSb89+ywB13VfD0+pdfzqMEYR
T2aKCOtralpgUVsGHapxWb3UOinL3TDP0Z/26pPctXMXvXtt573WjWMcVHJxgygtM4ncDQmjx9Fp
p+grMZP8U9ee+SBpNI53MXFtzICes4Fgiczkc5Rs/wxSk/nkxwN9Xfhxgzv8/vazRsU3HC00DrHR
3pV2hpSbcTQOOOrQdjO11dRrrDvEWSVjcafkZSoS2+306It3PLzeurNTsjinrb1S/hnM9nOLNgru
pEjkBwqesEeN4PFF+XUcQRmzRzzVxLTbXNWZ/c+4gtPGQQ6ArR+F5dGuNrU5WG35VTSzi4DWibyW
CEzZrtRmw7wzPGaoPcpaiQMYafvZImREmjV5ct0vYa9Qk49bMp0BSEdOeW/0QQ1F+VzwWKMrrx2A
ilF3KZKWMO623TIH/rmaPbc7D160PMZQGmI3IfZJ8gH1ocgdb9T6vHRc9gQArZAuWJ/b7ClpCucF
uRSijHKcxLsxcHRdbthab4sevgx9la3RO08u827FqAhx5KjwtOkppK1VJ9nAX1gip0P/0G95j354
yitdKPI7Rg1hmK0VHfeDKc1vgiKHPyIskr/ogZJLoCOAZM8y16PTIYJtn5IXSfdAsPg+pZrj9pZk
tR8eEMHNN7OLPPRhBO/8Ywench8QY0TmduwXOT9Wnkqf4Tv7jnQ67T8J8kTVrem99neH3hvJVehO
S946dn7wMUvavJmD+g6RyTTkbJHOBwxhheQYjfrOVzE3hW9b+dwrJ/m2fT1lfxAbBtMR03Ebwmda
cY9WHvBRzWH205sUWClAWXbQGEurHO1gX+9SM4XOuVmN2NCvrlt3G00FlUft6LV066AuDO8gQ4qn
OYX/Py66U8DwQVm4x2UUkPsOnrgjHnWKw1u21lcX/as8sljER71WLgWAcVhiDtlUalCszRCLDaRb
d1hSpCAvZpiXr3LszeMcp6U6zsU8QBDEeiiIgXVh05soDEECDFkrR9aw6FJapH+5O2b9fGwkp8+H
7cJGfyfOyD23toNw9huytuY+SNdueIna2i65qxgW0OybxsvnZpn38cCSm0co3r08nmC0j7NAd3FU
hZfAxKhIPpBaszElI3c8+r7xsUDM03opO8NRLyuDNEz3bflTT8qPGbqBZy48F8GBLhDOQghY5aM7
HrjCB62vLc1JNHxbP8VuVPRWh7vYtQLQJyVKmFtjaIZ3b/KBdVhUYRft1WaAinyY2hNp1n1zLmTZ
vZRNTS6kJiSiY6YW9oLGRX2sTjRcVlkGHoBVzbHmDtghoaRWu3j7MLCpd3AUgfP36Wzd7jR5s+3O
qq/dlUgPJmGQJoDg3IvjhAsb49x5iJBxYzMOGoRZvdd8sxSF+Iq0Z8l0qNG+oMKvDGqITFSXSDpw
QlVSCZ6ENFju204H8oAQrTu4ddz3rLup4keRi/4K8S4e6TFo+5vMV7DKPBHw4Zbfxvg8qhIhppah
us8Ut0VeOmsV5whHdfGYGq9GMET5W/ZUZWGZHJq5iur7xLAL7bxVZ8HNJMu2Y9yIpdlXC6Fj0LzD
dAfd3PcnNtj5OZpD9GlliO0694rU1zccW+PEqtb3f9MEYAu9/UR6wrhlabeLUDMVxyjt4WUBi3rv
ZgadODJ6cJKYat7edC2bnySBJzuoBSQ2T4Zx/nSA2QNOQxY+sujmcj32SM3MKVViRKvlGfnu15Wt
jm0TuF7uO1yuB6dSEcT0YCw3TVcSChULlX5sKCcYyAmyAv0QC9J+i26AfaJHmFsjzwUyK+iDQszg
NvuVnN1oZ6PVPE58nuWAR73Wu22baakAVerkfQd5pPI682kZabaY8Xbje194r5t12UO+osWYnNg5
GU41cxxt4FfHaguvGoPFFg/hYhTotKPo2xtca36JqNPPttcTa2M3VfVOIb2PoCzxyORR29TLLmjm
druxPM2Aue1afEb8k09BkEyv7WiK+tDxRcAYJgahsZaJVrfkRPr3IFnzvAODIAzb5+p41HZrxDGt
VJLkzVovuG9QP2paq11X7K9ufmhTTs3vBNNAcIgVycQ7DXHFOj4vHt7WvkQ+XIc94tks5FBAZDgU
rNgGUdSABmc+VnErXh1TJ/pmLiL3rvPnFGjNw8U4onsEO4j6IL64Cf4rvA1WvMx1MMKwJd14IYE9
4aUGpfpuCrePjwDQ/Lei4VLdAU5MrxNzR5GTgV0/AihE6aFeoqB5TCI1v9oucJdfgq5d/2aaG2Re
nYmXGzkG2oGsLyr3Z4Up0w+dXiihQP0eqt3kNXI6Ff7SnHzE+uKvlw42/ucqd+lzhAGVcxH+6A07
hI/uU6BTgDq1jdHrpoO2/YhZkzVwLMHiPOrb9ZFRawv07uj0xE8ZrGecEPOtDNqSZqlA+ohsk40w
CBCx5YBBt5VwT9Y0NyUOp4XPo2HbC0C7z7LsOFsclPX/ujJ0fwo7ID7ynSp+LLAvAbWvJeZFAdSU
nWYLrL2ba8eZoGnljIzcFeEv0DNPH1Si+gUa1kQ/2aSwkyCbRD3tIYj+mpRyfxdaZ/G9lmabf1ku
uk+ukS3bh/GCfAg1R6kgddr4G2cMMK3G7Vw/GDbW8iC8gdC9oIqclF9LY8+hgi5CEVU18b4bBnAP
yrzdV13BcZ74YVBCsrCoXxJJMC1pSEbHg18HyBlYBOTfEaei+OfERffTdCg4TmJMgmnfE9b0EtWw
bUJv7P8BsEk0QTVX64fLY02STR2VbD3Ztj0KZL7rLW/3oD7qJUHElVvTm9/AJMN0CiHIFxbUkHRS
nIzr9C6JeRIvk4qimak0Rlsfbln7X9GG3h1hkUBETcLgum/TFGCvtKDJ3up66wUJotx2YpPzy5R0
GD24Oym1CU0356vTIpGEMeRd1VnIiRzMkrNHz1P8VMVyQcrulOn9GPRTen1gJpgeN95EsysDnVWf
rVhLkTNCNqiahtDboWzkt0EJdHmpkRTqm8kkA1r2MWYhKNKOOTQMC82YTMC/3TshDpU8nT29MrEE
zBb8EP7TArs0nUztLm+8XNqchZiEeyq5+M4wZQippmHy76nb8NZvA31QHPiSEYqGY+igdZpndZc1
YzPtvYR96GbBZUh7GodXmS/94qMWIzNx+28KSaN+9Il3K04Gli68U0ubHqUwvnf0R1H9WIzq90BN
iLEXEKBDJK5MD1+vC2mc2P8fxcJUYM39/G9y0+290UhZc0/P9WvYxHxGV4760VnDtT91sQT+6xzb
trRklGB0wcaLfpwn9AJ0qgpywhovjLpv4kepAM+8ofgHyEJRZ+MPpjkOI46RXUNIqWDCacrPSrqQ
aMysNtu13QbeIhJw513ZI1i5tSs40dyOoLTUqbrQDApcnr1QtPIs4LKCJ+3Ya6rQ2gW5neL1ItnR
uZLdqeLWHmmtzDcM1kxrYYuPsgZNjB8Wg8kDox0HQjr47gvCCAovPW7n5N4o3Q03FEQzFYYhj+SB
/Wp5ZCYVTU7OgOExsBgRwX4li8K1jW2mCAzX4D6agIz3DUU1b6lgZL71mopFKbBOcVHcl4QVxPMv
0qDg5AKacPHwixYB2pRyUhAh7ru/rGZEy1sxzK8RhrwnXPDgJ50p5JczmeLNBUIGh1tpgtkNgyYs
XnFasK86MyIyZoI/bgC6CnTHJA/lKtenYVsND32DOeaUukTw7xvupmdglwh4e8a5e0rTInpfA9E5
75kICsbhNkl/9b3aPnvmRlQWW83UZWha3LERDOHOMS7SQu2144PkQZWHpMT9yF5m4/quJAACzoif
CVCictgziHJxj+GcuvO7jNqkvHHlVF5/P22FZaRaAgZYJjtIkSiQeTwk9StgJP1dndtUX9hj3AUc
rtPwhxGWpSNnRNc9dq0b0RBja/Sj/bK+tU3nfPKr6dYdMrn2vb9yurs+KJO/xszNv167jPdzoIJo
P22plj9zN4noeoL6toc0Vu679k0b3aJt3rpX+HfaT8U2pWA3wnGnH82bCVNXxAPjr6g8BrXG9Xc1
5UsIslZHCDieprkUiQmWF6S3we2siRjfNTHKgnPXKWc4+yNAPNNrOodHUIQaxbhFMQSVKjIYaR1+
T24guWcSP67PTWWnJ0pAMXgKHOlvdM67f4KxXG/H0msANWnk4QRqt+UJ1696Rq5W9sAaZMs8h1U4
vNe973zMrdQBgeBp++iNrlOc1eg492g8i+nd7/DdUVIszZkWFkBspzXihSkxICK5KqkRxdvtXtKh
T5DlZjxBuQ/6RFpAtLjnpJ2T/hTU5TqcwnUwC3UgM/LQVE2ReMqIyqm/gj7T2SPAwGLutWa43Ksl
PmVkhMXT7P8ON+G/Quu4IzP3uEanqqAx+zxibOivZJf/b6rrAgxViekZeKypzoga68dm3Uz1BPiQ
0pKxxfavXBqOpwqj+uLk3WLr+RjWXtKD03X1RjVhwg3ddbjDdiqsw+S0LgBN56iNEnWQpDue2kk5
ISXqaTl8kSIdVSSQCg3nLNCOgW8BBeznNcXgjcKBFZFO9L5qbqSah78c3eXbRrSaOXhSQFWpYMQn
I0iC/Uc1anNBNr/aS5+w9e7C2ibVYfa24GB9FTX7oU1Fety8psZNsYDYS8qcTg486ZRHEdWU0Lyt
h9HVK7zgBpN6/QsNSdpgsqTPYccAVAxvzup033g2oH8UwCiZAOusAowiGp9n3ff9RZaD5x2Tifbo
kx2xaX+sXmInqDAwbLj7vo4Z4qOQQZn2aA6CMONRRw/6pwQ9X1jZuwZ9OX5l4HFCAPMKjwGS3MHz
+VH0ktZHpzAqQnltqIpCioJPi3F0/oRYlL8DLgGPB4yFGhGyKI/kneEzRCGQvEFDVA8Lppwq7+QQ
9qc0oi17b+KNAEgqWMM7j8n8n98lq3fcaGjT+UBGzJ+R9b66gZxr/vp1hCqxNMZ8c4ioBY09Y+gR
m1z/X+3VSYrPhUMnx+Pm63zdMMTuJXshTp6oKyCWwyz5jU22JROkblMPJqntv5MEu7QGb012goHv
UpRTWu2lDvUfRgE0ZL0No4yAi67vbgKUEi9do4DrUgpEInDKpv9nZjf9CmcsD4QiQer65cJ7nzkh
N6MaR5We6DlA0lrG3fINrS2GM+I5UqaRAK2P24T05MwyD8E4Te4246Kc3B98Z4Bj+BTK29bFS4IQ
0pOScOFg8Q4YWDFlJlOcXjzQN3mUW4bVkPABNH6hl/p/1eYlv2at5gd4WiDyLu3M+8R73PKWx+0F
Mwxit27GJSXaAM7CXZv60Y4k7hzXsQw5SkqN0r5C3H3rRNw4e9VF+tGMRn2ntRf+I62nuWwrfgDo
srCH0cP0+K+dr54F9lLY0jQcnWOdTO7L1hhQRj/oNnpa51Bv6BXJEjzwA7LbIpnYnnir9R8Uj0UE
jAkTRb2his8MAGQodL2DG8kZO3SIEn3IvhoCP/oiaw+gVZRR5xONlFXrOZg239xY2XS3XeQSoF06
XRKe4b77loTtivVs6N1t/Iyc1fdukJPDuxNs0CJeQjA3IgXhwc9t0i13bHl1duuxIo33Bgnyc7+E
bUwIQVtzn6fMtofUJZExF8Ks94G9QjCesFmyt2MY8peQUdv8rgkuKU4A4zzmaeM5+oU4orDfhYXI
LpXjXAG3IhaPkWO7vy4iEpf/vU4ubpWWv9kEsi1PbCHjGwLbOnlREjT7xasHp74hLrve9gWKfgSu
9GsDEWFzSYRQzZNurKAslKyI321Gr8CeKDNYROtFMj1MpWeqfYPb/AETKHZF1soQs3Zslzs8lnDv
CYOHnyu/nZGkzlTsPo9NGy5731uaiEtz5b5R42zu/GKsf/x0CvuvpFq8/xZ4oU7s3XYougPeo+oh
Bd6SJwpHMlR9yUCl48RB/YgYI/D/8D61xaWtev+Bc7LicO4jO931HAgYGiWfz7uTQGvBbROXtbiJ
4AQfbTWZ/xLUSD8uu+TLpGGED8smxs90rEtzqMKpsy8dgu99he0W1/5Alm+XzgnRrv5ant2+tbCe
pa4OFMz25T5BUV0egyJM2xswVxoZZJFx+vLz08M4QgO/z9noTo+SSsBLwrOzwlsNYA2FoYr1NAMC
kxUlG7nzUNTjyUtTrN72KnxEiZ69dyk+3jy2yfC7NFV45aBFPeV9LLJgl8Ei13kYNeV/fQclg3oC
7DPPXOiKPZfK8tqLmPerFtgxc4dzTd8UojCfEfPqU+nJnukh9O1P5Gn7togCgyGGvuCYYdH6LXQ9
tnvEY87Z7cbmv1RPLORN0E05bJa/7K/S5WBfQWKbYxHWVb/3GAA/UTz1/zmRoMukJMEBo4hIXlrq
koqL31j/QqLJEtyUqRkgVyBt21sSguaXLkzUtse4hyFFESVSXNiekNwkLYR/vkI8jLn24zlgD+qj
L0i5rDp7PPZcgU3SfgAjjeauRJ4nj/GKOv9IPAJFPKiIg11f0BfLLeV3Zo/bIQ3Pmg0IG9049FhC
/KX0d0Jc1WrXVsH2juQ5Y49NNgUwuJ3sn1tYSKAhT6TI+pci2u47wQjNPDPHwU03+BmlwmChxXGN
ACoONqH3oAK5Zi+Gg0AcV7TDrsHuazCWTysuz9V3bqxlQDnYCXoqd8FHUBSsfUXQhLE92xYhSfoy
masg3Pe5bWjHGRPkVAU2MPSZ4nGLIrisQCyaFBprkvCubcPtGJbYXHNXEvmSEzenf1s7yrdi7Nb2
Vq7d+jg2xfzAHAxZGYT+imxyDIe7At0oFmunGBnCA2d+9HH6+/iqInMZuz7bPnD/bw+JSzcYq7+P
cpphVgO4bSlGcl6JlyUhA+noxFs9PvCtpAnpLpxCtyLltj9FU0tMswPVyGWLkE4cyDFoH4u65aXl
6gtf2JXDjg5PAk3I3xq6Ty2L5LJ5HPc5g237MQSivTdOTM9yKcmsZQtLMbIB8tww6KJgavpeprgK
3PRIOQN7zUL9BLR1kgzbj+pDVBNqi4Y9DbzFA1kmU3kHVBhVYqdbN+NjDebDacroVmHy5luFQjst
cg3NYURESHM2cCnAfJ347Y9vw7W6zALDm8mdOlz6X5J0lT/tEKAecyZvIbVee/LRmjBa8v9xdl67
dSPtmr6VjX38E1NkkcXixswcLK4oyQqWZdk+IdpBzDnz6udhz0lreUGCu9FAA3ZDpWKlL7yhKGXp
7gnpCH7wTeKCQZewpl2WzuASadCb4S4fAnFdmmqlCkH0SwDUGxIYwop69NMJ2DkcOMumSotPCZFI
Nc3O1l3LMBRm7AD+HDz1ZVODROpuDQTel7sqddX3qqskGH0ChGa3IDgrnnnhKn01LSnaJbbi8t1E
U9lAD5uUAR7CSZYrldKPQTN9HDpjX9VEhNtO1NzgBZhOX8DtD30P+CL0Yd5Gf4r1cEu9HKfxqCau
2zcpPFXfK8xJXgOn0iOyBCEuoZQEmp/I23bhE8jRqEX8pQN20pU1wkKa7hbk/rRvYN5CIIzu+8Cq
PgIjGuDDkgtqH60O74c99jo9uWU0/MynOfrQ60Gh51Plzh3WJo71Fz5ApP9Q711nU9Hd6Ldr0E5S
EKUQD5thViOKAePKIptD9aCwRwLOZhkVhVCrb9uHPIU9z2AFtDGtprjd6bi2PwYrFZaIW9j5jhzW
hp3cAs2AwRSV4gFwBdC4QYTl7co7Ok05UA9KKzkVDmxMoTfVHq73pN6FGx8Im+A1SDU/qgqV1G9z
CANsGDyd38+lHRWnKIia4hfuugCVoVDQ3C/pU7dH8LnuB/Ds2JqVtQW3waOsRhko8Dj5OdDBB7r/
BDaN1SP5o9DieW5c2CMbOTvzJ2rh9kPTN9P3mC7o18kwzOKz9OrhNJROBBmLNJgKTVXkhAJu9mJi
UfFL0MgJNt3St48pv9VaGqEFvE0jKIokZLH40pZuYMnNYjea85kw5YG+WYWDHiX50gG5T7BEDzfE
7jNBN4O2BOWMnRkqoEggd7s99CFxFS7KjMsDF0cTXXGfCMePQDKrnQWYkKdTyOU7wKJh2ca1p/VV
mlKH9G27ma7rnEdsl1ppWCNOZZXyUWV11FzpIuj/Kml/QIhCVeXzSmuN0VOIp1uuRYIuN+aF3jdR
Tu25aUnZkdwAbLEDchXl3yKj4uLt8VXzTkk7mg/R3NfT0eTwhJtwTodbo/dmtPLRXyDTcFrC/7Zu
eiyMipU/SmNghL9petDpM7ssfpkRmoOb3EudbicLyzD9BKYAFQExBtTALBXedCC/vrp0NegMxJHZ
+Db2hd42RDAl9hP8IO/LopXPRj4v7adOsk3Yqhx7oKFV3j+RxSf9s6vAp8ODXbonA62eZ+o9K4G/
jsr7IEyZDb3S/gZ5jlr40PSB6XhF5zx62D3l/hgnC08DGT6gSNgH2vcSoe88s2tggU9AfgeaB3HZ
3tiu1MA1zLC7lwEWvXsToYpnl0b0X3xu6RztYBFk7S3k1b1o0kkdwdkmV2YQBaUvW8ekckaFAGGo
Dsgv3kERXeSQ3Fd/8LKJnHgoNT92Vth9XtflPN6UYVi3V2McuLTRNFoxPpUkTX2E8gM8WP6EOhGN
+nIPGQCq0NCiJOfDA+mhcqViGbeEseh3RLPFkZuHMLC3aRuB0u2bEBwA9VTi1goFZQAD6KWZuwlS
0AHIRa12Bnw+IgNKfWILy9LKN0thwyiXpSUe6jaAjs09We4gwEaG3/cAFfy4XRYLMpFOmuM4Ki6Z
JCvD5EdOgtUhvGNazmaYx+prNC9eeQTgZ6uN6OrwU6yG8GmACU8D0/E6B0uEovmLehXfS0dp+7XN
hKBFBLMEZxwZNzf05mkNdM2MEJclp0gfIBjWP9IexWoUPfQcbPq4gPwRQBed9z1C8A+Lzcek8xuS
6UUULp+VkgZOmWVhhpzlQn8OFGtxleGxOmbccAKQJNbI5JaVZzhXGp5wdRVnLmIEBXF9eyB/Tx7n
loveD0GzdRvylSHauZD6x31WIL+y0TGKcFsZecFjn4vEvDPLXJ3ABfSxj+JOuEeROc2OcxF18TXw
O562FkyruPIGatYbemgdTA0PEUHgSepAX7JpbkxU1kxfN0P5qR1t75MJndreN5yelf5eGgeEx+vw
wB5d7/veaLiv+yrd09/twRFNlvuMaDiAw3YygDINNgfT6y37MNY9yI0stnJ9GMq2V9sRcul+bdzC
eIGIutYqbYqiUB1FtZ+6UX80mhL4R2wXXYZDYt1/ndHwcrcZqOGPYNLpOwVwjwGlzzaw976ynBxp
lAg089Q0sHsMeiYecFMIWgRiMSnb5IAlhGg0Ic62wgqj2qyTTYcm28+B1/VpKhdUB4AiWfXdyFi3
5gKTYoeMhhEybtYeZ8hTxjXFWqn8CT76CEg3dU4BVNV+mxURpVOujxHjU/pg60Vc6/g+TyxKoDV9
qo1J1zG4HuceT5k+w+JmVcqR9q8Wh4FbXXfNSGMeHR3QcxjUmRt4zK7wY9zCH1i8IaOtUZTfPS92
vlRAe9wrVwaJOCKYPHsE0JZV3MipXxRHzrG+QfRyP/PWp+auB/tJ3hub3nezMcxHZALIg1vsmVZU
Y8zmjvOfXt0ulp8jLNNfLUFohgfK2d6vSiHJfzKlCBFCpxxv+KPsq2VXS0gKN8hPyHhLaEVEnJdD
87zgVxxtGkOXUJmNyATKoh2i9xQ0xnAyVd5xhrwsn/ayhE6wrULq/DvloO+B6N4iiadC/D8f0WyA
hqFCcLj7hSIj5T1nsk8mxeCKloyNBJuDoOJVr0MyZJTHUDyYpnYKNpawNfcI0MWHpJ4Sm850T8U7
AjB8LTUUd0RhLaTiEnpHqPdZxvQXWivBk1RGER/hlVnfaRuhzkmgNqLF2VvWbqYKZ/pKt21Jx8uB
RpwOKcpzEYwZHnSBxbnvDKsSNRBiQj8X5HexQQi4eLEhepVXrkOU5ic57/8OGWh3lfKLYGxyrjzS
f5RI+ifCLlapHKdp2dqzayZfRa3aCfhahTRKGC35vfTChOoG8TA7nApB/hGhzpKq5WJTVUi5Fr4Y
GejzI0DZFlHJ3KW0qIlSQWQXlgpgHWMWD+7F5FPfZQ1NihPRSWadyKum9Ar4jmghBg4p+qNOFmkY
vhoJBejZNAKXvOY557JYlms36wtYI/mS6VtItLhwUIpWX92a5twnAz0YvZup4DGgAcALiYulgiQl
s2Q5KLiqVM36OKy/ewAgr3JoXPMNgDexHOQIg/gwaNxY7uisBnd9qdLvouja+CNwcBCM7MGZYiWc
Y/KJWorZF/3guN8kxf/kCu5cnGxbnAwwimIBS6ieFqCw1dvRuIqsQHxO58hQx7Sfkk+i7BA7GMpy
hFCQhjCGtI6zaz7McO+1ZRnveIPK/HvSEvjsWiNe6kPvxPMHkOUIkM9mo75EKUDDifPNsQ2bNgIM
64bTXbHiLKlF6Y8CoSqIv5ZM9jV1f4ycIc/XHwtc2qY9jIK0v0k9Obl7YeTFYRHkQrB1RY04Batx
bZrVUPsoo3lqNyT2oPcDgqog9x3U+yFgJH1xGqVuviIBWtGskLxFx2JCi303tqQ4xwR5iN2ceF15
5zld8cWJl/RZIx5INmQG86d5SZLyxpoA1u2IbbS1Cy2QzNtwWsJg2+kZPGaENBNnIwS1RY3ZpGdE
Skinf9IWgMIcE+oIIaHlekJKqD+UXpjaPt8vHWD5hhObtWyKj5mRjMYTQOOWJyhRi3vjxokV7MAh
EzxDPSJdMsexyI5kc2nzoTXq9l5Mshp2QzcOMXiFJHJ2JhqYX1IwWvHebb2uP9Bmia5QsCP1mioL
vAftkpyHcDGSYdd7dXUjZVnZKMq4S3Zog8niFDvgeclAjLz/q/MmcFiVgxogZHRPHxaAjdGGzMIi
s1zMXCIDmXbl88SbBPDDNHAwhSpU0EejOj/Bt7KTHAEMt682gFvldE9QaFU+6pCUdHExdK6sBKj3
aWjKMT5VrAUFA0Cw1Q2Y0HHEUc6TH1I9hM7d2KVe+mGc4om2dNpOB4Ck8c/RMFyxz4KERTOtxTpR
R0P2yVLFesBbw3kpoqGebukCu82+zfLWu5oMOIG0EUbo4DTZunBnIvyJJFZri89G6fTURBbV8fy7
M2UfFHQSCKQq1vAWnHxlqxla+LorBMqBC31JanBWaN61lReOKJYp19lVqH1zJXSEXnuzonqEdhES
fYs0xp/gNpyXtGxgYus8gYAsy3L+AAMu+kkUUuUrAb7beuMEEnC9y7fkPxP92WgKP5ZNQqUXGAe1
QdEIiVNUUDS/UC6LvydLQSspIOg7uFQDoht4Yxg5lODQelw6uqx/jMeSDK+LZPCQ1mb5E54O+jU1
HPlpl5qtHcD7WyhvmNrEjcGl7umh6mAhuKW5NHiIIDp8jvK61FdBWPafl2JZHpHTQImBkPwXtKmS
y8f12go5htY7yhYcF7I9y/xJpLWzwhpmsIGK3fXQyig5xoYK78mdaEWpDgr9Vea0JEur/ljpIxSG
oILdmEay0d1guqcKm6qffT1ClrQaCPaI0tawmDR1iPko4CVUn6sMJdp9LpfgLyeduv6q4Owe4C0H
3fXUFekLtcVWADPr7GsHwEaHEClslBdvgDdFTQ/ML+c3JPoedC7rHfJ0pbdpZJAfvMQLGx++fZ1d
TUmSmbT/FosKrgNnAfxMld6iWhZmt8jVcBWXQ4oAg5IUf7d1Rt64ZrJDcKUFLcadsBa33InGQ7gW
4+k53dgIy4LUhOfe3ZactG9243U/a7cMbpAAwogb3hjIkLaqzVVNnvSGAF+ly27RkfmAGDQgqMbL
qgdwEjS7W5b52CIKRiufRPGbAAmfbgH0ou6Mhiwa7EtQmenOSKV6YbEa0y8Q4o5OdjxZ1G0qBBH9
wMlS55qnrg8PKBPZ0QE+JUvA/zkcdVJkvEyOdNsb/A55MVxIJWzBttDPETFKcwwFWtZmURi/HIGf
yXEp+tjaT0m/lCuvJn8A+0pVlm+U/yoam8qkk3bLS54juPcBIZdG7qNBdD9Qs49+kdRMtzEgxwd7
LCEAFplZfU61KZ+49LzbuM+7Lx6MyX4XGp6GLJ/b8LZG6zkkkPzsLMs4bkIUETpytSUxdpTPi1MK
vglsXCxsnnMxd+02Jc+A3641+P+u6tFmDuzAucP+rTO4QpP+B0kzfcxsjM2/YtCa34Zeul9FNWAa
sbqoumTcofOYWT0QqVJm8ErnVI3XKGUp6WdUJ0rxleZYHpzKMtTjLqcAZvsJNOZmT73LeFyCePlm
iaZptjLonK8UzNnmylszJSRom/sZRQPEDJBuoQkOMOnODimJbwhiLEKlwoxvjRpk5sbrwnLceYbK
qKHRFdq2Tax7Wuv0IgCuWuMve06ye9w3A/DOPGFoVgV2C4QuUNhdOO44JTeocoqnbiAuMIYsyHwI
GBQxhabjNjpuYfiBh8PbrV48E/3N1hFfFYyHB3A8UeSnAFM1SE4N1FfDvT7SG4HQX9SGfsb6yjW3
BjHgnrImqkR9NiA7YnrQgvcFLx4IAlB5PjypJtnBDqOi6eSIsn0EeC9gzaErAg+twjfamNamREG7
F9JFBtNoXCyzO0QADFZtgDYj54rpBm9ahy4hihRd3l0BhBqfMJ+wu2+dnJF2BKhjWIfMnPBbCihF
SnDilco/9woRLdDNjP3QqHYV0c35jea66X5iv6Y1LTw8Xa+IpcqbZOxMpDamsfo14+17Y1GooahP
q/yDTK2q3+vZA2OdcmDlDQXDJdk6svK4dSUv9q05A57YLTm2U/sq6/UzuUGW+6JBeHFDi4m3NJ4X
xPzqpOmQjSECHPe5Xgi7A6nLZu0yh/HWGeE2bO3EWhu+hhM8zWrOXrqCKP0FfzwQ7GiSmv11XiN1
s0HuD6H8oaafuLGTpVS7omBKdBuon2yi2Haexqgq6Txoiyp/UseQyekMVT9nteACjxJ4O25jaK/D
Bl2y2vGJYNSvHLTfdTO34mWFGIUbcyAn4PahBLHp0Rlc2UeA9xGHnb1HMw+H9H40dB9dx22loPRB
5+c4NtBf67JMIEg1YXfISwHPTtleRv5pLMv3mLoOMnhlY+7LUHU2dR1tgxTskFT+ENQo6mycCR2C
4+g6lLVgpolmE3SG8xgjHPyzU6gjI+bijXep1wSh78iWGzaIOb97JwK0sM8aZ3Y2s6zKW3R36eQb
KLWgJDuJZ9XK9nuHFjnYGosw9KDVIH4leBplt7y25S20poiwKBBmvzOaQACZzqAqMoEwoQiKXveV
HrvkE0IodKYQz2ueKrvuUOmfk+EHWl11uRlsV/xq7FIEWwQoaGmgfabvu0xFRAfctqja1Xby4nEE
0QG2hoT+kz2qm5EAGLZS1Ls/csRsB5SnUNHZZKSC7gY9Ji6BIhPjCPe+gVnn0YC9WvCjnEi9JpFu
UOlRP1UL2LtNmibwrSzg9Shl434Ahw7VBUyS9wy6PDpaTYwuT5OPkJITB2nuHesBOATp8g7ozqTd
teEWgbswZZ0WdyKvrB8l6IDq5CEdmaNW3oqf2HsY0p/DQkIeLVSXHAS49VtbT3l38KxgGfysocu5
m7HTEQfwd/Ot0lMPgWUKzWmLbWX1VxaG8dcASOOTrbwJybep4TD99NJI5AdUoPp2o3IRCmA3ff8Q
YxoRHJMmTeMTqAdiauB23UnbpYmcFEDy56mI9bNGX5/4ZRgmADD5gN60uQx/xbkkWl86jI7tzCbl
BBrpfFq07VLRRKALQqKD3wrdGDxO76iLO0+Gl8EKNlI7Q4JZU+ju0TJQoCbyRoEspuS0hgEluPRH
p1u4FKsKzh19z3Zo92oonK99iIe1n1qL/KQWoIXYJoRil9CxBrOByoZFF9omO+UMRQ7Ko1AutgCT
XeiXFUxBShtebdBpFWDY7AHx202Yc7VuI2pguxGlJgxhG3r2/uAC/74FEdKhXEY7CI1rAR3Cin3G
8uqd6Mc0+xSiORIgeD3RhgRF6Q07lHdhIAQqnWjMYfKdH3mQ43BLOcTOjlKCq9tV1iC/O7TXixv0
/Amu88ZYZa26Esn1xMYPgn1myC9mE6pPGC0aeidzc8nAKcFx20oXQMcW6A4RKjTG8mbCLuVzDiji
e182RkH/T9tPeTsPSGVAwKYyEVbmFwTos496aGYK/EC9PnjoUaACWFyn2XxVC4WLjkcR/qXgWp2B
vZWRRlFxqKi5o4ONr4arp6d86Kcv9QLi3dBJCg65XYbrJp6oMUtbxAjiAvJ+ygDjWdcTRgSQwwiv
Vm0BuFYHPJmae3Ow2BsjuLpPcyVL85p+aEyyCM3nFqXGEVAVAuPwMBRwTmMPyghxqc6V5iMadKH1
zVEtNfMR76/biAv8h22G1rxXCQrVHwwoJtSKZ08n3KzIvFMHzKW+t7MIDkIPi6PeLVYEtzKJZjlv
Q3CYJx6TPkOVtAQ+3Rq287HPnZ5HLONdqiCS9pvYqo2UUFI1V2qIPW+bFJFLfIJMjNy5Uzd8W9xZ
fjajubC2La1Z1xdDrdnRId52yOXGM9XjAmaNBHuUX8+OkIL6ihd0X6MRDvcNocp8BYnZ6vaNpKYf
chvAs6eHjyg4nN7yHgAo2Sn92+hpGF1uMq8PZbKlHaQpzAeUO7ZkU+kXA9GP2ke3cnb3OIelX4qo
VRMKNMZ09Z+anIREiC6Tmzk8MKJErWNoapTM/1NH3jjWRYYTjZa5uGnwEfkuzSihAJwLeidDAEEB
fe5a/gg7mKdw0cCwIVYwhh8rh44Ori4JlT4c0tAHEeTuoF16xAG/URrv9X3dREX/gX62RfheNmHw
yewnsWyteLFPEI7iHLpNHRWb/3ijlHNBWLcFYJNc01fwEA9nq6f7/5gVxYqK2uA2cgP1k4Zd91TI
JF5jJ7BYAnry83+WBUajGCQUYNVaARGtALFoAHGlDFLlav8fGJSdJ9wg25XKiqQveDevRIoJzzEB
yDy/4x93we7MWn3V+CmuQK1itVb6h6dQC9YxFVW9GnBZ9nPmAHTZT2M3yePUh9nNAs7u2xyk86mz
u+Qdo9wLllSWTf+bMN62hWeeeR2ORDMutxxjF0jMz4FydzHS/9S5V5R12undf//X//q///vH9D/h
r/L+/9tv/VfR5/dlTI3t//z3BZsoxvNsII7gTTx95nAYJnODdxAZlGHRakWT8cXou+aWXGN6x590
NdN6Zf/FhQEG3RaS/Mfhy77+qiM+sSUKW8qPGyO+HpfeOvCgjr5t4BLh5PKvRo3InWO3cd06/Y+3
p/mbTx+dOIY0XVs4hIvizO2sjoYwhZWPk0TRJKdKxHhYItyxb8MOvqA9RCjypNmfftu/B2XWQgCv
s87tlZe5GrvIAQO3tH31WUhksouqNu4Qx4//1F2RiXmOLTWuthZGZmfLSNds6nA7gG5WVe2+cL1i
C3G1204B9kpvf8rfdoxrm9RVTIf/Oo4SZ5aHdmANFYr4SE+66rHxkuzDJOsXOx/y2z8fiHzS9hzX
pJMqztzZMlM5wJzQDkA1t91MVAXuLK7XPc1wuJpvj/XbsWMytlae4+G4pyHuvt6c8G2xX8k923fR
HkVZerY2qSxpWoAZ3mCPMWzfHu83I7F1PG9dLi4YC+bc6/GSqguRPWO8Bmz+AQVIY2f3S/7w9igX
ZoXDp+XRqBCUN859rvM6XHjWNUEnvmR+UCbeHvooOrmdQApFjurx7fEubA3LdWH6epZLV+j8iJsG
rNhcgMjLRN/6lqPo6taIFdmjXj6/PdSFqcG1tBz2u8s3tM8WbFjLA3mM+cRSZOopqXqaDm5lv3TI
FR5Ar0bv3MsXpiaFBbKPEgEHzFr//h9vgoE7AC8lmDoDad7jEpZE5QCqfJ7x95wZLw1lInYhEGzi
gTk/YCgedCuNAfkZVEGP2LtwAnpaCDDZ+j/1I3Rx9hXo0q7/euz817OyAngqMIrWs2zXG8OKxSkA
TtgYif3OBXVpvbgzuAsB3nL7n61XZQE5nCKm0gBogK9Lkj2GU3KInBH9taVO9m/vj4sfkc6prRQm
6OLcMxjnjzEbPLZigTPyYRpluLUxDzt0bfLyL0ayPInwiBYuT/frbwjlHycdF5p42tCaX/ow2DWl
HHbJFDb/ZlIScqXgEypHng0VEtvbZjxxS40WqnnoBpycABIGMhDuO/aRv7/W7AxEPumtAVfE3fb1
rACWg74JEBhGGacA2jyiobMPCcxpymMc+jI2DeC9zjLohCyglK9mT5L0/otPqwU26qbWUptn27Mk
gS+aCdUHKzBqHJHgnlOwbI5Cj8k7F/LfP+t1eAKbWWBpoQQdYJzsX09YhHlX0hSTfrEU0RejoYuz
6SaMjiowZ3ciytL7uGnsaxpk7Q2ueOKOJ3fZ0W7XJzA57q85rYZfgLQLTY4PSIsOf3pMYpMCrwEZ
5p0H67cYlZP7z1/3bH0MA9BqqrT0U3oWYRHRhQ0mjBCwvdgh3i78fO5ilIeRDXl7Tf6OQN/6UNbr
D4VOCoSXkZFbpBwBPaAzl+s7RfHMr001XHsrLIBCwUvQyOZGxHl0rPvgnd/i0vHm8me91Hpx6bPr
GCqRnUhgPvD+UJoMYhTHW8D/JyTD63eGWg/Vb/NFToETDihYqbNDR9kl6SHy2X7QfXNAbB5ozBS0
dlGVrZAUevvrXhpMrg6joD0gQ1hnMY9XpZ29quHSeixC0y9Nu7ox3KQ5OOOUUY+34aC9Mz/z0pia
kgERiaVc69zX2INxTRSBGSdyLi1KvzgTgMcOqpNLuH6a8f4CkGKpPeKB4z3oou5uliO50JJiu0c1
Um0MJ/R2M0DwegulRuxrquaHtz/M+j6crQI8YxNFFU3Rj3fk9a4r1jUoUdUCIwfXUtdA8G16cLu3
R7mwrXibPKJaXilLiLO9HSwTbViUEPx2Fqjs2mimuI61gY4/798e6cL9yh1u8rpbfHapzjZwNsoB
7B0BIG2i5rRERXCqaPP4FFXWXoQqDkNrRshDesYNZiLNn9+sRNXcINhqc0v85sY+QQaNx8jxPaM0
HjoloFuIuSpvYGFnX96e6oX95WB4bJMusLvM83QavCS04JqxLIDCxx6U8qahYEf5NUHzg7DgPaPe
C6uoeB5ZQvy6Hdp6r/cKvjroezrU9kGvtVd4pCMHWHX6prG0984yrj/qbFsylGdaxDakz+bZhsG4
p8UrKOBFzlx6QVkb96iWxhG64Pis7UZbWB8wyzLeuSYunAYFkEkrB/CN45jr3/8jGs2KqcbsFuE9
x8WMCDmueBtElbr544WjO4E6uUUxxkV89PUoykBZHrIpQe4SiEe7rhJ6BwCQj3AsUw8s3lBb71xG
F5fOU2SVvPmmq88m5sjO5A5kr4gw7OqdgcTYB3ROnGQbQzT/83SFD8jqKa0sSQT8en4diROwggL5
QnII0EbEOS7G3bumAuL59qe8NC8uLe1ZNr6wrjybV4qodgkQ2fGhnznYDaFFbGSY1fYAELdvD3Xp
gV43P8kDJR2Yn2fTgrkvVN8zLSyf3NCvdDk4QAXc8ogUjUBnOYMQlY1eMZKnzeOvpgEAj7NPc7X0
JsH527/OpZkr3jIa6NynjnP2orUZHlHuiGom7rvusYcPtZ+89qkfocj+i5E8D3UsMD48FOs99I9D
QfaGXSm/AdGihb0AZDGEjyywr/jjvfONLx17d83P8Fij96vPjn07NcC0WiAVFZDfE+qMdNrwsto2
9HGukJE2ThAV9fHt+V24R4lCiEx5jXk2LPl6fqGL6uOMjDao4iyEdwsUI4+U+XW282O1eME7Ge/F
OdJCcm1CLNQtzxauhOygrRkVpyAu+wc3thMfR57liL5GegNnEAMKlAvfSRPXc3B+n2pHrvAqLOW1
OpvjgiAdGDuE3DPwqmgfe0ibQbGK4q9vf8tLk9OuZkeyLxV33OtviRqaHUxoefhqdtqnafGsq6YE
yJrgSvp5jHR204/G/PPtQS8dBcrKqIp6JHG2s07+nxu0KdzaHlFLgA4zbcvZmH2VGfAD6BMf/ngo
qp1UYqgFrqWfs++IyfbKNqN1AAXY3EbUKG8oK6f7rA6Gd57AC7OiSg7VSbhkigQ1r2fVQ2GCmNWi
FusJsU/BVNIKyRQS2Prl7Uld2BxQ/diKBEzUYMTZok0iCNq0MltfAii5bTCunuB7Fvh0vj3Ohdhs
jY0sBV2O4ohzdoFqty7SBHlbkC6Nd8wMbexl3gmfwJyGJ/z0ezmAVqh4BDFCcNPvbw9/4Zy7rlBA
SuiTKeozrz+oboreCV3JORfO+OgGYvkInhvZUj0U+3oujHfqrBfOgovfKXVxKltSn9+baR9AOU7p
KKbYWB1iy3NfWgNiZ0xjHxETLCrzZGzv/niS3NRIwEgphSB9eD1J5I8R7gel7Q8eAnUlShF3ir70
Hk1IdE3II99Z07+/2tnNwlPI/tTS4Qy6Z1e2l40zXdIWcbU+Tb87Ue7+WC/278KF1gl1qkGj3Yym
CAbTAt0DHFf4KafuqLZvT/z3r+24yiOOkMRWuIufHRdoHEg4xZRHhTKsB4wTsxcaEbigQj24Ri7B
cTcz/Br7nWf4903lsKnIVniBGdhdT/E/7h6FxnCsMVbCwxDXMbB58xYzyvQKJssvNmH8ziwvDmfq
tbPkmR5P5evhkC00YS4Bb1p1AD+B4LFPTWbdoHsFogiHzsr98/mtXxSvL4jwJnN8PaBWqzJxObaw
fwy6kgkH9nHpbXVKnGDERLPs3pnhhXXE1I0xXd4RgtWz51HWQ5zjtAT908vbYywrFOyxd9gaQZAe
o8gITothWO+cmvXmeb2JqeRzn5PTkLaRT72eJWXZkuYRRxVfD3BNzYTRYEqc45pV9VNFdf0z6Vo8
BKAXvXN+fr/l15EV8QAJuAJ49XpkG3WhuakdHkw0THd0nt1TI7V1g9ZP+U6j8MLeoW5rSmpxFHC5
BF8PZQRWUkW2DcKhQrexmeZlB78amPNSPZYBbt5vH8iLM2MFqSaBq7Ods1clzd3IWGJAJ9Cci31J
3AjAPzD2yOdk73zES8tnUtbxlEezSbhnmzSxJtgd+aohs8D/Gxoj3Nlo76DyLT/T+LUOiBqtVgmT
8U4st14qr/cNyTBDao/gkS96tlnTccadKG86yB9UlQycivYxlY53jsTvC0fWQdGYfclV89sZHEx0
SSB/d37bJsjqQAfYIkRT7VHrRHUId5h3Pqe57oTzablrSka/ySImPjsOjagQSu5kB9bZWUVAjeQw
55G9o1A+QBKHSHMQVQtNQIn8WNc5cqWx1+26IZRIe4z1B4Gw2tPb2+n3NVZo+FkU8Og384KcbScw
1yHku3WNbVGgJ5m3xqcw7aYDWkHquesgYh6TSaKUDYKby/Dt0S8sgUd2SdTHPzA2zq55z1UTtFyg
C0a7fAuRQKbdgtH0DJmJK3D/9mC/x0ncQibNWc6NI4kLXh9U/HYqRBFxqBCAuo+YciG04y7jMcix
zaWS5p7KMEdQsu+6ZOcAQPjzKrDLIWJ8fguFKPvZeRJOg7dXUfR+iZbFHsa7+VHUmdyiPdS+EyT9
foIYiogMCimPNxN+Pdd+5R6kDngbaypgHNdRd4jpcr6zoy+MQghGXrnGBrQizpYPUyHo7AiP+5aG
qTvjAHSFpuCwe3vd1p/y+ti4a9FxnQ3MFvbL67mUCNciJz2h0bpqes2RHE7KTL7IcVkO/2IkRYgn
Seiok52FsgPKZRBXxsEfQzWjT5N4aNUEJ1cPwzsjXdiLVMxJQkyUqumnn69PpLGmUat+DMzdFn5E
7+ztyRo/mBZV+k0u2/RTPsPYa92hfm5H9eelYxToQAxZwBIU/c2zc49IL1WdHBTVile8oQm+7MoR
bcpUTPa/WL+/oQre36t33gZEB2bo3d5CViJMzJvaTenP5X1yj+Lhe/2I9bOdbxWXGa3wFYGo9NmG
1AFGVeYMz7KWi3xE8656rgxlPVsGyN7N0Glvm5dF+cfPFb68ANdIKE0qZueLiWTPNGWhPfgTSMpr
zJWqrTl6zjuH7dIxwOSO6t+KIqB9+/oYjDPm0MJGph2uIdqgi0SvVS6Nj5/fn5emmAr5JNcH7VTq
gK+HMi24ysCrATu52Ja4CLXucMNzNqFEkuXPj9xaQVmhA/S9nbMjZzUtxkCDHPw6aOfD4qGOHdEe
3mfD9P3tkS5dVrTfeGZWUBUt6deTUp3MvSXDcaNuqv7UNa3yCw3G/+1RLq0SD6p0YNWijOmcXVaV
DCj4JbAua411CMr8yEE3Tn1cunJ45/H8bSgmQVRNJozRF7iSsyhpQWupVT3+rsIZ3AMWKfOxHntq
DPCPdm/P6rdztQ7Fl1OURol07bOXy8DMG0YRkkdpkYdHgM8hMkRddI8vW/sVkjySBJ65ssr+eFhF
lIvFEG0DXpnzW5IGNvugwg+TF4CouvuCdaJ5yPLU+oXsqi4RgnLqd87Zb/uEhOGfg55tfgc5nDyM
phXJbFsEn3O3n+NxOL49tQuLR9fOY3ISzIw4xx71jecsJUIJawdNnnA4mrFIws6tqZEdeHuo30K8
dUJgJenP8hlBSLze+AFoklhO6erLmU04s6Hsakv0d8ArGIdqsNQ3QrD0cfp/nJ1Xj9xGsIV/EQHm
Jl+HnLBBq2BFvxCSA3PO/PX36724FxoOMcTa8IMhA6rpZnd1hVPniHbnxt08civDq1MDmwtYejNa
vK7TxhMpIORFscV8prYk1SNk65EPkRdj92gPP9NJznfu4saptWXdjTtPy4RS9PXC4dhbusZF6USN
0KA6xCqsln4YZcVzAC9AwlxGDSfIDK/Fw3/YcRrw0E7RMSPYvDZMyFVriLRD+x3AP6DHrvNdR4Xo
zPyL8GtVLOeycZ0jOnLVTkF6a8l0xqkG8vwB/1pt+VgprlYEpVwyGH4PDvp4fIZOXFX+WoZC+TBE
baJQwS2bv+4veePWkESRALPZrgGo7nrJdrmY9QwBjtfDgbEckx5aLy/pijjb8Qlbhgg6DcJNFwzp
uuXGe6HXTsPotE0dSsrqzE3wFEWMrOx8xE1DlN9k40RFhXG1orhbhJkFqSqJkVFwLRFhWNphryO7
4QcEHvz/rawuZ5RC1A7nh+rBBNKdhR1A5R65koVIvLkmAt6LYJ3WCHOZ9GVW7wVkUnU+RDpYG7vU
f0TKrH3Ue0GTCxiRf/80bBxDQVSLdL0tu81r+BxqOY5bZIHqQfsG5R7ElVCDj/NDItrpoekmkP2w
TO3kPBt+joAFvhsZH4ENWYUSqoiEgtKWBs9c3vxF6eUntIjLy4hneGL6vvCtRQrMuQJm+fvL3fqI
tixxUU6g4L8+KijehV2eckr63J7PTKSjxpgw4KdDs/P210kQtkscJPH7DUbWpdnThMz3MKfUluey
KsQJsck98PvWgqgWgtwTDC4664ZhNDZOPzdIucEkVZ/cRdQPXV2aF/SBjbfWsziVshoi4ZyCzHjl
pN0JyThkvnSvsYr8WEb9fEL5az4zzbhXA91clcB3qITqFpnktY+iU1OFs8KqIqWvHspoDC8QoEPk
k9XLztOzaYrnj5oiZUHaFNem0hh8fi4y3WvRxHxgbMF8qFBPebQ5JsXO6du6bHwpHKJOhEZb69oW
qglJ19nsoGE0/6QMKF7ijjm5FHVcv0MsAuHqpTzfP/HyHblKtPhqpDqv5XJqKWuAQAW8PSwm3P3s
yk6TVqeJP9djXjA1jwYjBNTFDrrjtiPyahLwj6XhU5iQvV6mhX59MUZABVOYkqGno+KAN3NOcWTB
OcdAoXaaYhTlmcoaUE6pYg1ihcnVdr7slpdh2WTuwLvozay8aCo0JKKiGLBb4ugfFLRYVAAZ9nim
ijb+VZSdxcASjPRD2xh78fCtbW49bhUNP6r4lJCut6BSQnsa5gClrjKp/d40pxR2vIPunphIav3a
jMZjRwXveP9j376EmLU0jrEpsVfr/JYJfcpZPUNuyKqbRzEnwbsUxrvLfSu3V0YaANpNAs37oK4X
lzrLjIbcBHA2sB4MI0RHC36X01TV395sSZg4AJlKE5+tQwgk0anNTUJnJtHQj266ROfRceuztoz2
zqJu7yb9c4nSdWyQFzdgstCOLaVoY3D4LozqRlFCHK4q8FAVTnAC/aocBOzfOw7h9nLSbgZ7QZpL
Dkr34/qY9ILp7d4CrMfEZnwxa2RtGxTmLlPHqG0bAxp+637KKhJZPOkhLab1fhZDmrZIT8GLFS09
w71Tg2MoSTqec8A0O4fx9g5cG5PH6LfOYNUH0ThKuJBoOjionRZyiLA3fHWxRlR6GdQXpYH2F4Le
O2WeLcv0zjilNmq1PCHXlkvV6qyQjqcXQsb01YkF46UVPKcwkaIXO8FZWjdIHFu5Puz4vtsPavNC
MjMlB0i49vKU/bZm5mzDImzRVMPDo9wBAvZh0jImxmFW/pTm9bJzgG6vIvZoOjOpgkHKLdf2Muga
YfpxZ6RzdPcd1eUJ9bPI8EOz36ss3G6qUHEtuqbbJMLMWlybgjRmWqDEGH2ragbEBIa2+xK7kLRr
fZf2jAdP1p8orTRPIfLrO0fpdluxzbcEvGxSRllPUWWzBnfqVMLeUSXVp8BIgsuCXOvjaOjtOVK1
ficqvt1WGSPS9SXecYAprtJCJHImxY7F6DdGjct2k+kAawbKpmrz/f6NfO1vXr/PQsJXXV320WSD
63pbs6hhFt0NZx+tWNgYxxzw0KEx0UYFzWf0XweosT7YEOq8B3M7Q+6f0Ak5SEZoRAlQ1D2MWW7v
NEpvnxGh43ZVAmT5gK2BfnBE9SogYbY7UFEZhLUn8oyxmP+9v3b5AK+WzqiWJaMTkv4b78dMODJb
mjkA6g9gsM5B1fogfOr4rCE0CvzMAM3AMJTjQ83ZGYd8hh7v/k/Y+NCUWaR1KnNwPshD/9t9Nd0A
ntjU4VBbavpMYNBd1MZSH8HEGztZ6qYpmmdM2eDpwfVem2oTg9ij1UZfX5QO8bMi0kwvalsonoUx
9juOYSMIozJMcmUAdpO53Wpl0cCXUGEmgfBoVAqv1zVmo6HOeTSYSvWGTmNG3ZjjMyPBzku7NOGH
cNH2Rjq3vjDjsXSDHEDaDP2s1wxVoK6VE4JCmvY86wbCMDFa2EW+QEuI/CuElrriZxmz/MQu/ef7
X3fTPPcK58FENXOl1+bNrA2iFMfhF3lBL4O4lBbewAy0k1gTtIig3zPG0qhoc/NKReyhqbc+OTkZ
SHiK82SCq2/Q2eA4+qmZ/HDIq18VEoXnjKLIqU70/+AheXg4y4x9UgFZz62EWu90+jJOsKGkMGYg
mXwZJ9s4wWgTQ26jd+f7W7u1NFBGtGnpWmqETNdbm6CCmZqC41UP7vTZxoDPEGP3lFTxHmxjyxvJ
QogMkgB2rU9y16soRcYAG1Oj0suHqHBgVUL5DKWB+2uSrnblj6hH8G4z1soQ7XqqVWTzUIUlL1xZ
G84TaqjWMShhGyr7bvmjsyC4hlXLPd43urGRPNyy9iJhFPorFOE3DwSdqRjDFN48O6xGVMMQB/Ir
Q6oCNS0cXztu4eYhhX6A6IRQmmKrQRh4/dkYi8/MrBed1yEbkRyKMXefs64yf6Ba6rwkStrs+Pib
5UmDEP5pNHKYZFx7PXO2mnEuQVKk2SIuptl91hQlusRxq/2XpQmZlgheLoa7r5dmRllV1yOWUJOo
LlUNC3UMTxnkfur00MPVcbn/4W7h8HJpsqtDRx1Y+BrNCa1+qIuavSxyyCX6SI2+TbTfHw1zQEak
mUTMvKa5/JnFU/IEGFJ5UZwwuUD31r+5rMVPkZg4BkUEM9LO6rO29dgMFq0Xj/+o32dBbvjwNTJs
YPeELvfXvfVFySDw5wy2s9ergGXQNCNdBPtc0XzJGbuFxpiWE1yShpJOn+4bu7mSLAzMFgwEVJxw
46tAbELHUFlsjFH5XH7EkAV/r/vO/VhGMSQEo70AQGGIyv1x3+yNy5FmISNgbE3ijdaf1hQtf7MF
Q2A+BfMJIpoAlY1SPd23cvM8SSvE0jLDBX+8hh0bcQ+dfIMVaD9HPxghagpQrTgguwrfAqwtz0GX
xc/ocPR+YMG49F/My/oEYTV12NWFUcIJSGFp4wvgcDoXkwXn3zBDabp03cMiuuWxw6OfXfj4DqjV
Bzv35/bTUprh1sgZIIYdzFURuBmnOulMdUDKcll+TAN6SEEnqE6hkVwhnBOIUTkMpVB3goLb80uj
iX9lb5kDbOnXfqIArwT9MC3zMsU4e61+aO3mPazG6vf7G/xa6Lp6UKg+GdxKEIeEAaC2rk3NEBEZ
SRsRbhVwtx9H1VE+aLFZpYdobtIfamPr6PUK5U9Ek4r3vRPBMxyjpQ0lcfa90gbleYDZ7Y9CDcqd
o7e1+cwnyMYm4FaQpte/DLrGwkgFeCArCeLk0CLRdWgGgXorzMIRogUIN0Owv4eMuD3xXGaDcIh9
x4PYq4CsoxUmzAaBcZdqbn0oF6ixDmlrtz9oVmk2ukJhcjaGavgTXuElPMEoPbU7/kv6wvVHAQCl
ShCxBvZq5VKWvK3EJBCSjsqhPrdqNrzEYVd91SGT+wyPx5uDQA4BDsyFjoMImJDpeqsXgagW42C9
N+ZoeadxnfroUPaeCTvZzpXaONqsSKImAGQD510tDV2tVjRSsz7jOfYkN40XUJ30C8hpdnZx0xQw
QMlqAqHvugao0DC0axOcmupGL6hs9ZqX09B8suH/38MebtqSZVSSCAbdnNUO6oNA974yek/Jda2B
UWys3EuZtuNJdYv56/1Lu3E85LwlMTR8HLe8RVHkyu4zxqqaVjhl1JcEKl2EwkaR+/SKkXK/b/D2
rWGYjtETEF5UOHgMrs8Hr0BsdA3nQ8zZ+LIEeECtwhPct7Jx4eWBp9YAJRP8MCsrZpPCMjrV0D4v
ejz5QBoTtKyiOqUeJlwkMRr9mFQB4ov37W6uju6XRXxiEAg616tDjtpGmanB0QSKpNOMy/jMkCZE
j/ftbJ0RXCxpJE7tdr5T7WlDU+/svU4W3loKced8NCIvNoTp/wdT8m8zaOEQ/62cWFrBtj3GnBAD
cT6PKEl7zIfhL7MvnB2MwG0SL4ccSEWYduCmEbBf757CKI/DTD/OwoHOrTHb8u+yoB6CcGf6UC6K
/Wx25qdwGLVfCSQk31xelJ2N3fqABCncCUaj8M+r1U6IFHWuxksRoYvgwVy7nFpn2GPJ2HgYILUl
BaLwBLrYWF3xaozykmbw4KFWtfAMjMHDgBzr0SgdSPhqUM/wK0OyBW/vuTaYSn77J6WRAZTOZQLC
WCfqRtUg+063AXp9VIsmJa19yCgpDNjTXqK+dVAJaSUfFLEH3/f6k7bo/8ENWYJcLRLoFOs58QcL
7MIEz+zO3ds2xZgl65L+bPXpmHNOjFqFyTck3fqlDm31RdLcPgBpDXZO6oYpTgf4WFpCMD6sx3Lg
BDELZQElG5CF+CaDsUdlEuMhH1t350BuOGgqnUAdWZN8xFdHZYQPVYsyNHCQSBtPsd4NsYcgDeT+
rV4ylZya08P903FboyWngpKMQXzKHZSS5On9LUdvcgQeVfmuFih+ZYc8W0rrQ6+Mo3Ys26n+y+7M
uPNmQbPjYJDQf6xzoRV+hBTy+ykNjPCI4qzW/9z5WVubDnaIRh+5kaatJ4UShGsUSgo894ztn5TR
TutT36Hk+YDTqP6xLRTbvDmhj/61jUb7HWrt8ci7VkD9oZnIqpjJkBnPkxWJkzHRmPyjA31W7QQl
G1db9pooJdNeJypZvQAa9DEowCa9hzLu7NsF6t0hU7JHt07fx/WQP/BYaehh1f1Jtq/ffgcYz6Ym
Jmi00bSUp+m3T1cKi7zcht+qiuL4MLiW8hSH2i+1Z3D1/ufY+hoG6YzECFpycuvaUgIbs1KTqnEC
kZlhMqVF6xUWY2thJv++qY3HXKaMbCuwBSDpK1Mw2kURoyKElFE9P1VNOBPMNojPwL0anmt9tj2t
bvamcOTfugqcYUZjjonPyJDRurclYiSaICEaPGTe4PTUp+wHspHFDspk47hgRRClAO2kI7K+3rGu
JYNJiVrTevRLl05/itrU+OkmiTgpsFWeRNnZfoyaFSzyrfnp/ta+8q2tV8kclRz8YGqVWd3rzxgP
cEDnI4J63eA25kUPArjFYK0J5kNATyTwgrpPgiOKHop5DKKykzTgov0nMaf538zq1T/rIqrPZW/E
JzSMo4eRMumXVklj+xhS3WtPKNnoyiHOopYq0YgzPSL5ZldgV1stvjhWNmbIAinFMYNattxZ321O
SiBBLZoyMUPcVMpW708KW3dnEx/By+l+javh7AY2am5IaR8iV3FPqZOnh3GGGRSpD5p70uEx+/M9
j+2PRRc+mFb38f6WSwdwtePyRNmMccgKzy0qBu36WhM9dYg565KvKanLZ2SMpoe2RQtMdMjKKnEb
fBF5Zp3uW755Sl4tG0Cz5WgHjajrb10hYWqiPtYB1HddknS3PZktvJ1LMIvj0KftzkNy4yJe7w7N
CGzRSV3f25z6VRXNVuepzD+cp0lHB9CEa6pjwmMn3t8yRQNadmodgu91B5MsNwGtH9Byn9IGWbqx
OJvmoh1z7t7Og7z1/Rj9oytMJsgztLoxfaFbbZwPHUFqw/RhKjrzJ4pxwbduyFo/ofWNsE0yvfTz
skf+t2ma+rJDjAOdjLkqYxjAd5hoHvmAix0dk1o3pT4FFPTTGD6j6xh6sPtDJT1V4fn+0dnaX5C7
mk4kJzPglZtKlTaCh7ujdlcty6HL9AXuPLSHIT3eA0dvnVIdEBfckABUgCpfn1L40K3EcufO00Ng
tFQUZ39y4+WADmPmL4Ot76AnNu1J0lKsSe6u1YNNSZKPTD/AU6F7O+ZJkR5r06zQDInaZxuVmp3Y
cdMeqSF7yVONS7peH6FXMo1L3PNmpeOnrq9dv9Xa8gE2eKS6GDHcCQluecm4hoBCSK1ou0smp2uD
ulLW1MVzWKw7sGeoayV5fYqUwdI8oxfW+zyxc3rOruh5elwlfF+qZjd+UKMe9nU3AdVyQCm0cBBw
6h0al8hAf+N/6n+gKYPW+dsPGtyguAzGOeQc2vWPJQmdNCfiIqe8+Ed3cpKXIJY6CVC6f79v6jbd
ZGOgUSZTB21Bxrm6yeEY05itFFooiqp8585W31NzMS+in7VfXYMoEVKKTfyEF7A/mYqz/KOpTe/s
fJ+tq0V2zWmgDgP8wrheMaBcJFkgRffULFj8XneSn3PR6ehuOWr29f6St84eeChggvDvyTHMa1tR
aGQIcjC/3PVG/56nqOsPaCwgKkOSnyJqXe0Brm+iKPYYZ8U8uEHZlXrntcU6TCtNNAzSkswrn4G0
IX4bBTtB1KYRWS4DQEuoti7tu9BELqOg0Z0NyvTFShX7HSqL+uX+5m19KDmZ+H9WVsdF05o2U52y
8wYUx/0Igg8vcjNE9trEPt43tfWd8BBUsOhb0rlcvdRQ8g4i72TU4jTzM3GE+rEkCP9eEcWVB2XG
6+68aluLoxIgcSn4QHCB199p0EHOKvAEeFoFY0CQivYcwzd3QYAs3Lnir4/xOgKSgHimJVTISNcw
iUXgyieDFzQaJiM6Wl1rfNQp5dgnN4qbP5QRAQL4/OopPgYm8nZH4pkQkaWm6L5oyjALtFSkWEdE
K9lC4rqbimOh6wNa1lllG8zTZNqHBBUIynCZnj4kY6+Yh8HIk79HE/I85i2DVt/5ZJsbyGpI0hky
ucFutnwTu7ScznOFlA+linvqjFRFRExJdzZw63RQqpVUQRCnUIS4/lbCQRS6sIggofKej82QW7+o
iyHOZFuKD0ZsL6XdWhp3V6Ohjecg5bu2F6mLgUDigj2dmmah9IRwIk+IsIL/cgzBBoAkhBod2v6V
KQ26ZmqNdHZFFsReVI/1czKjI9G2RbyTwG4EU9QSSB5hcgEbvW6gD5ZiD+bM1H3PpMs/gW5l5aEy
58GzVaV+hJ0rP46VWvqj1dd7eOmNHSVJB04Mnz0zmWtmRWaFUrSTGLhfdETH7NrqLqmyMNGqjenp
vivZNMUUqyOhoSYsA9cfT8CLadQFoUUch/8OXWmc9KpHh7Yd96ii5bdZXWtAdBLey3gpx3IVSEE3
2C2JynMaFkp5THIYK0yrUo9vXw8UI7QPaCIz3rw6IbheV0fSgcq3hTYP6sXN+L1G9W0guayyX//F
GA8lpJuSzXT1es1uq1pKTKxmx0vMyOXYPmZQm79MZat9uW9K/lU3uwcIU9Izg9BbzwROCxoBSUY9
RXNj1HX00j1DBN2f0nSEnhL0LxVpJJXvG93wJHJKV0YflCBInK4PRwKzB7p/GAXSEjz3gav6vTHq
pznQJm9AJHonTdtaJAmaRNL/bxZzbQ9hqlmImIea/LeG1bMfP6Hhal44TgwkqXNTPsTKWLw94ib6
lUVDCa2nJ3ltdZnM1qLyhlMhHjxlwMpOkGPOp8iKm0PYR2/mhYDWh4YJvSdebuqAq1OTgrEsY1nE
ZzSvOILzUy+lMv7FsNJeH2FjP+VsOkhDgBtUC1crk82FrhVKyzvnmD5iR/o3dKZ01S9VFYkq8LtK
fJg63fzz/rnZ8J2EWpIQHp4oGuqrc4MzDepGRnVTY0y+kyD0jvZX+a7MzcWbQMahQ2RF9G3yeidb
28pmCNehIHsFkrD464/ZoLfsNn3feXbTlZ96bsw7tV+GS51q4SVA4e6BKuv4HvmJ8NjmPFUiUfNT
0nclSNSm+wjRMtKvpq38Vc1qg3JkUnZvv1U4KH4k8+/ycVntTmVMRo/UKLGUqo1Hxar1h9AwgkPh
dvODHVrq+f7XuIVmkSwxT4zj5R5DaKlf74nROBElZ+oCmkKt3muVknAp1fPYuSCGt3zS5qI1Tz1y
po+UZ5G+HZV0SDyzmpt/B2cgkrj/gzbeHH4PdxyEtwwYVt9Iq6FI01V+TzShvZahf0uPSzNh+QSc
et/UhgeTeEIa5QwFgANY7TXTPzOFloRqgVo00XmpSS0PszBQBaysPHpJXAMpyPs2t24dbymZhuTW
giBitd0iVHO9tFtyGmsklVrao4HOj19W5fKp1Zks7g1L31noplHeVdmT4Sl3V2mik2f13ISwGaZh
m3zLgsH2lMqpH50qj7xQCVGFVpCWvb/SrQ/JUAlrJVHmmVg96U4X1ajCwlaWC7SCzRFueoOSz1nv
lGjnEG+ZwssjC4JDAaK1cmXKIrLIqiGlTEqDliiKk++m2f3bdBHaur+orSND3CyldzQqMGtQKKKC
2dhoc8t0oB1drHYsnlF++a7Ybei7HUnCfXObC5NIRaCTYLDWkIC5C0hySDi8eYAPRbWK0ksKo/F1
jT/7D6ZoxUhrTFqtqWZzYffMjkQE6hrHY0Jr80hq/HfZ29V/OBgSgAnKC0QVz8/1FdCdYBBo7/GQ
k6UBnXLjH0jWsn/tkP5xf1FbZRqANwwRACziYV03y90YiejM4brFgyjwJpQGY+j7ENfUYn9Jx/40
d47iC7OOKJ/k7TlshLmTLGydGTneyWQB7WUQfNfr7Zympq/Ik645RerVS5H/1CvRHBiusv26fjuB
Ph4d4nwuHdvLYNXKrY1qGthqwZeMAhiWzARdAFuZigP0PcXOi7p1PiU6jVFAg/rTunTOtNioOWgd
e3AxF0eKYn9XTlh/qgB97GziVtQgu6LMb79S0Ky8CcXFZjQglPRsKXAbu23+Ixib8pkKSE4ZKl6e
3LQIZUwR7pwhmRSsgmuSVwJcWkCcpXVT1p5S4VQdpZtoyLVvRRlXQDucaWcn5Ue5tUIvlEcYQoM1
1qEbAD3ZFVUb3RyVC1CA+EdsFNW5csbpaIxMXpA56Rc1H1T6FH28E5RtfkgJvftf8/qqdNogJmjn
LovMjcqmET5ZH2ZXg4fJbOPL/Tu5eR1gfDIo4uj0k1ZfMu+1RqtDrn+cT8gNzomGAqIymDBp0Q/Q
pl3ixU2DLI2w2ibWWWexShL3C8uGdhUmRGBqM1LHkWoxUERdG2mNvcGBzaMqrYEqlF579cQnFvqY
zSAJQvMoe3GjPDjPQ5Eiy5pnU3oMWlP5lCx992nRnHLnwXgFMqzPEZEcmktU6wFDyQ/9WxPf7hjR
152QQiN9lhktFgMWxiVf0q/gH1T9gYRUaFIzCJ6jpI9sXucsRbA1Yjqx7qra9rqkVl3GHYBEHoLU
bcvDhHYx1I610NFBR3n3G/rcY3NQggHK3PuHY+sc2lQjJXqRYfR10DBmlrPEDQ5l0ErzqIfLBMOZ
YkaV54a12u7EDVtf6ndrK085l4lWJDqeslFEeLJr2NyHJMm/N3EePzJBF7JRQvNUpUh2aD22ziSl
AVQsyRghrVu9gSNQuHZ0qUSgQLd4ZGj5RZ0MSGyyuTy5bRV9uL+vW+6Fz6sx1ko2i6u4Phbhkif5
rNC+BTOtPBlmg5CNac+zeshCRnm82pzT0e+1Pvqa8A3+mmYTEfn7v2HLkcpRAVwyKHpYkK9/A1pW
kWKnDRiceTG+oNzqfgmdfA80dotK4PkjxZOYXtQOkLu8NqPzKZOgpZhaltAFwRCpJ3+HzcioqMI1
MA6BHXzOi5xRLygzcz/WsugfETh1TNuo6RWqhyENlXGa8ndKAdeRr7UVyiyjYiz9wWny5c+qr7rc
Q/MVBuWkVQLrkNiIhh90RcurF+RatdgLM/h5/dHp6jfDdDgbdFOpg1BWgjJo5T9FXaVNHrCNE8Qs
7wcn4G5UanrqOnXnzd24jDztdIuRs6Q4vS6o1kst6rSi4pLWlnmo6tK6EGbB/QSX9M7Z2PJbsr5C
hEZdmsxvdTjifCSicagKMGaaFJ6oqjnwljCr/kQcXvlImzURhzDJcveB8enEgOvO7D+XjlG+wKxi
c5qtcERB2mLu+rDwqLxzKJU1h0StemSb22b82M5sKhK/plvtxM7ytq6crowPoDaXrbgbMk+GftO5
TSgHZ6kZHytlni9ZZ//Ugtj9kgRRGHOvmRTe8ZVbqTusdZT8ZFtfgkKuT3olMruOIzLwxsjMF6Ud
LZ8mCALyJbWT3mtQWUNlfRxSz0nr8TjMinuwGwjmuOv6v/cv98ZZIbuU9IpU5/hHXv7f3h2w71BL
oT/vMWto/IqjQT9qtWRRbYcZ7eX7xjb22wHgRrYiccW4z2tjjkIlQnMGXtigLp6dtDO8oR3CE+lf
xRCbnv9pWBTI7xvdWCFGKYTjWAgH173WRqC8YTYLDa6xzvyy7/UHs1dVz9W6/9APcuT45usjToV/
tb5aHRa9dZoWop0hPyIna/gD0uzHwKAucn9VW1spr/crs9ot8HVxnMnKM9p2g54oJ6Awmdcy0HS2
K+DDqLlFT8KMup1gd2sr5RaSOpBLM+54/f2W0bFDXYpwOH2teWaSdCdTsvt0MAxd7q9v0xRhH//w
LPDuXJvKRjW20LlC7yPXo7PUHz93bjX68Izvgf62kk26rsyuMCrDkMIagh7HagkYgDJEEXPTUkg3
PJpE0RFqi9y3M8kHgaL6MYmryYedOjyoY9rubK22tWD4ECWlKkijGw5GU1RqNQSw/i9z3tanks/6
maJF+GVpKtEdBBP8+aFKUXW6OO3A3OOkVlV1yLsuczx7EeGT0CYaglQA7YexaCwXooFp/nL/s2zE
P3DiEJ6+tvghJr7+LENUlxm1gcZzoqmg6RMtR6M3vrSNlj0GrhXuVPE3NoUJOmi/qPcRHKwBp6U6
g2OxqUUB2MneV3VQMoEZhM9Vtah7L5k8vKvHQI7MQdcLwRBpziqoJOobAmOi5FDVU2AfjVn0vt6Y
xuBZQ11cpqIuR+gFgvGsGbNyZuw9zA+2YimnN2+xlJ0hWGAiAraM1SWr7KgT8USepQ5z5GtjBcpa
j+ej5fbNU1nU4df79jb3GAidHM+BP3uNiKlU0oZpIUM33N4GZUbMTuGjexyoD7w5MCHDcQ38FowN
+I9V9FxOs6Z3ttHAM5q5F/TRMuRKIvWU190e7vF2VdIURmivMfRgrw5qm1cTZGd24/VqMZ0sJocP
6hD0pyzYnRO7vRNU4AGJ0JrkJQW9dn0nIpfOrqIrjafmpn1UEUR/IGZG/pAZd0+fgz2Ktdey6PVJ
ZQPJCGhdSS6sdVIQFaYoaaOxNmr8iK4OjlWeBqUxrcPAHXk/V3OtHmw0mSDztjrzCR4DtzhCzhK2
hygcySGMMcyGQyCKPD1WuW08Jnkw/J04uX4KgrhL/WaatGf2bkz9SjeiD2EIW/3x/snbcLxSikjS
B5JS4enlR/wt+AhKZbbVlJ1LTXP8h7J+/lCKNn0ocubRoHruuiMEnu4ZrgL1wXUC9ZtVWc0eNmXr
qDAu9joHzVFZT5ZHZdm1eRYjuq1H8QdOSfySWEZ2EGOV7K1YVrRXn46WBQ1ClJEk57k8S7+t2G0i
w1CkQ0vt2XpXTCPlBaNLlEuVRQcnS06RbY7Plt2WxzB2hxOUeSfNKvY4YW+jB0m5SQIL/vyVKfX6
Z5izETh9x+tqhCYc17roz1OGpsXYtETvWRdfUjPZq/Zv3BMCTbDZFAIlEcTqa1ckR1PWWo3nNg7D
QKKcnwMjbl9GN4VcCUbCbI8h5rZOANkEaEsma6W2+jpeGYValMEELXmdKWAFanX2slFvjnQL0bdD
B9i341H1xaDXn+8fbRk2r78zrRN42GmhSKj/9QZTFpyqsaIQN0coolZFmbxz0EbeCZI2kO4skFEr
Sbgoa7mrLa37Nl2CycX1mDVsE4E9lw9OO8+yZkyIoM3ZrB8VqagdzpRfk1hJPo95rPmqm0YfO2fI
ylMTRNFpiQzn4f4WbFwr3jCgwyiDys+wek+VNk4TPU4JaJJS/2yCdz2KEACMrwXU+3Ze760DTe9V
DoogZ2KvwTU1lXMqZhhTVIjY0DExvahzxPvOTQOvVni0LSplO0a3DvTvRlcZvVWXS26rEZ34PrXp
T0CD6CrEC6Yd6O8HWkA70dDtcebKyklJgFJkreu8XlXHBB6VoUF4z50fwJ01hzpolGPZpMuhF9N4
pIBpnkN12WNwuVkp/QhGcSgCURclIl+ttIrFbNP7Zy5GQe3nYppNmDNm2zjIJwXLXF1gEwv3ZClu
DhDZKGEQqRtzkyDDVt3BYImSbA6ZGu6Zt87Pem+0z1YTQHRna8GeR9w0xjiM5PugDvsanv/mmOc2
7WDeKYEYgXt/SjPd8gclFb5bF+Lz/YvxmuZeOQdIfqg20EijTKPd0GTNiF/mhToPfowC5qgdpqBw
+8O8FKo4LfWgLceRN7hk3fn8i+6J1Z6sLDHTg153anwca5Wxw05N+uCUqkX7gkZoN59R6NDC0wi0
5e8livs/e1UUwPaTHhIhvJ69fFS0UAmAVIaDc7SrcOoeuaDlO5h5wsyLeSp2zuvNqWGdlAzZz9eE
Yd2cKBjYyoTVj74bTNUfajk+hqNSPSd9Jh4z09qjgb35hLhbCVCR1TWLTqj8/799wrRnmjICTOg3
ub78ZXXq/FjCBvTDhPd5Z2VbpuBOgdqDlJGW8spUaFVZrRS96et9UX00ci1/6ujyXpDcCH/ePy03
no1V0UWmfAFKFyj8Krrs2wjpxB5TVd9PT5A+Or7WLdFjkiEXQTlef6ZFae5koxtfDhQL3DDsJICW
9QCqseiNCMrA8PPCLj7GIoZxuYAlsBlRZ+26vQGArTX+bm510wvwdZIUwfCXHC2VS+eE6nRQl7Cm
2NvCpTYADJwOrfl2YCGbC8yNKhevJ/Bk4/rIxJOjB2YP4/g4T+qPFA7h77Ua1l+yNF92Kvk3zpuw
BwoaSie8bmhMrdbYaiLIQonDqedFPbZxrZ6m3vh3MaP4lE+KDleLyP+tW+jy33yAMCwQEuRjkjGs
DpCFZDHD0K3mp52oj8uoK5/R8PoXOePhZepQ+bNnrTjet7lxfpjH4l5IjVh83Gqxo1MJ6r7YHAJw
Sl7RZt27HEk6aFh0s/ELxDJP9y1u3MjXGjRVN2ondJuvv2Rbd5HbLxUwpy40f2hq177MZuL+KlCX
2MliN04rRAGvXxMnDlz/2pSSoU6etw5xY9mpVX7oGtoFH0VXCEj5O1339MZxPowVitVvXyO5A4h9
8nQyCLnrvzm4uIaR2IDl0E80Y1mOAxzF34hsG3HI3LzZgW1ubSiH9XUoi7Wu1YQboXdpTHPBt8Zl
+gr7RdsiOu+YJ9uJ550XcWtHaR7SGpFYmRtII7hoZkxnS/OFGzTtAYWO4al3lwYVKDBnR7QXqKGO
Wb/TzLtprnElCRbBc9HSxu4qqsGrLkndmDrMmJUyPMx0kC4iCFE2rucQuTJG3sxPOdHq53yw+n+L
FsLk+190yykA/5VqrjRR+CHXX5QsU1hjWxtQozfaeLAXze3PZplZP7O0UQnxxvIYMR7mt3PY7vHb
bC2fkA7VLYo+cg+ujRv61E+lPRq+FURFdgRAF9aHJNDrP1IXSUezDNIn5qFtH0KLASiK+WakGfvP
RAPNIxpH8hm9/gEpEjANSn8GyoJG4Q9Opx7iyjUvSrW8uRyEKUkhIEmDoGlZxwaRliaRcNnofIxC
P4uc/pxDt/+Qg4vfuaVbhxkTIPYAnUB6uHpT9LDQwlwkBnhcqBVpcKSNjzCv+YtaSmkfdMKtp0Hp
dlVGb30uFDtcH5ivGe5myuF6N0OrrAJ4ixfc0jh86CmJHUEs5O6BP51+VjAK76Q/twt1mNYgXhaM
0yH5tDLohmljt0O7+JmmJ9/rWn+CNkbRDqk6WwQOFtmJNU87zve2eeaQChjg8sF9St661ZWZdDVL
Bkjc/LgMmdSYhkl7Gk0r+DmamfVHFszRcxe2lfDmqrAv/8PZeTW5jaTp+q9M9D1m4c3G9l6AIItl
JZVMtXSDUEtqeCQSHvj154F6zhkRZBCnJqJvqqmqJBJpPvMaoH0DvDC3B8rhqd+v797zIxI8IVHD
wv3hda8Jsr095e6QKShTQ+b+oDpj/GepSvOxKmX5cn2o871KEAj5eLlRSYbW0YNuRL2R1ilcQZHR
mCh0bx97pUrtrrE+JC7sAcbkHkhS5b6qRLixpi+sLWLQRZMENJN5VhuPJqe0kWueuV3rpNxhAa9H
forFTrYzRiu88bxcbPD7LqyuBfQDxH0hzRChnS5nNzXtHjbCFGgeHsF9btd0GhRvn+TO/KeWoJCf
6c6767N8fhxDxYQrSTeYvIVk+3RMxYiBaEnIx3WTJB/zQn/bhK545jhUjhpCFH5NeSsAG7DF1720
khZcAMcFuT0l69OBoyLPSi/O1CCvtfGmHfXoXskxms3aLNq413+eP6fZJ8BeDicXYQRW0hr7B0Ou
zgdrnAMDhj7ujmgy0mdGgmChtj81xTj49KedINWH8dbRouk5oYT7oS6G6E5p8+xRl050vD7xl9YX
UEtAj+ARCQBWm7oZi1QgZTwHyYzzrR/brSN8syScxtDbKm9Lz0qyV9+9ixY58HEufkzF1wD6VGRR
trCyg6aqhgdv1vRPWR/l1M+M4ntZT9k91lJOoGUUZP+Dp+U2AkVOZgz99/RtawJ1ECQ21ADuffs0
NprYYRiivEABbe/qOAo3Do9Lq4vjg+1k4QkJV+t0vALk4gADh5shKrrDOHLlwcTvbsToio07YXlR
q8XFMcVsLs0r2M2rkEoURiKQ3R2DIhvbd2jnm7zGdvh4fQIv7FMKNUs2hWQykfBqu0g1ySa3Sacg
ropRIoBgOLeyVA3AJFV6VLXY4a0mLRK1lMCVjXVz4WAiUiMDIDomqVrXwlAal32DkHIwR3Plz6WU
t1Y16E+djMU9Su6dP2qj2F9/4gsbhHCCa33xzOLWW71CCwk1K0nKKYiKxgxK04zvEj2xDmpvfYRX
qN9cH+7SIUEflJoDFTGKcOrqbh/AZ1Vzj9G9N6nODgkBZ4/GC4Y6g2W/Q6dQfNFMpJwnhf83qjKS
+7pW7ZtED7MPCQogKJG7WbxxC533yDF/4pgAnEkxElHi1eoiisNTo2mRWBKO/jbzlPnW6Tv5HvO1
8s+oLsO9itbpQzbU8R8VbMVv6QIs9aESi4M+APGhTT49tJxARzVDHHBj0paXsF781LqWM5WFSU3h
dJ9NylShGtyP0EdFIwOjGoY8SOxW/9yohuIcHAWI5J2tRtG3oYhktMNJQ31oIjvbEks+Z0wxU9SN
kGniKlu8rE6/SpEiWU5jC2n8vokbvyDqPCC+2twvri+kjklp3E1qPh3tchpuCuGV32q8acXeGMN8
Jx2lfMSf0bxJnKp4yMAivaBLrFgbq/pCVMMBSPi0KI8tkfnpt0x66aTlpI5BGoqxgvtoJvf6JIp7
bkjvizBVFAFFWrZMZYlaj9pO4afr7+zCZgYmh3T9IgixIAxOv4ElnVyNKsxMooSj4y6Kw/xO9nH/
0c5dLAX6tm36fejM7uuvAErADAmtdZHjW10BaSv1HveYMahw/8oPdQ1i70dcG4o4lDpWPMdEOIV+
++qHhVwA6B+2uksZf7V96IGbZbk0vEY1qasvkTLFxxQvDnnjZrlI/AgMmnqnFfqr+/5MLzg37gWu
WQQhVhsDGzxzBNlFOajOKhlMaR2HqE+oQ+jHaWiIrXPiwkZchNhIhDCNIc7RT99qluY6bLRMC0yB
wAqgjSF7sM2uuvf66U8DqsEhVbu3ehQ5t2Yo8G0s1O799bleNtjpWUBRAg4xtzvsaCQsT7+CaaQz
GlheE+B3pr9QHLLwcreE8q4p536jWnveRwd0TRFz0Z+H6sr1cDpYjGRKr87sk1kfGnFfcDaVgZHH
zmezA0L5WMzT5B48s55A61uD6e2asFHM+7EtxJZdz3kEAD4KJhJAXgJa+kWn3wUm/+yFjd0FTtrR
iGykBkOPfv7Gxj2/EE+HWT7/pRbWDhXOxq7RgY1x3QhjFbe7byq06ORYNyip9ebh+gu9NCB7lXoR
ijrULVZrqk3tzhqLrA9UOxdHV2jOrVJMWHhrReyHuD4dr493aR4xbV1eJ2UEOHKnD+iWvYZDTtMH
Rl9Hj2Juyg+6NW5e9MtBs1qnGvLY9GepivC+VvNIVabDgqHrA2nWxV9phdW7h6XA277wkGmXhTvd
z3Fn+JmThu9kphiPooqKoO0G9+31B152xPqbmAhsWZwRxDNrMmCEgq6OVlkfhNLGBzGrUuUlLXTn
LtI0rHOauU4J8vTwB/F6tlULuxBaUAmjYINMO/2js/K8VAzFiBDaROMlwVVLNF547wxNdl+qrS0R
UlBqZTe1uvZHLOJ8F5pV96mV3bcibo0PTTLn+6yKx53QeueBnk37fH1yzm/K5estJrNLQ9Res/wE
KIJcRyEG75OuosKMIuqzYov4ZlIqw/Bh6ziAqvoh84vUQOSS82IjJLy0HrmigeJxyJC8rG7K0C3N
sPb4BoMVdY4fhwXAz9RtNmqyl7YZWgH4wgIHAQi5Oj6y1p16vYr6QFHU/qMUaqbvJ6TWphtvnuWh
hxe8cStefDAqWfZPA18EA043Wpo05uBkoEpLpRHfjK4QT643vb52T4S+UNgBaThgNlbbueqVEl4D
51WZt+q+VUInQFBODaQA/nR9rVy4ehbRd+ZugZ6cNetDbnHPjUEvKr2b3ohh8AIbhdB9GHnVRhhz
cajlPS0lZAZdLYoO4bs8ATcYgNAHiAZFf6/Hego6NN4qkVxaGDCjWBfovVIRWk9g29ZuZXH+muyu
N4mdm8dW71Q44MJ4j8f9qzu8i2Q5tyrsPLAW62uMbkNZdYqLKwUO07tQFPVNPcoo0Oo+PFx/XxcO
vp+KESCiFqTMug6PYZaBSK3dBy0qPwQks7eoqaSYDfXNUY88wnfFHPeUj8ONPX2OH2LA5ZoG+rnU
g+xVlBLr+GHRlekCU4mbj2U2OUmgGzA2tITiyVFWnvZ5jCu18VVrnpFgHShvNhMRqh/nRomnaat2
X5YeoHGMFrOU4PrUXFhftC6pOS4ODgvx/nRvismtGnpbQ4ATng3RP/9clcZ8nCN743y9cAicDLQ6
dpqQvHqIcd+baeOPwRyKGHm81mo2qm/n+QbJITglbnW8y2gTnD5Qp7YSYSpWsT7P6ET1fU1Oqin7
2lRq31VL9UmpY2tj0EuXGywTm0o9mQ5+7KtLXqdMD3hG9kGX2rHYzcrUvkPyX1L4G0r9T6Uq1JLR
WyNIpyoZ/AR1gHelUVXPlZxAGXFwdBlBThjdpySEN+yY8eX6m740MXBQllYYsFZzDaLNKi2zzQoI
Yqop9ofcAsWFbYCCnqxHvSOFcTpyL/rXB720vGB3L16+i7zIujCmdk2upE7YBy6L+ZjG4gvgTwoE
Y7TF0r+0xxd8nrXwsTiXV+srTJu5AVlEeOFF5Wdb9H9kdSVukMUpH5S2D2+psGCfK80tI9sL/RLC
VTYgDnmQNnAFOV1x8JDDVrOXCxXx9yYomlo8JZMTef4kJusGVn2+K0jF8CvWquGI1soQDA26Gtge
uVum1xcO8SUpomMCapksZFkFv0TtCWoVUZ9rvOWiyW/7tKEgEasvrVNPd/Yot3iiF6ImhiP9+ps9
sGYuKjQR+hRgaaBrcf8sY5iDOAFV1t4a5IiDcDwm91HZWU+uYoo3iotF0esX2FKIob1M34bY5PR5
dbYdpGKvDRRHe8qVzPg0RUNFX24Yb/6DkWik0sle3FHWYLmsqGJ6x4xEKDrukXeej4pdi0NmOd3r
A3Xor3T8wa4Rka7LCGk5T1nRsjYSRx+SfeNayJ1TkvSxum2OQNraH/hVqcoOH0/99ccEzWKUwGgL
AQtcm8HqeiSyImLsrlTsQ6e0Xo+77jQ8uvxfuTPLtL0bbenur8/uhYUEeIauI6fFktGv3iMiJdjN
6HUbiCixy2OmwqtOTYWcPgmV8Xl0jEHe9LpivJ8wO80QxzC3MpQLJwhoDEqx9tIVg9dwupTswcKT
WgmbgGWaHbwpf+/AF9oPs94d1Mqrbl1hxkHDbf36lQU6YfFA5FiH4bAUW37Zs2Hi1N7Q5qzhNHG/
1Kpi3oAqrugSld3GLaxffEgb4NCyZYBOr+KRUp3dcFYX27PRsf6sRRvf0RrSb+o+72/ntouDOLLj
naMl5aeuzW0bHSrAErNqTlixI1AS+ehfDbf9OBoBLsU5wshT6QA7So3mD1kZ8Q2ATvvNgPKEEWDy
1n+Bs+ENzOc83HV5IrEUwivNp0hU7rLUlsd4wi7j+mq6+JQL/ZE6HNymNS7SdeNBeM3QBrWliA/K
ONzlTmFPu5ol5tPcnpTdAGz9kfKn3Eh2llWySrJBD5HqcCjhbbleyHqZuHHtNG3Q6qH7mYPzvTQE
rBCY3WlgxfrH6096IayiIkWbjTIGvN21t10nUzcmcGwDG2p8voPO2Ol+UY5/Xh9mucPOnoogHRnY
RQtj3Yh3ZBP2Zay0gSq7EQ2ErEgi36qa6a5ytS0dx0tnAZDW5RJz4Z7py+e/7IdWESleGTOZnGJO
H2vXrMt3cxuG6g6pQOOR1kk++T2lBGM3kU3vh8wSG8nJuVsHfhg0DxGTRpyTuHi1TxTElPve0CTM
f0uOO+jxoZ76XtWED/ZcGtEO1aj6k24Is3h0YjgAVd7ilCX1VvvWt5bzINJi2FjVy929egkEtXRm
iNTBGq4PKJRecpkbdY2ytTM8LLoFaK5a7aGIymmf1A3qxl6PItr1V39hVKjEC4bII6yiNXT6NmI9
Q9w/U2TQV439sliuGX6cZdMHDdtBSB5O5d1ncSe+vX5YBF8XMU/a1WfKjbVb9+BGY4ZNXRU2D3bS
D5mgl7Lz1KiAbZGBleCm2ti+l54W0AsNHerakGNXwZyhJlpsh3MV9KXlvVhSH8kczDDFN7aOqoPa
lt3BHqNNd5gLxwawDyLkpeMJn2aVtqilVmcuouJBlbG3Hg2tKSXiul7+50RN+zn1aiPzc6PLj91k
ljaWChlca+wepQ7SPJ7vONdTeukzsqS+ga9t7Wdtb5v+LJTox/VXc+Ew+JksLi1oXs06EtKsLB4q
b6hI1Utd7X0z95LpLaxDb4avGXaog7x+QI5xOn4LgoNC0ukSBEdWUeTOq0B1KrD2RNH5fZ1XyV3R
1tFWHenCCmBzUZhYlgBLfrUCutFt3JjrPgjD1HppavujqObi0U2KKBhlXx0SGW1FABfePkYsRHo/
q9Es+NMHnOgZmhlOEsEklBCIYN44u8xT88hPbDm8SG/YKktfOGMXmzi4W+QJS+5/OmIRqebctkVN
4SoeMvgL6dweYywPIIwmnhf7s6bEjw7kteJumKWp4PNb6/rXV79YtLWhxNJyXmLq1VwndAPCopYy
0AoAvpNTG74SOZxjsT72G6fnpTl26G2Tnf8M8VaLyMupALCdZRCndf8cafn0MVP7AjF6170p5yre
qNxdWEfIfmFDZ3FiwzrXT2fYMaltgAQhIcw1+c6u+lGBUZ7Go+/abfpGViERntv3WxIQFyICOHHA
NoBQQNdaN1zRok8tvaFVlYCB2cd2ogeaS1786jcHQZZyNb0EAxuyVU03Ub3E8bKqCZAKFTtRm9Nd
2jgp2u2ZfP1E0omiaUBMtYy5CgdmMbVFb3Rt4JWWlH6UgazKROQ+MwM/4PQ4BxgG0f76811YLZ65
EGftRdr2DDCdpKIXBbb2gWEn5SMCIePdbNrlrpgm/TAgrrFRUr6wWjy4JARYf9/vq/l0swybZ8l4
dtfGf5VqAVK3BS1Qqcb0JFM1e1cKvf7j9Q9Jn4FEb4knqJmfLtEuL+u600QbyNF02j1XbDofmW3v
Xk2G6FNb6PpWweBchIi2A2RRa6mULeKiqwfVMivJ+6mnYqDnleIPzjRMh4EKeJH6CdpWaSAb1fio
Jc6c3Wo95dVDNMn2JupVQk5TqqHhe6aw9D8Lqyzyt5lkG9x6caNpyOzVafFuZlMOvjUa4duoKaPv
cVu1np8qnnjo+9l9yYVbwK1rjNE50EDOtyQVzl4l24FrHFAPkG86Saujlfxt7NBA5gnBobxLuaeC
0ajRk6rM+Zha/Tem4OP1F3k+JLLI1CbY8PDVz/SI4hkcYlYKK5Apvor3eNphzGb15Ks+hYJ6PigZ
sc5dB7RmKzw8O27oaNJwIX/lGqF7tjrCm1R1MXqKrKBJBUzJqHbHIAl59xsbcvk7J8HvMg6nKUkB
3W9sh0/XauMCI9BlZqFQNwyTP9VjvRMjDi82gLh4I+A42/0MBu8EdCDXEpHvajB8s8rFm8sColka
77JGWg91beDWF4d7UXRchtff34XxlngTKC5ZI/oNq/tfd4pa0ZNlEtVQh6Q9x9b0NDfzMAOiZw2/
94wSBvf1QS8sGvpkBJtEAIDs1ulELSvVm6LaCuZxrl6iSRv9iu4DPVip75q6ze4rbLQ2Br3wGolx
6ANTfqA4vw7lhOHGXZOkdtDEUvnYR4DGjmmpWPgSVVF9uP6EFw4b2mKcNmQvhHS0nVeLRu9ytco9
IwAWnFd+08bmg8wBE/qEHek71ZUR0AI90snPpV5XJOip8kbDceI5MdPiL10Wnof/xVQYAVQVvARs
tenHGz3BDH0HzEU5mn3SVj4ebeNdl8Ja8vVWBbXohK1IfVVBaG3Hq0u/2CKbPl9/vPPKMy0OddH1
pXC2wLxWSaoZW0Rs3pI0RIn6AFhfH3wP1aIF2VuntT+Mbmftye2q+86qLblzJqtOfWVMHMRIhOEU
x+vf6Ly8tHwjqNN0GCgTUAE5nXCs9GL8REwReCDNBmQKq6w54Cc4K3tPm3RaHPNMUlI2QBH8vpb5
D4zMs3nXRiJN4LGrqMPUtoxrXwWFXiKxERWCBaqa6iGBCJDtkiZN35ZSzfG9M+zpM/Vuq0KNEL/V
habtfZh0J9EXvbGYhEmz29tkHrzEnxNLg2MTZ9W36898vqIdtME5KFCco264rlZMuYT4NJVVAP0O
gVCh58e6aAE4zPgaXB/q/JiACEQDh1yI3v0ZaVTWMDMwsUZz3a27z3Fv2vCobG1nY3ob+yrZ4MZu
vbjC6GuRJCwRgqGv0tIawcxiAaMGepsOey72bGfmdbbHsAdSZV9CvJGuCsZstvYziI1jickhFjIi
+RuB9V/fxv+Ofoi3f5/0zf/+Dz9/EyikJ1Hcrn783zfVj/J9W//40T5+rf5n+dX/90//9/RHfvNf
fzn42n49+WFftkk7vet+1NPzjwad7Z9j8h2Wf/n/++E/fvz8Kx+m6sfvv30TXdkufy1KRPnbvz66
/f77b9qC9fmvX//+vz58+lrwe7f11/N//uNr0/7+m23886fJgUP+ic0qOna//WP4sXximv8kS8Sa
iKwNTRwUqX/7RynqNv79N8P7J1t58ekD0LT8OqddIwgXf/9Nt/75UyeCgIRzcPm13/7v1zqZ+n+/
in+UXfFWQI9vfv/t9OIA9QAxksoxdBlyf8pCyzL9pT5XzqkzUXfQ90XWVeFdjzj7fZw2WngEJWd4
XywhKueol1GrbkHDTzfb30OTlANnJTan7bQqRpVyTpLMDNW92SVpgPro9GEw+2bX9Wq8pQK0fkxE
qcE4LsVV6jKUV5npXx+zL5ql0mGDgR8o5TWN8T0Z6vEw55H9osm2eoqjdIu4cHFMkmESRxwH0Ko9
HdNSsnEUhTMFLgoyvmOM8ofSxtGLgi7ZUyarZ1QKX6fCDYaT5yQUB/aE7dECUVuN2bUO57Y3BWYV
cWaGbWq8ySaOPF8px/x9UUfi3S/r/F8L6tcFdHqO/T0iYRUdD7w0FmTL6YjDBNQsj8UE81Vm94Yq
03sbf6cDCiPDJ1VpuptXj0elCogs+BmwAWvBryYnKp41sPbc2PfxovrYx/ET1oDJLS2SYXd9tAvv
0IMGrsKbME2LSOf06erGg9uEsl2gZgsCfZzeYCDxmBA2+nZpHYmA3l8f8DQE/zmdC1wMhiCsdx5y
lVJN0xihjptB2NPtj02fevhRTMXGHF4ahDrwIoDP3X7WydeVEVHGpoaUEWplFDSDmIhThbslanM+
e+QSHHBMHNhe9FxPZw9ZVUmDTgMvPtQzaot10SdvDFvowOsVqDf7KgUeeD+n8Kis4PpErsfmWEU2
iX42p+eCGV/ddjol9ZLYYw56Ev5dH1XtR9ra6gFuP3WHpKTKWjLRG5fsemaXUQmWFn4wKGZzHcXN
CAw5cRRDzRrLsAjQtkFULaatMh+uP97ZQJxknN1LW4y14q4de9qlXR071gwMKo38AQTZO71Q5Qat
8NIoRNpgMaC0L3H+6Qt0XGXI6duqQeFq05csRbwtsKJYs1+5zQDOLupaFNbY0ctAp+P0EoGVVGDu
aHV29h1Yhr6n2lC8Ue2iuy+5xHYpat9bpegVEpzGC3USGopLiXjBc63RHm6HyESTgi+y9ZvKxjA+
2zvNeEOz9dgo1nFIvX1YdTcq5frrb+9scSKgsURisF4WkaK1yoTZTY2iZLifS2jkD0NmREHriglD
y7I395EpEvBtk9a+vT7s+sYlf6IyTQVsYQPBjlq+1i+XvVN6/aBz2gUhpon23qwRjusgsWMkiGW8
UJKNztvZ8lmYk/BFEHklqOeoOR2vEPWgSqxDg6iWWpDbQhxDL9tqEK9vIBgxoMNgghINUXdfl7+d
HpsQzc3doEom6558aHqLCMB8g0rpuAe0Mm/ceGezyHg0k5BJBOBLsr1arCgHimGcF8QbYob7ufZG
+ujxgFNW0nJdbCyVszn8CSNgidpLoKatu7WdORZtgvVs0Dhqdlu3FH3meKw3SBGXngksDBO5pD4w
507fVIVguqXMrhM4YeV8K1UhvplpU2JNpCtK8MpVuDzRz0KzteBu184o7eiMlZXbTtAjTb6XQ5M8
Wrae3M39OG0s+IuThyTWIsBLVW3N3o2cbE7tmcnTo7S6dzMUgPHWbF57Si4PxKaCqkOHWV2THfTG
8oYuzdygcHrxoS+hRhVRuuVCcmmZ/zrK6hXZhSEbgyJBUNi6ch+hVvt2MsB4zHjWBpkS5x+vv6YV
q5HT8edjLZCLJdGghXa6JhCbwEKJFmdQ23BSqypN3g+RMO6zZMoOWkrqz6f6wc0a9Q4uVhdkALgg
1QCJSzPIllGfbeTMZ8fm8o2Iw0icl6XzM8P95fwi33fw1GHlOE1fHBT8Zh8KqCUHDIoA4Kndd3Wo
9U/Xp2HZzf+uVf5rFiB3osxHPEYceDoLXVHOYiw0EJU0T9AytuYbL1eKm9zplE+RIZ6jsBse23x0
jtcHvrglFxEr6oi6zoVxOnBc4zmvFJYTGLI3jlqVz/uk6+ddnqjORldmOYfPn/HfQ63Oabeckcea
ecYuHsaHONae9Q4GeVxSjcF5BglldX4vE0U/CEOIjZd6cY8u6lnku9SE18qHYHuMcVB4qTV+OjeD
Nxs3U+OV/8mh8+9R1uKWMprseOhhqM9QTu/NLqYH6rnVzqrMLUbBxQciLacCTBGfJOX0xeXzoFBG
UnhxutfflI4jvjii20oULq5LG8W/JW1nma5ia6WjxBylTNto2eWdZ8zOXR8O0cvoOeZXgQrqHfm8
deNKFHuuL8zLI8M8AhHFGbFucMduqQ4FZh9BPsA0wV9UaEdbTZQD5CgQaFCjAhs30MNQ99m360Nf
mlpCXoJEtgTIslWyOSdqpQxKz9BG4ryfS1NA7B6jjZPv0s77dZTV1E5OM6gG+vAI0WhY6SjC3Emt
qQ/J6G2JKm090KouQXuucNyYnVc6fXObyjQ8IDmx5Tdz6epAZACIwOLPBQ7rdEU6pdqISueBJnTp
Ag2Bol3jEZFpTp+k/uyKZmOJXJzBXwZcXR0qLTKrTXQnkAjCfystHSRCmCefmgG7ydcvCcpXwEkg
ZBBNrF6WdCMTFBvXYk9X55tT99NtPYztxhV/6YGopjhU47jl6VudzqCkFi4jiz2dmd64I90N7/XK
Kw6Ct7e//kAXh4KLRNsRUiwIh9Oh6liNYpAxbiBLt/KTQhHfnc4qjl0YtxuR7KXVhzoOLDmTWPZs
XeRmOtckBU7Q0jTfqZWs9oVibZlxXx5lcRVb/CQIYk8fyPUycGE1Sox2WFkHzXCrh0kM3e31adsa
ZRUeTVlDHqPwhqYa7NQc9co+MUTxH42y6CCSdZMSr9dB6KrJ2HP2CTk7fjONOuitNNlYApeeBY4F
KFBKhwZJ8emMZX04m3PBs5Apm76nRwVn+yslh39GNhRduXVhNf3Eap+O0uhW16UDIoBemnqVX49a
N+5DukoHK4T9trFPz5f1UgSi20vKTeq5xqLPlokmQohqnaysUt/F8NNEUCCmnj+owmrKjZDmfAoX
zV/SJTYsfd91QqNBaZ9UNdYDpS60A6FU7XeRa2wkZxceChTSEo6CflgK6KspdOnCo0WqB6KV4Fil
Uxm1v0jGpr4EBpK9el2A2cXtkEczMXlYF+t74Jq6lyFpKEBbfafABUN9QhZ9qxyz8ilalsYis0dN
HnkakHrmKvaskMeZKjhwwYyvzfBnWEpbOnvNUdTpNvOmdpK+25hG9mJOEOJu1N5AX78v9LrwUz0k
lyAX4JNnit56chAk5/JAvwnHNRG6XrrjM60sDqHqxGgVNv2c7/peq42b62fC+evBOh6+EoECF99Z
7hzVaSba2iBf6NizB2AswHo7w5TJYQRi8Xx9tPUti1CUg0IORQjSTbbv6tLjjc3kPRbiYhCbCmQS
lOzzInOTBxG/5wXCHcP0lbvqpzgVTCnATUAAvXUFq2voY+Wl6WErOnvufYX+sUYpyYAQmXVlsdVG
We+qxWwFZKsBqwKMyBmt3/KSUXrZEFLQiR0KETS0P9d2vyW9cT6T8L4IV1h8wNTP4HaKS8cbNkMY
KPniCG7nlfNjgtngR1ZYfbGyTtuiHp0/GPTC5T/u+IVXt9rIVIIHasV6yEYe6mPVlOltNTRbgIll
+3Ai/Jpqkc7x50HYgEmnprpGozQ1bDG6QGI/6HmZfc1VW5FHxyV4eU50sD6HSKojxi1T2P2BovcQ
xJ2evcnrwn2DqN3Y+aAQjMR3Jq9UgkjE7XuZZuHXuSiUBIO/tvA5DcUfcxbde5H2oYyEeUTuP3R9
E+0Qg1XphU9aQWRu28XwlkA3d/yWysuneJbtvkrm9D3Kes2zosP9ADka19AYQUFU93Bq6mAktoqP
UzfSqMs0bXoqndpC1dVOig9W2w03RpiYt2rO8bdPHEC3feTVN3kopydFlz8qXUkq38Wq0kdJX/te
pBLTOa1Jv2iT19xXSEW9HRSNa1URdfwB8+ri4BglxGK+iV9jAxeY1vRnNpbIVXXm1L4fEdNbsPJT
qQdjWmqh30sFsr0YzDQJpsgF4Btlgx3t1blwsfiYe0vxcxfcSNIC4rKHwr2XLZrpQLKdfBcrJh6R
Vjs/FZh87R2rq3dK31Q6MCWJaBbZz/Ro9J04TKaZYTKZhcXsG2ahpnuzyV0/gXb0OEWFke4wa1U/
w5gcP6FHbh0ykAe7zGpUH68MrzsocWz8MPVe73ejouBoFnfQSWtMsgPANC0US+LdT23lKNFOgbrA
TJWosDzF6TDEO2tQ5mJXYEHjHkK7SFPfTWLLeTEMBOt84Un104CpyR9DPFilLxSUAQMIHuJrnpaY
UmVAkf7KW628b3jF3QdFy7EM9muYKYJOl6DFGCFL1dia38ddNfwoZifW3jYRvxgYtW6/cSbNC+8W
wUGKk3OG4no82np1oH9Fewyz9Vx7lCjw9vspr6sjUrFmvZd5W8U+LJrJ14tQs+8jFfmlO03EffVG
cuhYN05hJer3viuS6lB60nnJjFi5q/V2TvYdGIYXfUyftXgSIKy75g8dkAiCF8rgdH4h0srYRy3K
GLuxF963WWuzt1PVzYe+y2Ntp2tR9jgoejj6TlqbO1PNARjUDZoinGaVPQQUPWXkyzKJonFXDoUY
d20CKO6op/ZgYWcFzckS/QFX4Fj4MjOn6tas5rg4lImXP0VizlQ/A8027AbZVE9tw2C7wRYJAiHC
xcQntREL3gnu3ekxrZLMKJ4FaQy1ljEKs/Gj0Y0a+2iosLfC1tnFvbSQU/zMBdmlB10fwGc4Xlql
z7Y1F+zsAap8lAQRciDijSdTpXiK2kZJOuSgKtwwRytqumBu3cryvczJTL8r6+aTHFzp7pzGU6Iv
pZqVxtGJysw52GmkKHfCbZs3Ct4JCkQEMIieb0aTGtPyrIpwl6gJPZPeaeY+8IQjXF9x2p4/rIdT
eHCQm3P2thtNCrqJGJT7SSa93kchWT+Y7NUuGNQyRb0Jyvpbt2cnHeIxn99G3uyWQWj3JX0mzM3H
nSEj+ztGkDj3KMDPY9jNoaEdEBIZaf3KIez9KpoS+M9qB4vBVRXd3ccYfXxSIsUSvmJ4k7F3kjTS
/CEf4zdJBSUTh8uy+mpmqv7GGsMhCTpVokwqtMa0/RqK/UOsLZw3dxiyW0ePHOXOTbQIh01uP/Qu
9dkNsF/E2FuwrAGklim6EU4dzn8OaaYaeJi4/We0jDLnxkw1miyKaKKvdhMPZlAgxbrAAsE5+DJN
Ur6vlsUvdq1IrIbkMCh7WvxKcpgMc7wZLEeJd2oCzcRvUSAu/HpWZetHhpzup3buS+hLdKl8ZAaz
HoxxY9i7KjIK2C5l644pmmpj6tw6gzbYj9zt1GhZA4V2pwrNzQ5qkTgP2ZRM3s5rlW7Ydx7eGIFp
jvpLHEkvuWmNZJz3ox2mNgJ+/fQXvgFpfNu7VTYeeiiGD16WcGX1VoXytOGO2ltdVlOyA6zawPls
Y+evTsu8J0InwzzitmB9tjFSVO+Mtp5peo2plx7NCp+2XSdKzhGRmtoPzJr7eW8WVvU5R1ifhxom
ARpuihznMDpa+zJ7rZtw6s1ZdWy5Ot5lVaJzQYi58/Dqzg2QwyEi2btWhu5DSN/mu5IJePGFNgym
n8q2MfxIhkl1o4nJaHZ559jfWGRtFGDwrWr/h73z2JFcydL0u8zeLqjFlnTtoSNSRG6ISEUatTQa
7enn86pCo/OiUY1aDjDbqrzp6e50s3N+ubeNzTvo3Y0aEYPyANfu7NXlsVCj+1x0ZekfkD42Vjqs
nf7ZdSVnUBRsEzXrdTjS9+e1RYm1Uq/EAjahV5PQL+MttZyJ8JnIK5lHJ56Gby5/I6H2xMmtqRtq
dybIehLv1ui539ZaggKrpnG/ll5T+XyiU1UdbQjm0+TffBb2oG9PVLOGcWL1Tnxn+2VOmF4/Zr8G
0jCqJPTXLkxiSq/wbNKZNtGFwWKTNIFcHiObCNMk7ARYBsgdbUre5tGTl4HMRmlb5NhDJ/R6n2bs
0tZubNyq4lZeh+Xg483+bjIO64fAKZZPmankcqAuZ/3mIfq+IwbXchJP9jwfc5s3v8TC2Zj2MwH0
z8RpG9JPpGjzxN5olUqI9Fy71MWXGyWdVXC/KTHwBcZNTPL2pqpQHLsta9SeOI2hPW6dkd1h4cP2
077aeIurTUBdUuraMskIh/7Dj7TrXoeww9fat22PYNGNTHwprK3w0mqtoy7lJyZlWmuxRImpOGfT
WrkEAY5hjtHTqezuoVBZ5SSYTek87I3MY7aJ2N9O49ZZh27sGjsN43VcvjoZJ/1Z9ZVd7rZp9Z2P
bKGoFUWdM1UPXWsg7JOuKHpsfq1aqavLa3d4NoNvqmXvTl1Rfg8dKbufsxZBBvwYyqU+kh+pzPRJ
s+RM5hsrkwOtiibFK9vnaaWnIDsof6bvZZ/pcaXqcBT2CORSObU/Jh4fXLfsrd4MgZV2gQimejcb
reRPWeMK/BrarUPRGWW7nJO0BqkwaTKNBlGHY9ceKD3btkPdyjHb+XM1LYnMm7l/ROBcXlz+GcHt
hC9NQu13/Yvjes734TD2S9oXhfET3YBCJSoeOicZ5Vr8mso8q5MOC88rPXCee/B84x9biIb6UMBv
ymRe+F8IWw+d+wZWhztV8X0mLudenrY9c9A9YfRlfNiafHz3+LvFHq+XOLrDrNajoOqxI6SXmTRp
Ftzg+4ys3ue6nL3gSpGY+KpsLsmDl4d2t6tNa9b92lSjHR+G0kePPlr5/Nq5Tbns0YyVW9qQb6MO
tSnzC6UXdnteul6bT+OoimnHldHf3AhirJO+C+WHQgpoUruaufxMrEx8qJZmdNN1ARxNV7NFr7qe
2yHlE/T7tFh0lR1yXSxF6mI2XhJXtna5jxwVv+TDNjw4fVD6VyGFuiKaCXQC5Vi8b5XrvlMl3BVv
Zd9Ww9ErTPlY6IkDaxwkAbnbui4JSUGutxdxXTIxwnW9hxStNqkDXJEfRhunBp935LUHyxujp3ab
6t921Wxh2kzTYiUqND6Ts+uszs4rQ/1Sh337nQPReWtae5tT38nG/IgrmjAcRBcBfKsJ1rRt8b/c
RBbesamc5edGZpTFBhOBbmY9RUhbOffZHhlc/TvuuPYTcBqrTKhGV0/Uc0Z14nd29qt0gpnVpQ+Y
3CkEqX7piNts3xXDeEeL7Nami3C4mEnnmFjhMnu8tG3BVKgmN+wPNRcCrgngoh0xeG6ZVLHbe/uK
jYfCd1mpr53xv9yamVJseh/+6o77qbm9cS+Yp3jnbcvvmULqZM1W/uasVo92qOXjGC0/saPIHVhT
ea/zljcgp5EsRe6dbnqimrJ861ctf2fSd5ZzESztLgqX4RA0xThyHEV2m3ITTscN+P8ApyIOZZXj
mXMH03xfajV8KYX3qtmDimSdGY4Sf5FRmAzado+Kps1dyXmws0Y5RARBO9sN5gqsHeM4q4ySwc4m
M/KlWSNr41od7LsoE2eD0fxW4mK/eVau7wzpKuk4b9E9QVjDwdni+HMM/3iNGRHSKWz1lizWKt56
2Yr3xqva17VfxEFS+Pk2Oqt6VlQhlkkWy29t0QAC+UasQ6Ipi3ZuX9u4I+nXXArG+6PMSADk2Aq/
5NG0vjaxb9LMMerBo6E3bYeRmUpYZBH7zZvR7cle+ga9ymzuHBWodB35ZSeF2UyqLAoDmHxoDSC6
5Iscanmyu6b8arhA9mKu4tRbMXf5mY7uAwFSwrPp0GMuMt4WEv7XKeQ6LIbFu6ybnM8FAHaiKRif
TX0NW+84h2QyIlGdkzbzOm5CkL44wNNRrTY5mJN0vlhs2Kew09WR/FjnHV9ZAABYl5/bttIqCXIr
fDSFUYdRR1dNveWnTWA9U1YldxU1YdfMiy8CMub3pqbhvCr5NW684sG1RJP2Hm7pXtZromtffCks
d7jbRr99Q7U/v2xi3oKD8rKahXV1rJNXb/Pe4lF0jXIPbhW+K7ZNesKtMyxT92VcQHVN3ZZ7ZxZR
sqlhurKDyg3W1Yrf5VCGxcHTmUyxpweJ14wR4VFlvtvWTp7R6wXXemrM7ygS7gnLMhN15chdzBZt
Vutb0AfihZqIjBiuWVxLWciT7EEjkkJInL46f+rwUT55tS3fpAyIq1VLdV9oLc7AEvq0hT1nmdp+
LQg1Dtw/duITJPkVOKrZk6k0J1k0VT8yKqrpqursu9rvPlpGLxYLl5L63vN2k9rkdW1a+SFwG7yh
+nUurRinPd1vWZFsAXW/KrJqBLKDOpRMlLd4QlG7iQ/odCjZ6ZOJn8wZJdazicf46ilUryl+wTEx
puUBbqvVwYupgl0Pknqx2lZc+sC+qHrNzh7ekOtS+Z+9zBVPJsKI005ef/WtwuJ5NLr7EhR9+IBC
5oUDI/zVlB53Q5C7T2GV/Z696cvCe/hg++jGtPHr7puu46JOvKgM9n5VTq+OIfi8NnI8udb6RK4I
xakthyq2F7ztt3iwJ9QYTF3evL5LJWWiDQuwXkhrSl2XRYR7ybWLtOkRQifs+V3GU95kX213qwp2
KGCydFumXlHyOQdERHi2OdWUpdaJ1KTsJ53EsnUcLfwzNEOSbFK0XbBjF7VfVN5Zes8//1Zd2QIq
7JZsqTbcfrUQyQb08KJXn6E1GmvnGnTgtliVPPdrj9fFYBkOnO8IsptD4cUTlW1eF4rULEH5oOm1
XhLQoTpLMPusOSmcHnbnniOiTd16mBt+8H30w+aIrfjpBf5xixenPtZKZ2i0qopxK5sqiwNkaQM3
kV4LIrsWgD1FfCv/kDxDQ1KJ1fIOXlOAE+OxsYmJrMeyTyXuCftctdG6pIbAjCkRmxbcxIUiVLWy
CtXtaBQPn0QmgygdjAj9pIrc7V2UzlakZUnVYVKL3P2Ckd/uEqiJQLIDOvNMoJi/3mMbDbe0tJv4
59iJ6Xswz/NTrZp1SjLh5flOcWr/aIWMqh13W+Me5jEeeDCR2uVpRILQtJdU2X5qMbwNKZJKWe1W
Qf5CIhkt+/sFFGVLq3mt+gNtUwDHE6aXcl9OwfTaqk4GSYwcI0y4fWceBWi7j9rZSg8icgzdZF5n
nSGfnX3wsLUltNy388h/njcvu58nuyySFs4pS7Qs14fY723BmZ4vtwrXof8UzhuwcWum7IvnV5r7
dtxkvqOKb/69jBXRSF2j+o+uUkNz1pgjkXmvmRPeEzfKhrOFc2RSWko7xMRexUXjtJh0koXJf9lt
2TC89yriPTTYkx5jBXCUcNLy6WFewj8ZdU6zpY7uiVUe7Cq6V5SpvZhBxeOhKbMqANwZieMPNav4
LvSksM6DIrkevcG4HkpdQVRs41yWB3tRHJEEg2NCR+uhw2PcRsF4cerRao6dNYnTlvnvrk8h+96v
87Lar6CwM3LkehvSbRuVOTFtU9pbc25/DgY3+5WX3DzkoAztS0SwanHnMNSVO3ZY2wHyqaOfPcwk
9aQhQYKpIX/7pcsUYabCISEPzA+xzl5INzOpx7b1qVYZQDYPYMnWF5EFtEfo1fWJACcekls7pk68
2Rv5dTqbWx2iLFb3phvZx2I1gR/1URMOibRalJQO+FGUTr0VsTw24eK8dZFY8t9lWVXzfqH/Y8Lj
28X37Zb3y6tlOq8/io6fFMvIgBh233p8GIdIWmt/K3lVzQ6fOBeI5SrfJ4qrD7pUt7GMUjdbxTVk
Z/lZwt+saWg2p03ssWyt3YY65GGo2vLD1nFJvYostkdHbxyAS2AteABN2w77zPPnh6UIW7kr3Jom
R1009ptawjw8zsumvB2KPo9Mxh6BLmmwWUECy8hGdhlamy9+NxCMMRPOgSGd22futfdphgCqnseB
PI/7El1PQG+qU9eG8a2GBI7cNfs9bDXLj4kbIsKzpreCBNfVUt/w7GX7FM21qPctZx1wbRBW7DkQ
108d3kYG46HWbjLEzjrs5nzx1n0crHV2P2x+aCegoj5qmyyIp2OLFQ/tOkp6B2FWP63LwAhgZpls
5RJ3T+HMOZp4yjdR2pim6p+2yh7te2trMaPHaqac3TTjYgGNu9VyDNBes4mudL8mmZs34VmrGBsc
oMQsvmygg6QhrkyHB79DhNYmGZ4h67MuReH7dGTAB1zjLSz1BRxTzU/ThBZ3z5HvqFd/itir9otD
ZvAKlIlh9NjJbBzeCKPyGp4csa7P2eZa+e+xsxpxKdCE9ZdIE3x14GAZxtc1Vg7CtL4s4u/kwtL6
nrZYW5YmtSXBYkcfYqg9T0y5cc0BFPTkpviNHB4kkB89ZDFZifSGWA0kEg2i/bJ2Vjqbrt/stIGv
/j1Pnv5e+WxqKeuYBqWztonU1Ivqa12fQWfm+FNNAwQK0qoRRvRpS5TOoBJ2QQFSXk/2FHyKdeXq
RzOJMH6RtQP2Y0upmIhIv8Gem8DjsQdssV/5e80i3XwFPq/XvSi8STTJQEg3s3YpjF89BLTlgkzB
VrrmaPtkypw6B7AozcVACu7qr+pmhYw3HTDntZBNCdj1pKckbP1yOPZFF257KxxFeFmzTIg+cTe3
z+IdI2DefG4GvS7HcNCKaVtwlYuX1ZGFwGlZdEJ/QndcEtljlc3ciHTc4m49TpnfxU9NOW/bNeti
mV8Dlnyy8BflVTsXokDC76uxrLnb4rU6iXqc+xfIqcw5+G3lq4ea3gR4+HgZ+uhSZehpaeOd2qh9
7OcuHD4Iz2mi1622hoZS2VWL/l8BLf+R/fBe/hi7qfs9/+k1/NOz+P+cSdH59ybF1675qOXHf7c1
/uO/+KdP0bf/umkzSNXFv4Ju4pZU+C+fovUXOkaMPKjQkf3By/6XT9G2+b98uiCIf8CvhMjnv3yK
wv6LvA2I95v/nozym4D4PzAq/p2hheBGPkJ8x60egCH2byoiBkX4WHpOkNpv43e5uhQsLha75H9G
4v/jZaBlERmC36H3/VPR4chyylDf0MgC3HsnoilHTjbbaNXzfl+EW/j6718PLfUfjPCtEw23901B
gknwpmz+m9Yiq2az0ktdcPB3pTUzoG54pBOrpR0oKRq2PEFM37Dk3NhNf6P5SIcbLjJgnMDBO8fd
wGnYBPPz6LVNdPFszUbheWrromMVFTEdm3PcVhS7K5K0hSKeHXKOCzeKc8pphVe4VrbTIcupm1Y5
tbUxS7tY1HicpV0CWm9m8WyFR34JQ7jn3pfhekXdua0/bLtXisuVR2Sd0waHAUeoslytnF0dd1to
0jWKkfm8j22zyXU30I+Vh6m2LLFQr0xg8Q17Jux2hJ3j7m/ik27pfi0JJmvd7Ku/gXt8Dge7Bj2j
/cm1TrSq8edALCYrP1reEADpzMqEcUOYncvMm4CrUlG7A9fVaHwtmIs8S7ouJG4GfpxlmnGbGPNz
bYKAo350g5aVTtfh2iaObHztJ/xbYicl6tTNygQnPJ3CxHQ5EA5eRIvoczRKq7g0iwIQpgDX8rKk
kd3YXBvfrr94TT0E57yEGdmXvbE7LOVc4vk3DvBmOiOt2ABMQrqXu9+AYOOb3cytcxZlwLo2aBqF
0WpSsJa0vr3GjNBN5Lx59tTrJG8JYd2XYSDLnx0KYArOLRFaRz5z6gQ1ZrHxQB5RXPxgO4/cX21n
8BORIGZsnTpl69K+PLi2QAmNeMlL3NZT0feK+NLqwK09AwEwJdMZgEJmWAWG9E7Hd9JbWWZGdtTs
qj2tmpfeCNFdgpDtmgXJUn1rJ1QbifrO1WSbvxIBYQX3db+0w8tWbrxgJerKeqhXa3WvHW6hKp18
Qm5B3iunQmvAreru4ejdwFBktirPZeixAPgl/QLBNZjzIXjUqCMXUKkG7/xVlF3ssJT6/jyf7a2y
Rj9VddN5e+62oB/3Xi5VsyQglT2KbyL3wu6Qj3oy77FyHa7EsfIW66WpbsXJZKZ71f2AdyN+crvB
iR/GfO4Fo1tUNa/M1XJ5wNLlApuNU9BUqRO1NDxnpjltKNsTP+jjtIBxzvfYuGTeJcGa1e2DBB6T
90puecCHvvn9edAhlUb3ikiupUpZGVji0nCVVn2MItNvZy4/N7iUYIPbw0brMbNtCMawW6dFLX3i
58YU9c4Mw1raR+ICZXjqbYC293iYpvU5v1lr8GLEDLSvY0UdApECYujKhc23rr51Prf6Vaiqij6V
OYMop4+xsznbLTh4e37xQelUC7C01wzmZVXan1gwpkXnnXr1Gk+M/esWwwzGD5xZ3Zil4+rQAvuc
ibjVy3Xow22Mvpt5mH1zbp0iG9+WvvPE9jp02usTJV1X00w1wrmT4hnm5X4IjFX0uy5mwN6HZUDl
FClUau1ZsIMiSBVZcW5Dbi5hPY90t0nFDsrDR08yuzsdrGz2uSb+3e3zgxkBfI5kd4bWYxyWorwY
0QoBwYKDajdGfiZOes7rAduBkBufjrX054CDw/4kSEiEjKhlCCMVhZl3qeZ+vLaEclQIgPk6klDY
ZZbWpLJtEYunmeFojelb+lg7t8xVTCbqpHNEBV3ujeV7LtQGlqS2mNK8Z1ZF1tr7XDVZIXBv1mGx
/C/CsD+vS24VEC+HSxyXNApFrHF/3mP4qZYZaRxI8uLn475pFuyFlCTKL//+/vofXwdvFTkw5Gti
9vvzdbj3rbn20OZ0mH3zpK97Rb/AGP9H1/K/LkkUbrfCehRafzeIhoTpDmHGyzD7xsHZNPo6WMN5
Gv3xzis85Rz+/dv6U6Z1+/gIhb61C5ANirnw75GhWRfm2sBoJq5Bc2UkCQuJIQsBnb49USuXW0lH
iu5HRfDb//LN/Sla/MdLMxNwityMy0SW/e2b66xNBRmJJ8nsY48r16o+zDR7HCxr/N9Ub//TSzku
pj+0JlzQf7fHcVn7dDXzUoau3ccVFcLdYt9kdvn07T/9PG9vBtMfjvYgJOTmz8eEbiNiEF1TJN5q
JnZV3fOGssb/CkjZplE3ctNtZXFSbt3886v8/+P+/0Eq/9++hVvmyR+ZJHcf3fTfZ/1//PF/zvqk
bv2F+BDHGhHdHmZW9I7/nPWJOvgLUTkGG9TaNpJmtJn/yiRxnL9ulT90ijDSk7t465f4VyaJ7f4F
e+bdzhtwSoKao/9k1Edo8OexIm6xuDjecG3++ZxURd5Coov6PADipIFb5JC4nT18ayE2jxJZvMZ1
CGEgV7Hcc4N76KlaEDzyrnWDM0NHQBhrvpW//cmTCByIpCTyLwa992rTAHrz1D1rA7csysI7F8QR
MS/m4/y132r7E/MXByWTZ6cSiG1nA77R9U1j09UP2hnDL1Y/rhcKEYMdia6KPL8hOAGf2PDM/oKG
Ie7jZUyyLiBh3aYo9XMPknuokWq1oKq6/EHgYH6wlq2vT7m9Or8tu+qrXTOs7Wk14ZoCf8z3WAxB
JvF2xekQ08qMdkaH+6Jd22fRCDKu/KX3XuOqapk4FewQwus5pHmkaqc7YNjxvAwgXa7MBmDckqaE
oGGMY0iMvmzRSu5zESEDSNYyE09BaS+vtTvJz4POhm/eWq3XmkmC+2oIr6Vnli86GgCsldvQiBEN
y5InIsjnM/Jm1SPS6II9H4YD59eY4l52S/fdrQKHxPVgnBEvgMuktBgEB1SM3h58d3tUkd28hPS3
HEEBIWnNLfO4tEpSxKupWB6kHp0XQBbSkMIcQwwIdInT2qpy96VC1rbTRvPvD+W1l6pMA7uAqHAH
68o9v4wHpVT/GlWYOnFouNW3YSH4dclrcSxA57+1XV8eUPqUb9M8EXVJbhlpSPW3Gj6JhSHuD67M
2zuSPuyWRQaJVYLEFVw8zpwUpJ94MVXJl2WrQ3RodEbA+SJbyJOZE/6wWASLgcpF7WHx3vA83jsF
QOTWz9VeVxsQijSkYsSFv4MEWpgTUT6keTDMb24HQB/Va3wXiCw6BZn2Psthy5+iYNIfJdzmfdzZ
9PGtCwqV3LUuM8qLu2gaz3MfRdeATe9+IEz58zSW5Y9B1SCnXW9nOzpNmruO0vGfodHDXnge2XtB
13T1gVkseMotEV+2uS125SCj73VRdlOyjK187ItGHvM51LsuNFSxl2WfwefhU1spyb0PliE6bKbo
+QRv4VVOLJjJgBezA7KW4jxLLX6X1Dn/9CfdnRe2YYNabKq6ZNXL/GVGGRl/Kaa7G8zQJj3Jlc9l
rGyeZocAiiM6oY4IXX9FH1SjqjFy/bZJk39lZMvuCquyHklxFK8xo186+658ymt/2LtLX33JbHd4
M1XIeIjwLLJObe64O02F58tYePOzCdvolSpS6yPiSZ7T3LLIQR2H6lATNnfJomC4a5omP65U16VN
ZwVw/76/XBELzSdYy/WC0qFNDUHDnzq4bljdPniAH2FuUP4Kycn5AbZsxzeEurPbdSfnNbx3EAfd
b5ZDEdTsDo+qL4LnLSLPMpFr3H/Y9BA3XIw0bayTE/OITdW0z+l+PvPq3gNDl/MB3B58XsqNSvHJ
My9ZRTeOP8Q5aZWRCRKrM+0+iov8ZKtKpFFuj09DFqp93Pf6y4jO9t0iEYLPFy4uKW3TXNhX1YEU
JpgmfPJXmVvRK2TzcFibOd4HqAw+T/2ElET7205ItqGEQpbqapxy/bXpMmtes9YJz1BT5o2G5uiT
FeWfhjDcx+V8Nc3djU65N9YY9sDNGmav5VVmTVcE/Z7kahbk0LGch/ppBmR82G7MmgnEzyKcn7Jm
K5C7+0jnJqcrfq0T4qIdIHPQICEozb4KV/slnKf6F1GPPr8q79qjpH5wltnbhdZGI1peTo+U5kzP
rTOpy4Sh/NhBkf4C+1ZPpBL0902eOydtO9vXcgZKkAENa28j41NioARZ592qNdae5kT7sDlmntLI
LSh72mLTwWQO9jfKZFkO6T0vzrUc27McuW9Rewz9L9uYd6PD8G1p+9k70mGkzqUdZXtDwWeJxmiw
3kysxzOk83yYctHti8ySJ5Y2cUdk3PbkCWPmJDAaijbIp7ulXfWbVWfy2pb58jHVPappbqyHKpf5
3hkmfuSrys1dS/DHizuoIbE2fanZrneOpN3GreVrH7K8t2U5PoJPx8ecTEH40m41v9veUXdlRCxR
Mmduvx9uXKVD+vL94MMMuU4v0njx25OxSvujRt14bnvTHZ1eee/FVsefnDWYLohkFZlzPJdv5M2v
T8VQTOeJTJfrUC/iyMlrHUiptB6IYclRYy6rTobGQvWjsym/2l3sH1VVz6elR3TnDbkBa9DjIR4j
+QWperxXwzi81pvl/8DcbSt+bxJ1kleRmDwIE9AejMcMYYR3D7JsfilvQiwpw7h7aAZSc5cgFDsq
VtV7p11xXFbH+RbWs0FFtUqUt07jfeWPEMcYt6VkL6z87RGm2ztVFYl5YAT1dNo6hMzYAerL7N1C
A21SzqkI2pcmr06r7osnexb1r7mLYdWyMcQmBpWB/4JDakhXtpEoKeOmerGiLsZv4fMvLhdzXjcz
PtmFbV0ipHBnF5UZChzt3lPV7F3cyA5Tv9mGPqFItTtWMdExyQx6dOzRUMo0KAb/BbFM9B1Z2Pbi
rvRC34gicuUHJeznnPBJP+kpu/iMNcC52EgPPixMiEf8bAB4Gm0ARMtGpmbYohZIy3FEF1kPmXMR
hRgeyiH0rwvcBZtRJve2rtH5AqmMT2G5wZGEfpc9+ojByJUe5++dK825Xm5BnUFT/2o9q9lZMwWW
+bR66Pa97GFY8JoY/EYvhXSq3wFpxgsOxayCvh3FQvrtuUIpVJufNQrn/GqS+ZYmP2As20sVZxgS
siC1C4+MhqYMfxTQvfDtVtx8jBMnYCg2ez9RVHce28V+3EJLXOa5Cp61FN4KxVPRLZfjVB28LDgV
AH59slD7Ye+7KLCu9jLE55rp7cCPsX8QQaGOIfbCPZRzdBajU3yf+k3IxAbt20VRY137ZivfC+43
XBVIeT8XxZQfy7ru9ngh8vu6DrNTWHucqnpy77UdT+e5UBPCj5wo7thDiZ46YHE8OEHP79f3xc6Z
unZNmoLkvAWP3gXhVnTnjrZ+ocGi2vdcxruMr/zqj4Xz6GJXfeZqa88bN85zwVKYJxmJDKTiNQY4
HV/VZUKGuh1bb1yP/RiFr7a/lp+buK4O1dzxUAMMT5fViYTc61pzc8M10V3QezPB71sEajtyl7jV
9K2oqQqbMSJd9MK8BlWvuEamLjp70hbEMS7ht8KzwzfTzfPrNLj1CRh2/uFpyZjo1frcb6XgJ167
H4ZKoQPUxJoM0bo3PUoeSGePwEq38NNSj82rN0/rycpsfSmgeINkDl19mGMBedxZzllP1Xqvow1V
hEMExMnm8997qFn2VeOR8KkLq/xZb7Z6rkSWvW9Ng2GPvZlamWbwkspU2R26/egR7pym5CrznmRw
0yrKUioUTl2PoA8kIXutHFyntoGiTRkR3WO+eVh7sAvjwlEIocrEGRZsAWE19UmrRnmQuW3tZa8Y
redhyc5FWawIjpfuCWw9uq0VlFAHg30f5yXiYeNplGXGyzb2h8B5ADxzDrjGFi+99Vgnjl0tqCDR
hyLAEe0pb0P/jr0PXVfbujHmAADKaZPyq6jW4uAuW/CU2RsUgFOrk9kWqdJAd9UeiqS98aPu9ln5
VXgVwPMFisx6vbQLZb5BWYN0YtW7AnnVe/Q8nPYEgm9pTwnpZ9M7w6Ggz2XfomO5TcYTodIFrrFn
uEH/MVow4FCw7pzKuQqf0brnErVbL17sKG8vGXTita4j/9usrQ7plCz3EFflfc13c5hsT54XVIeH
Mou6R8kjeu5ai79BIgk/KZCNj3HAzrBKtDacsEL/9Ksg2/OUT2sSKoMKblniu6ierGMk5vwSjCb2
8OUE902BeBUSVn/3xz47ssjMb31mnToiRJ4UjTAPwtgt1oPMM3Tu+cFhXCoOeyma6mKtU/DdxTyG
7NbpxMnnx/U2E7n6U0dyRkPqh89uVtXUNJB5Hy5yQo+wBJ915zIBI4rBvzm2PyJLVy+Z15hHa8n5
vi2vvgvImtpj+qlbGKE6QyJnI/IQ+fwL1VX+zD0Q4xsy071W7fTd84V34Vfh/0bsW7FGh+Z5sKPh
R62t8PPql8ROkC+KqAvXcfg5nsS4pvlaQceUiDKduR6mxC35iDGUtQ/KoAxIcmG8q5im9jGqFNvN
Stzz/2XvTJYlV67s+is0zfGEvpkCgejjxu27Cey26B2to/udGmmgr+CPaUUySSZfFal6NZFMJtoz
Y1rmzcgIBODu55y9186UKhYBBlSwfpzOOh8hvMYcpbU/BisVL5ZBB5KLb4XgRcHqlq5yAm42XGE0
Sh+drmh8ZYwZzGskkCPi0FVKMMkDqC6Xfr56OSpQq143bsWLi3bSD7iJoBY4irLBTu6WPiDB5UFh
A8V1iD5va1Z18umC4BzR2o8pQ47Me3K4Iyuf1PgeSXBfPmDUG3fSi7yHqIJVgXqpnwO00My/ane2
g04dEsq+3pLflK1T75PYI89mnopPfpYEyqJeCl91uugQOdo8+VpcqUd9sS4Vo3WdofQMFBddgF8w
sHJ8l5H6o1FSW8Vgx9vDNCVdEVjzdEhwjbHI1Jnh163RCdqc8XhblJJxU6sqdegJh9ZCTBT9yugT
/QqNlXbSc2rriuHP92xK+xTnYtpfQmGZ7yj5niAZkqctY7wuCtN5a0h8Q/KSr+PabQ+6nZmhiq6c
ddN2AgcXpbGylq7aV7U5nPu0bLZSt5s33ZLOuuRAhpLNY7XPhRcuS2W98m8bTBMEInGR6tGDVzHQ
sBfTOUml4hw3qdoaY4Jz1i2l74O89cwzvKoY/RRgg6VStQfkzO2GxDI7nFzZ3dmZoh494NtPQKdR
LCnwVk6j3oq9Dtyat+XrEGfQz2XFuuJuKbKdRWHrW+3Ec2R3+StqeFJrYK0jatcH4z7yum5HwlB+
546luWosT/FbSxvWC538R0Opl+/am3j+Yie5mse4DmwHa9XoWuXraFpJjRGUxUPp6vJgE2qwIm8t
JTaiKI65K7Jzibcy9b3Fsw7qUC4MTz3nbVIXdwhkPXszy06cH3TeysbEobNmpGg8Uvq3JMaCG5/U
6X6cleXOFY25jXrZrcWAtIghZoL+eZTrlgyE0r9US7vBW+YwjqMl5BgyBDGEgyvZwp7ij+f43c3a
F9TM1oXqp8uXRNUWP20U9Vkvuhb4a2/1/uROqOQaRzzLLrqr5OUc1GjzibmlS3XcMZFMFlFtediY
+ynC6XLU6XMy+rGmLO+Okz90al6FijFpybq3pXKjyVw5VVVXPw2G1n1lijA/k/zyppuhawO9UqO1
KsY5nGtFBKrqYterl3491/NCtJm3nzBYbZaqnAUmusvnNhEAHrCbiC2mkWI7z7ZyshyBXyumGcRG
rFfBrFf2a8vA6jzlE2PxpGMCObTo7hRqgnhSqqse8swmy6Q8dbTHrrCHyGlljCqezYi6mMZEY3a0
lEaDIS8jr2ucfya6PMaPrNgXNa8F6goVQFLe9UYevySgBIAbkXnOEyFui8HxPi+EpCzQE/JmmBUQ
p9fWSfrupIiAAkL4XP4+JHr48YNzNspK3+QlBSZbaROqtfYUY0HyI1MU764+bnVFi7gIFWOj9TQP
keaDgjGONcY0sVUJ7NlhDVhGrMIscyjwcnfXSwfxkD4ZzadMyh5+VzyOiCKZKrKLjE62XaYuXgFK
i6EwoASq0Y+p3rakIHzOwCPepk1HUz5DHJoHkZKru8yg09bm2RREduW2gZlxdgwdqTF7oUPCTtvG
7bPDddFoZ8lipUYyMegAGqXtuzVWpbUhJrvcL0DTvnG3Fk+jGjk4UUlMCdM4V3ocQFH3ZTuQbn3K
1eY0ToV7bRAloDEiTuXBq3NDf6Y1OF8nthut2znTRz5Fjkm3oX3LG5wS4yrTmm5YpQgKDj1wo92c
tilTZNZXzi9NNFyj4OJGaAftHloU1bQY7Ic4yogJchTnYOFw2dccINdjjCPFr9lTruomERsPTdng
Yze2hrVYXOT1ZlWNT5DjFZzenjYXQdU76UY08Ex8bTSy+wLc67Ky6bgNobQ7saHw1I86yUQKOos4
CsslH29yVGyBtMfuE3EHjazMXXQComoNST2r4IBy7X4EQRQ0bSLPg+Wx0Q9R4m4hP2hHmw5U7s/9
IO9Rv9gbfWiTq3L0ijekqCmXJveSwJvL5abWzOFmSpqBb7rCAeHqUqyzH4rOZpj6mx53TuHjcMU5
AuAPNRZ67g0uTHVVKbJb9pa7XOzx9C47TLT08uKBcAULvzDMFlHFawOCKGuQs9wldddjbkiThIhL
RfkmMdc7q71Uv9WIHyx0tf8sc/rP6OFB/s+SJ523Q2dGrd0rsUhjhwAbE5+D9ysgfGR5daekvi57
O8IiLpXPkf5u2KHsRCxp1BOL/ljc4gCxX5ZUab7yKkpejKpMmLzm6WdmJBGRa3Px0tC6xF3qYSPA
k997gTbO7iGua7qHmBeu0bTEGrd2aeyXIpGPmdPjqRHk7UZJiWokvfjfPIOSM6OLzTm8FzRE+2m+
bIU18GdEITR9a3AEF9NrkNRFeR3Zev5BPrLJYmDPy+tCMAPPCFpbfxlSVOVy6MJ5xOZtmzRQ4lQb
z7HlFEBf6crkRvpdT+V6sft7eXQV/LDwumZ7YwzaPlYocMrsVe/T9NOLMs6/ceSeEJXH9AVUapFc
NqXhy8hpVxkFbhAXTvaEUFRYfkHRtaDTm5GNNjn+hKa1LXo8fS0eOn2Y9mRAWeMK4XO5KQ0seb7r
4EeZ44ZLobVoDFtClFgDokI9s1UyJYxs0ztyTEs+3JRmpo97D8kBHPXd5LUtk0Q32VHB6fmGDqac
+W4bEWI9igrcFDIKLMdovUDB/wcdfZkK4FNz7x6UuOCUF2G/W9emXjxDJk1fcWIud9jT4zuJzJt4
BFc7zo2t7PS+qtezVAnEId9l8lVv6jno62nA6QbrgkwmzBOL7ch7NTOd0FyK8tC12MY12WLigRA6
74lg6B/bxc2pZhFkR7VOD8pzLml8ZXzNjFe5bqxYbL009z4z0keuDHiJIce5ajfGuBfLVjPCFBvs
nsZBdVURUP+IudrTggyB1tbq7DpwxFA8YlAWD0lkqecJ/Yyg91t7a1uCC/ClVLQ312EqZBoebs5J
qM+zRZnS61kXMteJUZkKDTQ+qYb6ORmyOzwpOiIns7tDGCavKAlIo47lRLvKtK+ssbQohFCeJ4s+
nwTVyVuBniaUC+0sX28zc81AB7aU3VQ3nIjV7Zjk8dGGI6GDm600f4lQf9RqrNE916uq3Da1iR3I
qgvuIlu3rmLDGkGQKuowrlyvE2+cF0rWzlFh4SO62r0vVLFYW9eu6Z+2OEAQTsALjJMKI6pbWGTI
GlBzH2eHGEzmiwwrFDykDGOsbjafOzHizm9Hsyo2ZIvkWK81FtxdzfrKSa82chYnxGd6YOOJXffg
SrDtZob2ls6KRKA8tStjcowDho/qYxkqudaLiNyUXpYNp3NMYzAgzYHjBSShjp5qkjnuuncVFDN0
vHqq3K4cg0W3OAYlUQzmVJ2m/M4jrdAJTK2P+JxEWdJL7JTozZpslUuDuZ1CrTGBAmSYvDjFtKjp
HSWLryqDWjFwaYXiz8/Nsd8NbVdBN7Dq/L4ycfAGpuJ5H300wwfoJztPkNp1lbVFPTuj4RUsYOjV
dRQJngcPIJjsy+QMAbX7NGRGvYRF14hpyxw12lRF7sUH7OuR9ez1CYtyvbjenYFoZ952lyaAnyXK
gj5MZo3XoQ0EX4GHw2xbEWrcfkooMrf8ytskyW6ZeVTnvkWx/GHaqOi2thoLhkBFNn2pU9UWKzK1
uzos8nYkmzd1sY0tfcu7TirN+ZhUZcTXM9FqX/Uo+IwAP/AY5kol0DIlo3OrKEjSS5dTbdjjy0XE
bDqmgPsSt9qmYsjAZA1QclCXrrnl8jK6VBmkCfTi8W5KlChbN7bUjwumgI+xnztzJUbwRMJu2n3b
zOUNNRM9dLvkjMAxvXoSjpstGMZQKbd1kX0uraw2BCi21y5s7NKPly1nhHaC/kJ16OPq6nej3Tdr
ehJsZy7TvNSv50leGbVZPKNmzvpthxOgXElEQWhuohhsABp4VFXsK3AxESsh4/N0fDtufrGMGgZl
JMNMempd12XH0bC7wY8kRyGRiOyWup6kQ7W1d6LNI2dt4ojxDcM03mhUGKAGpjk0Gt5CTILmwVEz
+bT0c0v1YNMIbyZl2JPM430LCRmvj6f01NfIxHwSSLINJj+smLQnWBEw3H6jqS1f+kRz0CVlkt8t
zMkIZe4h2+j1Rj+pkEHW9C3RePeVMeQ0+wo2SloV+mEYK+OWUbFzd5l/XY+0OwNDKVCwAliYnpDB
mVeTjYdHYbh6Q/st24+QKTdRosv9xYm+tVylZv6mTQ8z7djjjIxsr+Ne3+DkUNemTddjisHuIHZA
oqjEenH2YjFf+FfG5HO4cdywsWbvbraHnBluQ0NGDBpTeU73Bi4uynwjMJ1YOXskzG/TXIyPlLtu
T2Jdk+3svtMD5F/9g2ujI/OVvOl39Ii0tUe3wA5cxLL5Gm3guM8VFZ1ooRZyzaRrDCe0fXRJDRsK
ggWdBp9ZidrRjR5kiRu34A0xSFCmbMCEW6hYqrRIX/VmHe30eDRPOmaplShzg1vCZdwF4sSY8SJJ
64OUuu5cRsSX02Po3L3WJLgJshLbCAqHSdRn6U6mFeqawK3mxAX0wx/SkT+kormvSv77l4r5zVd1
CcTpfv9Dl3/nAzvFX7OAfv67/ycTfTiu/yv1zH0VV7+qZ378+E/1zG9YXQHkwSwgOYek07+pZxT1
N1Qz6iVTg1Y7GZe2BY/0p34GrTzqdQRxmnWRXGkXVOlP/Yz9G/F0hq3yP1tTETDaf0Q/g7UDmcwv
lDEdQTlqK80hGAIA4g95z6+g/5pF0XKybypR094IMhyOTibM+SRldQnlcrx2eaudar4yBGSGY9JN
WRGMqZcA6dLKb6h8MEOMwiZ1sZyix0w31FeiZesHUoYSNdR1SStQtRpD+Ems6oJW8dC/VRC+CH0F
5oyeUgce43taw27CxiVxdyCUDTokFw6BGA56nMg0q2ujMFu5ZS1U63Cmnf+ijZ05f4hobrUnTWZR
smm7wUs2MX7i6WS7OU7khdHgCuWr3TwIra488Fh0wh8MzppMPTTFXZtgC4mbLqp8Cgent5uMTnPN
Ic0Zacww2kwUubNp99cb9r1KW082uIXbzqzpSbNEsp9K6uwjqY/lKa6zvF1nTsXEAeUKM28ad+27
kk1Ls3YJgJUEmVb5ucLew1nXSdPrQTOzhF4XKIIi9HiQS3jIaYvspZUdVT+JJQi3+2YZsONQ2VzM
u7kVHee0FlGAC1TeF3iX08DThevRrZhVuoI67sjus4pKgGCaYtcP6Cmsq1RMIHXWXZKipEfUHcsb
BwzgpxdzIg1UcxTfFzfgYSgdjplQr8awQSpSBI2Zj9W6HjQAbm4Zf5pRRM/KdlBmhN5gYgtSybtF
2lGRTAV7LGt/CGoudisYTqu2qcjvHNI8yjEgekuy8yJrUTdzljVY6Mtk8GM4KLRNVZTf9DmjGBhE
FzNJy3vugnbmJBbAdMCFaFN8dj5Q1eazG1xaQiP4vMzv+ozhq6MmcHUWtcuE3zWd95DBw/OHak4V
3yU5ffGBcoz2Ksah/ExHYUgvVA3zDZnaIfVYHbFP4YfAxC/zu2ao+GAduDImrkbBJDSn/MKqqqhP
OiTk6pAXQ5cE6FOKydcZlj7YhmT4Ns64a0lUwn/CRhKXn3bDNr3SOVsvKwTquFmpI5iD9Bjhrxb6
El9LiiU36ERa3eAqSI2w6pbqvXDj8RAnCb3qyAP7tjJKq6cobArxPFl6/57FiIyDKimdLx1tQreb
Fy97j70swcYnSkYczpgpQZMTIe7riaIQv1fboB+cAYG2j4c5NXzSruLdgAgAfTysrewwpmmi+prV
LkqAtUI568Iy5cqbsnFeZUY/7rJFB3AC2rFCz58kvS+VaRoZDM8ArYxeVTg1d3yrTW8Xrwbb5wud
3Qq+WJrrPWQWs30vZmpHengYXTO1chBoOyWDTYy3Qxl68STYQVP0QatFu4i5ekW3OYwSAhbYS92/
U4N5TeiYQ6atFw8BtzcNDPj4DA4o81GFkTQDfO2CKCJJC1ZDrzwAd2qUAHBC9FWojteAzcri9rgs
TEzwAhp9zch+IkqWxM+TSU4tzAzQJV9TYuYPCd56xccUx9XDdF7exrDnpc/w1t4smT7AJUV18SZl
giwubyaVQix3qy0HygyNN+CtvdOV2IWMKbYfdC+DKEKQ0mRTv4gLX0kTysEcIutr/GFZ0uLBPiLf
ShvkiAVTUVy+Ig5r0nu7rbM4feVXzjBIFtTW3AiM//Qbo9zaJEy4lK1NzuNPafUf2tn/37TDYT27
sDz/1S5/7vq2Gv50l6S0b9/En/7733+564o38fnrEeBvr/fzGGDav4FO1qjVUKZfzGl/E9HyJ9Bx
LXDHmNbcH56un4cA0/gNzqjJeAbYCRD7C4v95yGAP3JUNPsXdxtCdw4Jf+gQ8CN25JdDAMp1E/8B
hxATW56tGr/j0aK+LJjLpczFGg1Qr75vCYnKWu2jKItylVnGgTnr2vGMg05VEXZF9WXO8x3j1Edp
WCftQhTNOv04KKd0SW4jICbYYYJRjBsLlnteLURWAm9bQ4bbWkPGTlsBXuuqmKHafDe3+Y03isfG
tXdOM7+6lXUQbnQ/pyzjpa3MDE6MFWlazAur6ouliu53RpVk9d69kWl3iKGAGSjbAVAMWwMjxb6y
v7XRPcveOE6ozCiM7sFD3KP+O0fYfISbbhtZbKWrbNupfMHu+y6Q+gUTrjA/0ZmAl3n11eoKSi2J
7rIfTfkjX9XH0nZpK+n7cSj6gL3ltRIpf2dikTMK7KxZWa8ADb7H2nSHW6250MWGwKLlNQ7oeEgC
eWSBAhYn3bPJ73YWHXPWxVsFFECmdSjonMcOCAqx6g0CugQSohltvZqX6toOvJE53sV5ipRo0ffe
HH3rY3VbaFwVZYB44Xlc22mYy7DUZYMyUF3j5OQ9gyNADIHOEIjpsBkIzdadi6KyoTMwN4/8XRre
roNFyeFlK2NdQGfkIvPbrglMFB9+GDFqAx+BCKl0m6+s4K17uNGDIWHq6Jj40KYLlaho+SaWrnnM
4uVpNKJwVpWzXaiHIoPvhgz7FnLGB0M5TIoTIA2OqIwMu/ZWk/a9SniCYt0jOv3qavc6jdMXihWc
XJ34ipsG4bS7zjxrBvJSfmFOj1fo1JmgOAzNiyKDRYIiM6i7DINgNj95mXGEwPhqSbAyqXNVOBjx
LEP5Rha7gfh0F5vgH7u5o5zsqKypCbemIiL6/ERFYf8JMUnfNpqCOFJ9GormMdesneVUj4Xa30SL
PIEcuNUgdgZjVT4yjLi75IuvFOZ1KVFWPlE4qyXtKezmDBTypZeJDGhYDbr1PFwElXoUbTn5hBZB
xZ6eXOBoWOqbrP3KNb7hVge+k98gVgpdON6OkWwjvnnZtF+Dm29zVws53Jy09PIVRO7NZOK7d4c2
ZN4cKu5gcZTrN4PTbJCGHJN+ZOgoo7NBSFvAMwZzpN/w9nyUmt+61m0gxm3VrNiqtX4J3n2JavWV
OVHojvpRjsUNA2xqgBESjiK9+2Y0P7xa++g9a1f35Y+3NlruvVCV7zwx907h7GqFi2OO2tH0kneU
d/eaodFrKuPVMpr7Qs23cLZuu3y6g665xXK2nV3uCgyn74lS36r69FqN7vfAWWRsjD3+okNGyzyr
7B3qutdRlF9TraODa/63WbgXG++/WxstMrxMnR3C+X0Am8Hh1opJ8XoQbk4cWlM/X9q6AUPdVVnH
H+Mkjjgs10skjlDinrNyQFBj/8WZQqn7H2ev/j5h6ccKjaHJoih0LEw/vzMbl14zNk3bqryLsg45
TXAUya0toryQxsYRsvFdVpevpRYf6jnaV61xo8fpdy/K/0J1/587A/zTn/q/ssKnLv7nmb13f/63
6k80NP78P/7ERv+n6/bP/1N8pPXXr1u+folv/8t27/yG6RwFDY4shzuG1Iy/bvc2f6IZnA7gq6jE
KVxM43+t+X+7+GvoB5Dcxe1Gjujftnt6BaqG4f5Hq8B1GPewUf+RHf/fUfvRIJtkI7o0JVwdzevv
nGMowif4ShI6kxngxq53tN472MOmsSViuz3lEfTtYOyzhUzzAqGZU6LtxuKWGPshYZdZlblTPqhT
3FwDXow1KmGeRxScoMY9t7o3sXzo/i/X/Povz9yv+bEml+3XR5GUGNx2l2xe/p/uh8WB6NdeBYAn
8NCgyuh/M1MaNO06SfHvBBcwyk18afAn7kCz0MD+F5RtFJ8LRPnfLnb6k4HQdG90+vSoqG12Liab
MPS4cbXDlI8LVnVlGF+Gshb3fNGqGZY0RsIedvFR4yJSPaaF8kFvfPxS06G+HcU0rS1pDO8ZUfAn
JeZYNCSDCRO4FRmpJfq6AFlGXcwoQ0ClyTtQwvHSfVt55KJdq6wjrBkL9UenVMG/vlCX49rflywk
739ZqSwivEk+st3fWeh6nCyFc7lOTr8yVO8qkU2KrAavM/s9/gKt/fnV/P/K4L85uucZl0ztf746
3Kcws5TjV9f/w4Lwt7/5swbQnd8MblwNTyNYCkAXf10USFH6jVvbYgj6oza4BMf9XBQU9zdDZ35I
C0MnHFd13L93AhXvssxYhsqCgoiLhGPzj6wJjv2Pt43NQkDXiVfU8ZPyJn8fFAvjSJaDAb4fZP/8
5ArU8XgaxPRdFBIRgACTsiLUVsxBDPhxDaUGsSnQlXVWc+BMaxvwZwbMP3LMdgcbKnlSI4ba/iI7
by0qV32exij5HNHf3nu5Hn0PjPnp2dhJFmq1QMFQU8QuQV8myXWftRHkCnY9zq16u+NsvpyEJB3N
L70uua4cZ9ma4kJhxkpyJcHYBcyi85BtvFjroPjHPsHOb5rtjWUUU6BOgF5GycjTkolyLzyjerOA
4X5HVVLz07XHc9igDqDStmN+B2FNhB16NpYzqnr7EzCn+/XjvXQRcAO/vUQshurIYaBI1OVmtvgV
etv0BjiNct90k4oUq8h5VVfCVI1iySCyLfEp0q5bTk7vVMfFcS6KzXZIPlWp8eEQzvBBKit+hl2U
r1SkNauO+QF88qZrlsvR+ZQNWcfYM8tnQGOo3xa44z4mdP0WPqd9jLu+vO9LvX5JUdO/aJM24cST
EOiCxYZLeK1H9XJyzTHaexnAwsUEsol2GFZEHMfqqo75Et059Xy7rqZ9loKj9QdIWU+aXkWBAqb+
vgdL0K9GYOPbmfEmB/gB4nykNvmtNZBSix5jMB+joUyuYUsUDGBbTFYUCFP3xEjOes1q1dmCJ0mu
EwIi7jUtUp4AJ8e0Njpvlw+xoOXlGjt0+BGNk0kPdCqDureXV8sezc90zixaPMiRzpNNhCSb7QvI
sulqGpOFMb85nvFruXzZC+L6xi2vTbVC6JnP1k5TR/2FtLz8egJ1+AJYAX2iPfd6EDtFt6JtPx/I
atxwEEMAmFjJFYw69wTRvHqe4l59bpJkfoBrbF+j+7yETfAjJn3Cx2GhoJGRCmDYuZyyKbnCasRr
RfNOB73ouhhY5nYHAHkIEH3SPZ3a4WES4gz9rINbPYgwxVfyBihQ4HGieeWD71uYwPI8CM/+kSSg
9oEGMeyF1k/mq4Uyn8DnxddlLuPXhSTmzdjOVEE9z6ZuLHnYL21+ohGfsw226U2hLdF+Titw4IDA
AAHjA0P+ma+YiFoHkH1i05Wde/rR8VIvJLWx4PWG0RF3dnRRUehSvU6k014naDbDMoX1zSD42Zu9
i6raI/ZCn8vvgm7a1UUWeCK+x/mMbPihNqzToMsylXlamp/I1cbmAL7+sZhTiDGLYhfrES5ahiSl
HRgHx61sVqXaVtsk7qYryrCKDz9MSZCP2Ap17PeIw9LeueaUztAu5Yv49BqdW1ivuXWqWF+JiSRj
ywYC25Qz0tNeDaMRKiTzaUhYuyG+TeMEsqFYX1qQGDGCjAiNOFn1RUljUfiyKFZDzctCzDq49qej
nTEfWUkfpIPcppBc8/SQLW8K1bTmG3TXm+w2MzaMyTpUZFX0YGGuMTi15Mem24oJBin6UHjlg3It
2jcxPTAhQSay06tzNr3PRbLNxjBLD0MN9MqDKjTeDPrBS69gak4sS7Vf1Ef8RaGrTG8TsvI4p03S
oqKPt316lvVa6dfxTIO7lsPVJSgkQfAcwSxLdzmj9WIldLh53W38Xjugc7d9dWuMK1FhafF2hLyb
6vVFDVQ7K4JVIu/DRXzP4izJLUkQ+zGKTPlkMWdI7S0Cf9mCo0w8BzntwU2eovbdKF41Y9pENUrl
YRcTt7LAd8ZGqq0iQHLSlJ9T1t3jFfPZ/tYlvf1stPZDQ25sYb8xZWHMfJta39MEthU1ha6lXdDc
uvneTCqJ0Mczd7apcM5E4qGgYhzVbe0m/ZNBfFzYwk4srGFVe8bF93RUBtrhOqRUYdZGYOTKfaIO
2Lnh2kw0bBpPIFk2V56LjgG2TyRatIBW2DX2jaXTNtb67kN34JIuJi37+WnssV639mOpuyo/PT17
1nCUBQ1+tjw8jsAeU/PkFAzwbYOecaob38s4PqtC/zCSfpVbt8J2X3LLqwLFuK8Z4Bqp+9ikbyo/
3TUnVpBgQGm6ApFznqPOt8XpchWdsacn0wbNOG3h/x2aJdH9/qIEB3eMvNHXxLDPi/Og4BJMyA64
wP8XLWioWC10nQ67FgoK2jY7TXCzbQvCdloFPdt7ZMg1eskjeRj7eiwC11v8YgIU7+wtbcdNsshN
PpRXqfZep+mq6KMPpKDHWmCw6qvPxEK9W9jhMr6ntH9QDzj6RZx7h8p6EQfTfF+khivhdk4vbP6g
dl9mK91oI1JHjdsggULjA6Wfj9Yyiv2Y6nwyB1J1iFSToJoIjbvVtIQglSnXPDOIrTCbq8Yrb1rG
TpE7X6EzADadnbLFe9ehJzfypVRRDslZ2UJilkHmINbC53JXyCVwo/es3EtxnVertBPB7L4bzr3a
rvSy3rjGsRrXQ/bRtjXu7jMqcZHBvQ5L8Vx2JzWKwxldXFfG50bu3ejIXbj1nF35nqUg1d2NW296
8Y2Ry69QKoACsNtb3JmB9NaFgX6AUAc/dj+t3loLeZnF77TsEdAFxJDR2gk0wWR+HpzoLjWOPcCm
2ljjw+jisEIpDF0QvaX6ihJzfint6CyNCjDxsQZBXfShtTylLVPAVa/BrSbm3Nssbkgsyoq+IgY0
KzSnc4wQUKLy6+VqolQR2rMShdOXEn3LarcAqOyf7Hqnq++NPMjmPjUfx24FjDQBGZ9gQSLwIu9A
qdPqeTYeZu06xyYmux3iSlbMe7deTeVe7ba09sjULtXbubjv1fE1V1Y1X5u5gycy2P1mXL68/KBc
8k5WSxcW1leU7VuJfG3SCNO5nfgl+1Og9gddaY6Z0VzU0n6avOhkXFx6ISXvOwsHa8XuZkJisICe
GmPIsBqL+YsxbrEVc9jc2d1VP+0HlqpFXw/L3gbIPyaHyorQzjG/Kq6q8rSw5LbuUZXfo3wceIKU
blNW+3Z4weqgFdsR0eFC07EaEb5ghDFcNFnFFs/GSrTFtsQorChX2BhwfBHy0exV+yuZxEptnA1M
db+aO7a1e6u9zmMXREJPo3wOTObkZYYZd4Tz2h7TcVr1g0S0jPSwHkNnwP0myOwItSK5WeiF4e9y
ZJjKbVmjDuVDIJjPdlBZiEK6Spo1t5lAituRCcZ57CIIGUfxpDaY32lnp7RsORYyea4swNxDCJs5
qLkwM3dovqwmeS7QEEfKjZ2/iuXG01gLU1DLmm+O30X9gA9BX/CrxFvYXXry1mSvJHogaQ5/qaX+
g6pfM/6R8PGjLqEG8yj5XcckSe535SzdcUJqtKo4TBXOZ3qZI0xu1yUpNvUa7q0UUR3+OL0X59ac
oZbWjjq8NiltVkud7KPNPH89ENG5rZDsPpN64m6cuZfPVpaOmxRXOptUoT/lrCX1qAK4V2z9jleO
gaQuikvfWkPMJtN220Po3idgyVYA7hg6t9m8aYeM7xSmxaFGMbZCmfjq9ndtpe/rkmdwuRzWEhLX
xh6ToX3laOVn2k13bhqxFrNk04hZJdmmmMLW6B4qrn3lCAT6Tl3vGSEcRZIDfBiibcTBxCevYWuU
89pTkTI0zabQv4lW6jelLWJsL3LBD1gr1Vpddg4j+vjylJ+UUp7sKrTn11l90OtPHdsBnf5Tf5li
loe5xeBQ6HyTecYiUsuQ9dACzKAn9wzeGRmfi0KcSGYlTGVgxdtgvw1k3/rQUrKdxx5i48ZZD+Kh
55vAEb6E/cySeLP03eeSXhmmcj2baND6HY/aTQFGpdtKsftf1J3JctzItmX/pcaFNPTNoGoQQHRk
BCn2IicwUg361h1wAF9fC8prtyRePerl8E3SlJamRKBzHD9n77VRvT0ZSu1EVezXh4nsRbzb9aFd
pacdFADfuzMYeJQL6oGUL2B+38Drxl/2go3y0ppuje67uzwahPp6zUPs73SPAhS9zR9aTwab859b
Ktip6bvqBFIAUGZnoL9rmC06pP7e6UjU8NQTIR06ceDlqe+HF+rN5VwYBGosqCu2alUtrOGmEbWG
joUK2umPF+If9Vr+G/qq/7L9+rO+6v/+T1Jh2Vz0/7oL85DQmn39pSO7/oW/my+W8xeCKVooTFgd
nYHrv3VYZvAX6nHmri4jUB1i6L97L/ZfAK9o4IJHg7tJU40m0L/mrwBLbX8NXqYdT3qnTV/nn7Re
iDX59fGifRMw6UVbYuG7NX/ovX7ubLK9YnzqBrdd5y31sc9QFcNeGFYhMR4lMgL7uw52SBsCD+CF
bFvHPDsNworNTKbhs6Y8dKeVq1gee0DxJHGZQ+nw4UecSRpaMCs8cAbfK6oV3jMqB8GGIF8oR8vG
mY/Kz2dchwnUhQ0xJfH9KEl6hAlB/grO9LR6nd0KYl6S2EuH013v0nhvpTo196YwljG+CRaU80YZ
wsVEAWmZKeJjSO7kfkDRaVuTGI1SdvOdmpO0vEyYhobd6FY27Rg181OxblRu6A15doe71+33dFpQ
zY4/Rqa4ApoUHM5C7cL2FIopJjq9wpRlVJ/VoOFLScaabz7WUA2Dmhnn3/XBtD93cEiuiqkCV5qQ
N0e5gZp0DqXAsbgxF9rDod40fbfT6YgHKHdJ1N0ELozBjamrvN5WotUPOGVqvhFuXnzJvanXor5d
+DaoWJbGblS69YL3tXtoyVhFsJY0/Q5FMCm4bD0xHyq7ZXXXba5HB5A1IO6C+c6+L30jeyYFr/ji
xHmZkizULeIpU0oFzyZOzud8KosiyhPLNKM5HctjNRsosiZZOU91JpdXkmV4TjSclWZYVplBWpit
pinUYOsB83fgwStT5pFX1Qt+OMK4Tj2fn5LQwR5hbOd1C1EAZtcE224JxLVixN5HPU99ir1qEhSg
9rycPB+TQNSpaioO4H/sKRo71OybOjXYGrskQ+CSTtbKxsVJj8vRqP1lw9NlDKv5rHEwCJJPxU5s
tDDJOvaCHgaZGuzIyRE6NqGVZlFMjQq2BiBXkoFnkX4zKkxCmz7BH7+xDIMZM8wNTHQ+aZZQ5xMH
x65Qyr/qTRPMhgIlROgoztz0XFt58UZL0fhETBJbePK6sq++kAr5U1BDZhmFO9LW9cxbJb2YwDCr
qHqz3RYZbwCYliGG6LVJy6LD4I9Xs/yeVN2KzgJRsgxHeCk8HUwbJrp7y+AQ4dDwhhdnsKX+l8Qf
2F4NED/EPuVxk6FvIOcrrcVyt8lCLMtZkywH4LuG8XPvWy6cpspo9/rSqmRX4xcntrHSRhnWtFJ1
5IBzdmFW/vQV2CZq624AGvSYEFVo7AOPpumhRmvqHJdZzHurzeUbbSPvHqAHoN2FtLQbBpujgsNV
guaBxS+KSxzRQ7YlfpNNJCYWQlaHIIMY4ExX/pS5xQ4UPFF7qz4fmX2y3FP12t5mpnrCGZAUVwGG
j/nsaX4not5CnCXNTD3TD+tZurpgmLewLdJHpRdeHKX4chlc2912EB17cKKGGIfDHGlPDfFs3W2j
CPqkcZJj/c79un12nAQHtuhG6zmt3fwJuxJhiRXYe0YZ2Psa9rW6+0mhXdHWTaEXlVPrJMjrnOIh
CWLIIORekkvbB3150TcZu7Fl5vFF1OCh3Cy1DLuWAa+KfDwAQt/bBjeiOGHZpArZkZBIKAH7elXd
oilEhAUiShHQVjbXXum4dYQRePEgw6dzFvl4RM75YFNur3pPe2/V3XydyIKQ3XjQVbdzgtqyyRfq
RRzGjp+vLYMMUgiwulzc2Hrqats+Iz5qs/hgnUEs4QaPNCWq/GDoNv+fShb9+DL1dJk3CB8nlno7
ztRbALJN7lyZTl861vnPjBG9N5DQxq1bk/dqCWTna5dxEZ8ap7XrPhRoEg+N1sRg88os+OLoqnZW
XlehLnxS9UjPSATd+JT4V7Wx4pHIyJLQuYMRjHGwJViZyzFNeU+SST+67gpKWF6kV/FKeEFq0iRK
MLpEprvg9QoCk23KNFtasjOFnSZRXA509XEvovKtDY0yDyQC6o5GV48tClgfvTDKdWu9BDCYe7Je
3MAQxt813T+qo/57RdJ1+62+k/23b/L82v6P0Kt/VChtXuukfP36TaS/FEv/nl4H5l+s08yuTY9a
RLfWWvhv4qPv/6Wbq+bMoy5CkLYOYP81qDLdv1wzQELmGJRYprvKJP5VLJk6FZaNyB2ZG45UxGf/
gO3+a6EE6ZEZOP97xwYOyg/5Uad/eb3N6kT8n/9l/O+KyZObQhc5LHlj78Q05/sktTw0oXW5ZwRs
7366NL/Zff46E/NsD4ylziDV8xm9AbRc9wU/Ha+2jEIw+kiIaPEnTFwivreROqGzHfPz7KdAHEok
Vx8fdN3Q/v/57d8HXQfckHlXBeAPMchPBzWFr4axsWnkAhU4iZKkJWMNIdL44x/Oj7r3/aGg8UKT
p9SFZe++o2gClZkJUzEzcrqr/BQstoZ9KLAxVRLciW4N64n0xP7Hn1JfVw8fn+m7w/ucpK+bsEJ5
l42AO/rr5XVQL6vS8ftDIQcCm8o1pqhZtE9mKlD98aVgaC5T+2qF+r6Rxin2Hx/feHep+QGU8c7K
EPXQVfBc//oDCjU68eAa3SEe1ptcTObDgAbspRizKmJpx9wcQ/+7BFATJWU37LsK42eYTKabhaMU
xp3nDtPeNwb1Wc0Wqq+Pf+C75/3H7zNRjgY2k15Iqu9+HzIBiTJL7w6dv04zqUORC07uwSeoaiuT
Wvv08fGMdxqL9YCkNIBpZuPj6yhNfr0gWi99OSLePmgEuCI9Noa1hJ0tl1Fn3Ni3abNONnro1nqK
V903KQSLwZtPYIAI9/n415jvXj80JXzVfyw4CMIM+/3rVw0ek/chLg4jn44F4kkSgBZFXX/RIcCZ
QGen+Wlsg+ZzNrRf3ayWe6xXCwrVmebqEPvprbXE+otNyxS0ywSRIKwtGpmJhOHdz+nUbpLWI7Fg
kgYNV3ge2qlhfTlVdacdq9SnCw6t3NzFYxOfKZ71P+COrfUO/vSy/zhFhLdkOvx4D9+/ga2UBlaZ
rDo4rfLx0RJ7ZkWSEKEHpguEf3vt9NgQ1a1v5sEIcO62mMrKKjmRMyD2RezQU6li8TYaDilycirv
SihQL1Mwu4d5zMu7HN7QM5JaRDxiyL9aBqrVBl/vK5PRAGV8LRUYAcgjj7YQOqMHpEBnVY3jtqPw
vfv4jv7ay0NVwA0NPMcFd2EZyBnerTeIbOLC16hYyZmzN+5gQ/afHS38+Cjv3xqOgneKDT/SiFXo
tC47Py2gPtyMYeIuHLyiTz5rCCppiwvss4vzDRXf9M/W6/WkaAMg7mYhY2+/urV+PhxemS5deg4H
uSM5Fw3FOpOvkHi08Q/LwW/eh7UNyheWR2bNSvn1SNVk1oklBD3oMYEEx3z1IXf18m5BHHAxWFl5
V9FrvP34ar5fpNfTM1yU5ixDLEHmu6uJ8CTQCaCtDtKWyRv+T59JQoEXapOTuYojH2vpIwns7TMZ
zrxEvaP96Ya+X6bXn8C0nbrEWQEWwXrDf7qhmnLB++uEd/eIuKPMAcoTigFoQ2g6VXz++Hx/8/Rw
JxGaOYFrmmTS/Hqw0cpTAH9Jf2g1r7yz6cRvZaagf1JtUBRL+eXj4609pvdLAC4r2j4sdTy25ruX
onH0PGOI1Rz0rlsIZBs9h1RvTGRiY0tE1+GiFcsnWjkEb2l5TAWN1vg0wzsC+oEjLKeragbnOs7E
2+D2wxvaj9HepCq22Du62im2Zfv88Y/+7R1xXTRLrMzQeN59uc3KpbmT+u2BVD4oF2x8d7FX1pdB
Ynf3Hx/qdw+967tr6Uh6QOC+OxRSfZQvnBLlUB+fDVMY50FA08VDSIYNjNXL1Brdw8cH/c35WdwO
0wtQR7qes/6on544ZMldYa5MvAlCB9vBOj7P4NoONXrw08eH+s37Zdm0VlwOZlEqv7/9KX4uEoUb
uE4qRYLg5vkJKK6/He1O3AzSmI+mBRYvdAZUgwr/3R8e+N+dK0cPKNJRk/kBW4Gfz3XQF09pnqwP
lc08vwJUcDLmNrgesia4+vhcf/eou4ZtYzigrfofpS0FursultUBUKi4mGpLXAh34dvs64v1mJjE
eICfW8SFRnfwD7f0N9eZxpphusjpKHXtd89R5xfl4ii3PWSdPu4tds+3aTdbXTh5ROflBG2jM1Dm
RF+qJ/ee0RbV1sen/7tHmSGCg58QGfd/3OpF+DGcRqc92KnuHhI8P0clY33bZOKmSjSGWaVZ/qmm
+83tZcVEQcj2DEXye+04/W1L7wSLZwJG8IpYJyo6z+yqNMrw4+w+PsP1Ir4rZ2iL02mnfHTxNL1b
PFt2SH6h8L111GpXRIE+jOKPVepvDoJAmmeVDAE0zOa7qrgKrN7BNcqKkExkLhntShHXEtheH5/M
b66cSUgBSzOuLSxi74rhUiyj1mqqPcDUtB+LTIBCaFt9CqF1YtD4+GC/eTVMvqXsqRg3sCV5d1J9
owjZnGR/oEI391UKlTgKdCraxfWrS+C52qd4gEAd4ppmDvLvScmnv2/PL8rq/7xpJoMR6Pmrt4AV
4NcFQMv5/sqp7g9l4dLdHm0cy3z1Pj7Ib559gBvMiT0Erf/5DQ805t+TDp+v0xwew4WiYUkmgM9S
ZTtRAE/eZBiR/1C8/OZjzrseIHZfdfjW+w0UCTwTbGkkMJqs7ce6mDVwHVN370MvO+Qubo2Pz/JH
Esq7F8BiJ4vAnq9H8Peo56cPR4KutiIsrDnkFqCzw8pn6wCcaOn3NRf3gYWBqc0QBOphaf34U1Cr
ADlA1ox4oPEZfW9tA2RzbrIL6EEm7rVWWgQHqfTNsTNq/8KRCnZ9Az1f+l1gba2V3kUGlcAKl7ZP
H5/Ob94AW6cYwipgODoOxV+fDMvVhbRrvaFJrEE6a0soIl6HVlPmxnj9j4+1Lox8GEzuFXvPX48F
EheWpllQ3BLBjnBFwd7r0V4Eay/inx8qQOXMs+5xyPcdllnvJEOTuTz86HgIIPIkOfhaZMdp/oev
zg+D0K8PBNZKLAarcce1qGJ+Pa0KfqPSp5iXa0rYUUvXUvQLXKzmfam/1Ci2nMjunWa5liXGKhQ5
CAz1tCjvhEZucljynH2a/XE5Sa+tHsg1McYtt4TsdZq4bx9fGHNd0t79WtYgKm38pSx67rub0Nmz
cOaUhkilAAG0ympfSw8qRCvobG9whidvg57299KBO8rsL9bCpjeXG9rh3XWOlJhYM13e9I0swspj
L9KUwxilwFIu3Gz0b5RfT3s9U0PUx251qdxs2Hx8CsZ/7qjZYPKFp6Bhs/kf5YwBLouC1a8P6PaA
gAJGa4FrCSIES52NPcvPlYaoIiK2GnpsYqC2zJfjH34EF+2XK0nTgnrOdHXHwVfrcOvfLap+3cwt
vObm4MkehELed0l6rZDJGiFwmW2Wa8O1x+q0WaR6hL1FaJ7TZ+hUpzT7bhbN49SvbFPacfJuYIDF
y5DLCHzEdPBBDKFtSd1LWyL0q/tIWzLGAomz15TzpuDfxel4SfMmAolxCwLmtZ7TB0CKPF7WdEyq
YJ+RiLyB/upt3LiGvVNc6nUZkn8RYr9EWdMexi7d2ilpq0Z/Stx8L9r5QZ+qcAxeTCITNTD2dZHf
zGq8VF6wHJvlB5vpuSczGwbp9UwTI4/c2j3CNvBIPR9opczHpe8eQfcganJDiLwnAYEtCXqyP/SQ
OepWgkwCEn0cRfVtwHypV/3eFvmxdojH9sZna81RyKiGaV6kJe5K8NkyR2LtQ2sg/OCwIIqcnOqg
o8XYgsnaiGBEfZVLKxS28zIYDBTaJbi3ybIs6k9Wom0KtktLCcmkScVVBov1UC/aaXbSW7sPUMaV
9XMNxWhC4w57A5FgdzPjxKTf/ZmWRtSa+g5ydiHjrxkJuJDM77t5PKa2edV6y87orkmKuMTq+TzN
NFiwEw9xqTa9KvZaHmxnlKnMrXEIxBDX5stem4poIX5BSXSYQCmy7la1l0LHLup+JVUOoY8HFbtG
dTt/tQkNwp8L6sBtzQu31b/5w/fFBHPHHIkFNYJ/sEe8wmTJOcJr3rprkEYAUwEO2GNrGNDBaPEu
qj+bZeOxuSygBhm3JaklXpl1eLWTe7NDYuyTTZ3iAtNrMgI7EKS6tYRJMXJd5/Eak8jDikOBJPgw
9AIbRxsRT3aslmUnXPyhSbmD4OGjQIyvvB7+pnAfSKf+aqaIF3IPua6W2HvPIUrNzdFCi2dNNzfB
NDGcnPUXp2qurJm8ERKK93Z7JfpLldCk1YIwIMVZy7UjbZ8wtZzTIizUOHxma/cyke7ZYraPsnki
+ie/6HownUR17sbgwZN6GOf2nT+h3NbQOAWrMKIoJgJKiQqFz7K1rP7ZLpovzCLORK9c1sj0Jcr4
jWtWl0jW0WHYAC5XqpNRgQuZ0od86e50Vd1A5v+yGAiDqLlCGX/rebna3tgaknf7S2YUl7ZTRO2Y
P+b655qQS8Jn0AxO+zkbgWzXBy0QyKi5UxlIqqpLvwtfHGNoe5Cpv6bwIcy4j6qeizCRjY7hVxtH
RpupfznMwykdxkPixsem6HtcG2V/OeYp0lN5xlf0ACeacBvnHo004iqU3t66gsDUYH+wpg1wjPG2
5qu4qYhwkq06NrofmWC+ats/6vRk4WzeIqUP2664LFlHQFATyALXIhrHsX225lQyeieEuwrFRNuR
qrkdul0ft+cydZ7N2t0Qhr6t0YDMdXuLkArRvZv7UTeXcEStrXBbyYy/AYfmrzRgKBkM2ckndd27
0suqsJvJ5OjbtxEXzqMvCPLx7V2nB68QFE/Qgm470dzQzcTrp4UYUhT8+ISs8tHb1yjgilqe6nmp
wkSyBJFQfw0QHNsxBoJKM+6DhRBPhJR9mxwAEzK0HHmikMYtglG1nDZZm97oxVc44KHfjp8F2A0x
TDezhEdZeZ9zltUYEnY8N1+ahQKgSZY4goQK7Zgwgidn8YzjbNoxWuPmsiUNAVuiU++CDuRNUcGv
2VgVylS9FOI+GXtkL+tU/DpP2ECHs0C+EfYL7dt9p2Tz5jCv1aIGl0UkvUDx6kMWHZbcu4iDwnsw
bEm8xsDpLTaCD62bDjFm7+3UkeYJ0bcpMasn2le/jdHXyrwcvyEsxFFUEzvWQHkkoHebThBS5yJA
KuomJl3VYXnVUcQcnRxKmSwa3PWgb7fNPLb3ztIDH+UNsdpAx8Cii2pjM4h64BUtXaBRqXs0IQme
O19DWI4rxT/GLLPXSdqVB5OoJVQddYyVCn7P5xmiHBpwHJmH1CElyjHBB/qBZDHUC8JoT05WBvdZ
Z8XXdSlKShe7brZwdvw2bGXr7GRLYsVWW3I7ygfURhvyjeS5Kdlo0YiOx9egswp9N45OGk6QX0Uz
OW/zwsERH1fzcz+RIyDyTkN0y3Z6j0YkLTd+j2KhViK/pYFSSvrz4zNldPXFmOR0ZNxinYBotI9B
MjJXdwZ5doFTMzk3i5Z7pNLXyo7vhMcLD2sDNCrqGHtHnAR8+1wzpmsBDWKDFChASkq68rixAxFY
UZmVzS7VdQG6IStWthCZDo3efNK6WpwyNnNPqDiQo/ZxxlQ/bo6aBRavrgiqmIMKFmPdSP8Z/wRe
PbGuPaS00TIcP5MeWxA8ohHBYjlf8350djFYqgPJzPRmHP/OnppXT+L0r9kU3JHp1N87uWdhMqAf
OZi4lzakG49X1aDbxSbRrXQrDJfPWd+Zb3SvxE26qmtmguAvmOqYx6Rz8wdDwya10NQ86XG6dav8
fonHPBrQsFwwuusRK5DwFdU5DgfXWNS2CXx3m4l4SUPYXR0XyQ2ylHyFfN7FRoclB/EaMQQpk81N
gpZ62Ep9akGNefiLQn/WZYzDAa4++xk0IJr/NnVZQdfL9ndoJ4C0TzEASWROISjMKiqWMjkNS6dH
npeO5zS1LEngJ9ydBH3CcVkMNHRzp/uXlm1qsO4hhhij47+MKqdur/0hqtthECHPuHGsKAJRroyW
9ujjkJJLvDz109zupykzvmXQpb/HiZM8aFgA35buJtY8uBqSInpvBEOyI0glv56WuD15NbgmFgyZ
eSHNryZ03I5/JyQ4AuzK4pKp9gpdq/7W9tl0qJEUXihqZBhmZUI5pJnbsVRkvbTTcmGPoLOD3mFH
pFqD2lGO5jd3qHSyG8gKEfokd05tPgndYmCq1R1z6X6SSLrGFNtc4dkqRT/Scrmaph2oSTrvIVba
8EQSCpv92nVGCBtOXe3opIyHSZrzF9+bahEuExvbQuldufXaEcdplfPl6ZLZup4d3642DnLBmzoO
lqchM42DU09mNCHXaT9lVq1R2gKwfDNy3CUlUDncU2P1iMPQv5xg4kLK5lmL7HGZIkRmfRHqSlki
HOtC7oncy7cxRfbBZl97gTRF3GtO6hB75IDM4SE2209ObaUa2NeRAMeiiu1dosuCr7kgGQ4VYzdm
O7bGwQkafbXTh4UqOmmte6cNKJW4z9gPMoIPd83QjvukqOCC0be6I17LehP190kVTJsXu/zGmAr8
XOZdFuoE8XaMgtx2boTF4jt5ENLTBQ8cOVgeIvUquJRy8BHgEefHrxhZzFOri1/dUQTXss3x0TRj
dyFbm7hLNM7DZxclH8we6YYOuSkOILJDNeU6WhwLDiao43AO8B4ZXQ8wZOyGnaeZA1EONufqmHhF
YEbujMq1j90s1y8I28kXhaCkCDsmNXeZGILiM+ELFMueKQ+IFqstD34L6l/O3/AgDWdtKu3jXM4I
vdiV7Blu5zdm6/R7Adf4rjQdta08Lf062/Xy2Kq83HZdjarVLG8Gz34UAIo2uqZUtCB41DdQCGdW
ryamCh6KnDON6bQ+29h/z4PvJBeVNbgh2VpERE/mnB6d2dLxezDOy/HPWvKytfvsvq5WKGYv8DSt
1cI1XOi+uUBt55hb/oITmck0chPSMrlZ7DwLrR6/Q6U1fNmcAAqdrjnZvak8fRcn1nTfN5oPsdQf
t76DnsAzCYCyRwOqYJsw9ETE6d8tXuPOEfMtdGyEyvn3qQeCrJFx24WtqaXZXklMJ4HwrG+QXZOd
Tfwmdsu5y25cA6VmWaUd5qAU/Vw8By2hf5Qoa/TFyda1w8zk+c2i83+cKmzDGKKdce/GCq0kNp7y
NM6L+JoS/UkqNfq5JSrtrmUcrujUoXHLzO1EHRRWSVl/L7XBIHYtdR5QUTqYzowxOY0luXCUQuZq
F2twrIgBqt22IazyZkxa87D4TXM00R1vpiYzL+fA9zYJKp4r8grWR3tYLnvS8vaaaOiUTa1rsEMy
Vuij9SpoCYUQlrFmaYL4GdKrEba62AjnzkGZRyG7XdM3kOa03XLJgvUttQLY4VQrl6JOukOTj/Xr
OCU88F4SEbA6HqUMgo3td+MpoeZkz2mV15RcyZaR4Bz6U5NHrW295aPqn4iJZ2+Cbe1zJkBFydh7
NFoD51iBAYmBgi43KbaBI1QkqtiGML+6DvKDu6BXTkYlo7h2tEOmyEAy0LaeYkoEU4EJYkEIXApP
zEqjw3dfY4iPnblL71BUVHu4dOl5keQ48J9Jz+m80bomP866tcBVXGntTOtCBZKZkBfc9m0s7oDx
YSUqzGncNJWOmkaf/SPPfvOUWmiWpepjKNeduNFUk/dh1hBwX62XSHjFTK8kHyIvg0Dt9QqfR/GZ
rx+rOCluhNgbxUIHaGbjyiyQJgKsqeycCPdocJGxeC2vfoopzRLSR+RX6AejbsYwVh1sbK3X+1sK
nO8umXgv41KzD0n7J0Ic+2evD95oK+CF9lgDDdZfVWBHApL+EusOzE/WhW2dVMutV8hHTcXxLodM
cpMOCyaSNk/mfdJVSN/NegmNwVXR0CNIGeAGIvyU1Vl3RbC1Xdlt467qL31kw7u0KYNdEquwEnl/
tNnknelH7Wc+sBierNnYkWSfPPW+lhznihaAVd2XM3nzo5DtBfvKmZw7cD+BtRqpjFFGXWy/DVmx
1nYT8bYm/6DY3NZVmz1ntetesMO1I6N34wNBDk2EZdPfapj4dxNmpg0hGAGLwSS2ZlWvhWZ/JnOv
h7ggHwMdX2xhOcMF+NYWWqoBPsQwsrzYIPQP6DvEMZ5nzX3IyXMAoaB1OTG4RouttTFgrKFe3taD
5p7zUqahsTSQvyrSkJbMgmcO6fNMGl91PeVO+6Wta3fv1dPd0MTOzsgXfZcOWfU0qGTcK5TfW7NR
910wmcz7W+eRsKLi3CcJTrtCFecEGnlEBGUGIwKoU6sfieHRr/BmjvsUMujBIFpoIys/izqtFRcL
m7wvKrP0nXRzAY0FjkAw+NODbc8BDkoNFH5rpxfofYZtnVov2WronUBxbkupeMKNlftIc7qv8mV1
NvNVNEpaEFLL6qsArs226J1hi0vWvvYBIh6NtPxiYBZ/lDH+NVb08SLuoaIZuQE5YnCSNzUTGuIS
yIkkxioe6dUMr/jBmpsgc7PPJqB1u3PqPXml1qVUsYgQDfYb0wnGC2006uCQ1bSVG3sCUttagntX
LkTOpCNo1cAjk2luIasu+3Rg4pjpB90kmgNbfweonY+urtHx0tKhu+hnqul0jMcdeHNE8hpgVJxd
PSW4BFKtfPwXxM7wcfBR65Eo0wkJLLtwoJUBfC58ANDjREggzJxdpYo8tETQ3k4Fjr02Yy1UVdGD
k6SNFXisPS57mCgvq+aMRX/aFrrPnpkYg3pnyK7baWjNdlqfoOC3KexxP+TFeJ7LLvvkuaN7Sbu+
382utfCcuheYwf06CizVXBuZY1zXVIAHjaru6BfDEJIqGO9ElyS3JXumDQdQRJn5/QYFV09yxOQf
Sg1O3aQT2mSJTkfsvZzKJnvTZ929Kjt7vKmW/GqsKfBHbflqdzIPvao4+1kdINI3ze9NOqbh0NXz
DXl6EEHoln62QP1flg14eKwHgwOdxx0e4tGsT12Tkm1IdpkcsQ7qgAdsoT/VRTFeQ7KHVp+aiP9b
V4ZCT9ShNNa4RVMWN+3Y8N1mHrrRpfFqly1miD62hwtjNDM25l28180s5W0nQDC14+BRGWa+LfPs
S+GoBRoAoysyb9CSexlzcHuU895Z0urrSG21kwjcjobZ5p9U3jSRabLmejrFyoZ2AWFZHZGDL/ZY
YBmuSm0bGyZhZYKYMV+4/q6IXWAts+GiI4mHjTkl8zXqwTc/aedoWDLgfX3qvRVd24Tsm4xDkNr2
/eCw5a3JH4oMeue0W6rcgolSenw+8uXFG7hbRivJCLGz5KEJghMxgjSlPdXslZjkVekv9UNVy5oP
ShMDTrCKC4UsiobOTOYBKbz37hjvZzLajoGduvsmGPtXOSRyq/fTVVN2eFhqHm5nCNobN6mcLzrU
PRM+8WmsvTbM5qkHyj9lF9BBXHjLwosKNzMVcGYxnPq4EXdzIfEoVuwfQ1VOtC7bKSsurRhTUZKk
3xfcWIREawl+WvIlFmB0F3rMiI1eWDvtpAV1Ua+mJcpR4JPFPG5bn5GGqZHumwyCLls+FAcTM8v3
iYr0pJHrtlVLfNYyS95ZZDGQU07zprJ8PRKG13y1YvJQrU4TVAe8eUFKdhihIsr/lKMUQ9zJ6vjk
ESWzd+z2YijS7komirZxOb0ERf8tzXJv5/UMFJTTzxg8A30fEOJ0MY2Na4ODcMdvDD7g6GtJMz7k
pEg/lYR9fXW673kPucDBL34wARtEtN6q0DOX6jlpuiwyLXe46EdIfHBrx09givmEKBI2tya5aIcY
MwLtTpm4e70yiF1d9/JtmjS08tz4NlEsXnGylAfAIfkdX9cpNGFT41wqkjBuMfZsLM9u1iQ93qRC
W7CcI0igYGyK9iWu4BgMncTB3RXpFpttymU15gv4tW+9bRoXvQpIViw7xgaIPq/negoq7EX6ybGC
5KSakkh34C7Brofhr7ND71O1S9lhGBvKaI3vqAPHZmODGR2J2sBEvHXsGc6+AcEo4Qd1rYqEOdNv
K1Fj4GhXGMDZgtzTMq53DUPLo1cUn1KMhHi6KMFTop5CwOFMdQrA3qSEFUfkozofDr99XCoSDKAV
dBA82eAVFjzKZN65si9wuxmDMdOsTo3tkGW39KwYDoPukHCEwc94BWjBYHIjywXZkDCS2XEYdRX7
It4boHiuJgIBQhiR9rasvNBAlBu6XXH2hux1JCNpY9uZPDB7ynZGoOHrcmHzxDrtCTw5l4q8mEOp
7E+9anq6NHjs2Du1D/pogynSJxNGx5BpMGtiMhiWCQqqw06aLPPuO1Sf+rXh83iTa+NMzz3HO04L
dG+4iXUeGGR+rl1CcjYJlbZF2ICZf2uTxNh7sf1Cjni1VUFtbgY8BBB4ivLoacZl0uBlE34NYA78
ZtYND41BX7y0CV4NKiEipyM4swp8+Ty6g+vv5xh/fGvbrL+itp298mLnjrZpEZG42OF+Kocz1hRC
DeNs3qWmnb7Q6ydTSfWYhDsxtkw5YrH1AsGUzc+yK238f9Sdx47sSJqlX2VQexaMykguatGuZWh1
Y0NEXEHSSKMy6qefz6tqWkyjF71oYGaTKFRm3oxwJ02c/5zvNOGem9awkZz4Tj1P6ZmTQXWo6iA6
GC+x1m0nvZPWi+AM27mvSApIzJCqz20qzdUfpuAhihJm92PEU1jdIv2UV9U7aXhluU45u4QG3Mcl
zuQDSRgKnlIUHR+0ze0s5p/NNIBCCMAQfVGV2VZkMCcvhEuinWfRucDLxZxAoMLgQ1GwydqH0pnY
MKD8HDvODae4T8yVzZrhXRgHZ7Db9Y3nYAVUM+b6WFqRA0mjQd9pfBN/LEFaHVUwiGNYJfabjca0
ozJniDhJpKCzlgFEO87z8bONMZurrO52Nn1JW8rR6LW2DCU4VRmod7Bk7bPdEpxP+pYzd6FGIoUT
Kxnt14vVSnJ6dI2tElVmX0k182e38ob9nMNkukoMERsaTaafXUqGXjYp1T3zbSAVV8t4v1hW+1jF
uXMu4rJ+UTQkcpogvjlbTBK2TSqHcy7JvK4T1fX5JliAPK8WskS/xgyEAqR3/S20rKJ1Kif1MMwp
ijwhO6B+NHRxCAibSl1M2GH8yps+TKnQyJx3LxuaP4Za6W4N9r88OypkY55o+yFsWTrxQzlmPVsv
N24gERjFr21QWs7aHn15aBoR/JozwhQL6+KfZK6S8Mw5TB4AH7CvTpadxiBAQMmu/bwtz7UsfZQi
YzUvVpJ6b1Ghu5+C9CxqYZwQv6067DIjS9Vnb8SwWfTAj9srK7skPdbf3AvctyLKmz+3gPMnX3Kw
YqQatdvRsTxarVRdbzCrgJqIZFdALHctHKH4zMOd4UqHfg+3JE5d57kuWnM3UyWo2Rkz2teI4HnX
1GhsC6PoDOclD5F8k/a3hAiM9lc67/DON5UmsuH9/eciLuavTa2E2nHAbH7QJO0DwsgH/lpTR3Yj
J/KbkLOn57CLr36ftsgjURof5imYXqvYKcR+1HN0Uu2yNCtH9nlzhdgi6CszU2YAnY5456j9AmSi
ccxkA2yA50HVub3zNFVVWjHf3wyVWzwzq0zyYxHGEBg6BrDuRjANy9YLkeDVHEceyobDWx/3ym03
xjBtZUNI8c8TtgVMBDznHIymeCYJ3e3rXk/+tgt6PhB4wXykNs7ThON/bXs7nlJg9HgnOFlog4sn
Z3TVr+oEdWMdB0vxjKSRfCDDc4OOrNrb9fYoPisTmBP6udpFWhVvgtaXHCKSNzEPrbp9TID0pxn7
7g7s7nySvuqzc4Tz5w5Blj8+N3g2l5t5JewinlNu9PF1qngw10S18GRHff1DEgC+Rkol14CYxi5u
BnUIY4mjpwyoBLWtRF18MuhmNRAPGbatRHhaq5QLEpnYwRnWNTaEihnjXD0Hmrk+YOB8pjU263ka
k9jHsmJC/mfrxtmlRxp/QxHIwF5k9GSsqLyfviog1C9qpLhbDTG9RHHoWl8WVIkPouwNcVXL4nI3
V5IexByIEmGX8bUVbvveRAgWObHiN+4MIDTcZAJMlEfXqqV/s20KinNLn5DxKjCsVzhoOI/Hzs1A
V9RJv1OpwjhsAMYJGj9ZXllI73gPOsDXiLP5WvUFdna6ABOzgRrG8KCH6pLs+2AUH1SYZeG66DCD
o2DxZEH88N5CFHowUY3LF9HQgryS4P/5MnNQN0NGUgPok4mfMNux7yIG6/uMoMOmGcL0GhVR8RB1
ZVzs7BhddWVREPdz4ftGANXztMXMNqcnvML+m9toHgJGoT8Kp5O/pJuqC0AUBxlyHlkeRIcBvrO8
gP4lbuaM1UE6z8wYBC9PUd0si6peqG/wCz96SVOLRz6IeAKtuuFLKHsmRzvjgTPZDMp3IQw6IU7c
IbL1AY1qfAXdrA7k43lhGRg8Jxk+jgLW1ifbQnxNKfh8nv2gecmjMDWnzDfBLy47tFpVQ8e7QTck
q1LiLhZ5BQuiUtrhrN5zjk7UrqKgigQ1OuJHMdOcdgyq2jFH+KZQ5EXayE1IjxWspLlXB+qnEpwo
vB96PTLioDeeRztnenWHD6Xbz36V76q6YNXN5+SD6RQfZ2A7c3k/mnDm0JECJhFMjG7lYHiYerzI
f+isq5xtFQ8s97J2eYQbdXu/u5qLzl14S/yUs8l3N18jdDdTls7WzkfWe/4j/KFkbt8LN0IWHiOn
fe7cmfC3ilW3o0TQfSvZAHbRMk0X4ccJNetV/VRmJRXRi91NWw717EC55G+jOIu9o0oAdSJs+QyI
gDyYIL41KBdtkXGFTCUiKrr6TaHiS5p0QatzmXIZarUmhD47Shb3aTcN+6ZrqiMUgeoYVZY4kVPm
u2CTq+WaLxiRO2iNu/Mn/rpJodNyoRdZfE+0mTUyW1zWOT+uWEREY7lvXCkFXWcYe/zESp9anu/7
Zsrj60hScdul/nCgV4dh2cSZGnzlwoc0U2TSnYOhMlRTlSVKK/zD2DpB6CnmVVXxwDlU53rrYVbD
3nGYuW7KvOGwLVBJ9ynjGhw4/RKuFEApGumDEJcvgSySLl3fvEy1zbtYtjK6H2po6nwO8hA3kbXO
Xd02m7GFcrDyjX+qmCcwsQ9xmDp27b94PN373Fg64VxW+V8FGwqnZHtpDnUyXpXGNHVhFMqW1Uny
JqWHEZzDgzpQgeIeejX5OJR8HpWBCS0YMyYfGLvYL0Q6j6+e6CTnxpZNyg9drO7uXDxz0LLUimMP
D2+nImaUaR066XoMCjZMTocO5R85oLdmoECnTjFFpMaQ6FKT/YBGdd/bHgeWUthw4NgbLGsiDVNP
1qnvR3NCmuC38VM3BulOavQwFQ1HQB0MrPEDy/9jz+VoQKKejDiriO/uboltAjSwQ2pvO012Zl1x
HlQFd5aaSbtqFv8f5v//gcT1f4Wl+Q/smhfoif+5ZOz20/y/1h92a936Vz/2rcnsf/0uyW3OtwK0
v/3l80t/Zzi2//H/HX/97S/O7V/4J7nmVvVBdDokMgGFBnvE/0ljO86NaePe0DHCI1l3s9r/GzbY
IXKN2/n2DxA08DGdmqrv0r/9xbJJcQeE1G7xOCzttxT3fyOQbft/d4f/m2UUuIXr+x5+y8DxbAZm
wf9lXOfmatGABcGOpZoWzFTrEmHG0Ww/jslKpgVIHSA77FYmf0xrT+/c9jVHyDGzk5E41xiMvyZX
zd0e9EPSIOowZMAxNWThb7/svQyqtuYUdUfFNiwsixl39ZZF3ImRE5JoOi5KSfvT4akuHjQl8i3a
NZcabIKz4NaVu8kxskoe/xi3ABTFzOKwR8Bn6be6Hz88dO95t1icG3ZhUqD+r2ad63ndOspuOSN1
k3vrjIpEe4ZlK71NTffYBJMhoYjsMdamZE6TWZalt6KRSbjtUbvlIUiDMt9L4FEr222ST3THbFXB
+blm3ZC+LJY9nFNfmOepDTsmWNn00VBKdYKqFfKDmf65NUu9y+Lqh1dDCtN9+QszLm6P2R7PIx/u
qpu9bgMAp/kKBB8x893lGOMkIeMytnufWdZViP7eQpLn2+hniGO3lt4oNds8nbwDR6z+bExebjLh
/pi7jKlNjYOh1CZ4cLSIt8oT36Us+k0smv5GLvW3c+q+R8EynF1fDqfUE+WfdPK7E+UI7h4kBJaw
CKZKY2o6igj1rtIm6D582jq5AtCJrComQ9j9SKW5AzPryuvwPkvyVmvV1Q2wCytkzX+dZD3Qk0i5
PLpGW4uqfbTMskQ/xjTMzTnKDf/KqsQSwvLeMgjD5scv33r4IDq3VDAA22S4VwPONgpVz/TyOOOh
zUG53FG7+FA2N4hjKPs63pYybylz6QFSk5PIEc8jj0OdUzaOBJkWA9KbupdcyhqLm8BzFLbWrWAd
plDQLlulc4rg2mZbRkPTrVSCk5y6GI9+hrAdwugpo5lK7hj491eDfrKZYmdkhlyWAaDpsHGf07R1
wlXv98MPOlhDphNcl+LTolJXXU3S3FKlhhv+xS6C71SkwsPRQ03Zyb9hVFaj236agkem4j4ZQH6d
RlyfSUhsLtZLfSjC8tHBeovgW3e/F7/zjzlE8jcS+LcD4mw/lD7aPrIFVRwSVlFU2vqsQ3BKjmgD
hBj4KM2mgEWz6xMrQMNwMW38NIxkSVbnqVHsYmhUdMlT2jkEnD7BWhEUn6dcRscwBh3zINn0qM+0
HWaU4EEuHuhdl6l4wzxv76nut2voHBmQFWBXNu67xR9XfZgQF9a55mgdbCyko5M1z3H5nTDpagFN
ehwcAvQ8CcWy9JtzEUjTbjJc6xMlbP6ofg6AlKK16IM7Tv9Wvm7Z26HLsHOWa/Z29EuIE58QpdNs
U83Bz6xyQFAbsJ/0fnMRWQzfaRo2MlrXSUPNGlkJ/92Dbunxe5a7Me/F9zCX6KircWjRa7rZnX6x
FtTBql0CamTCrsWhoAp6GHeJnrCfJQNmSvxo7sCpOcoaxTNhlk06lmn7PRRDjIkbWwv+2yFW3GSs
BdglQqdfbdgx4uhARA5yettaDYQ+UMgJIbBLV9r2Iy8vd4iZWQ4U+H5fJ5naAwVZfsxeizumk6O1
DgZcBMKly08V0bp3GcuYxhNH6g41Q5VxeYXQdM+NxFA7W5u9A+cLrnbxu6yD+UyBp7UDvROcuRcz
CdMUvXhNZv0M+8xn4UzoCTY3H9LR9voZD6W9UH4dNManRqr/naMKbWxse58EMd6NhccMGhNDw6aq
dvT2BWeb2sd5wXcYEXghs+//GrHnXAcSxivgsNhU7dF7H0XbrUowDYQLUhQPIMLgCquJKiSX49RF
ymChwQecQVGK31FWpU+st/ElChdoXPFkc3eFbMasUfj7QGp5xGUMRbcGM45VtNpZIlg+PZqFio2K
Y3VRDKyO9C7kj2HrlSfF5BRPzJ+p0Xm3CsI4PMkwrpCXmuU0Tn23Y5DqPOVL2H80shr3rLThETUk
OYVDHb+6U5FsfZZBgNGpNx5t2tHvM7YYJnOjTZle6fhIgj4M07mMmCxn4wPds5juvWbvIU4wHGxc
DntZecg5qV9qK8/R5hmCuaPkQ6TV0fCTBPIyDd05y4rgDjnjpYyRHTduExlv6y3+nzCdnny/9I4K
T9a+VfElnYcNpkg+i+qmhDpftd2vbWkeYElKQLMzV5BSPJNB3iJ7POqpOSdwUCFKT/TxzePZydxl
h/YEY9TtDgqK986fuxunHnM1nTq7zsGxgtpP+7A3Pzl4G1dzLjeIiZi4RXD0bFiwfP5IYh5RIMU4
dz2DKKPgLkiuUxyKHbs+q0VaxCfJBXqdeFbyTeihPy3L4uz9GXxaOgTV1S7sQ1Bpf60j7gCFP/9M
hmR8DMfl2GbpS2tm7JCWc+/j9CWIO770aB6YWiw5Mj9Llz1g5D/VUD3mNUwog7micz9N224SlZ5M
VVOhSK+AmsLNtKTvyc0B3Yv7rLUZXSs2aUZxLskZRvAu2LVWPaVBc4nUeEpDWtsx9TDl7Ks3Z/QP
qcS/ZyxgF3QZndDTzwqs03HKaxRcGMXz3qmWV67e9iqsZr3zA/Egx5DfZdpFlUt8ZJbsvG37Q7q4
ktQ0yI3fzeOMLkCAIpNpzrrkiac0jyPu7I2P2pvN2LWaBE2D6ve165mZ0AIaA655pA6zqaegdXdR
nXXpcckG+r5A07vFujWy+IIwf18zYtnKVE/MLbg/hoOhsrRfeA2pAk1/OiN5jgbQheiuNir3qsEN
BouNurR1qud8l0W2zWKdi3O6xPo9HEN6mgXQurldMFksTaAzuecNqnf2rN1jOHceWzqiillo8eKU
UfcnJ6qWH21JFoP5WFRs2swEO7zO1qMFXwNVlEQZ9NpOabknVzp9DfMcamuFTspBcqEKoVkraKwJ
GnLmXuHuDcH7kMgGLF03AAPMBpM8CKfr7hfjSMKnmXvftz7DMkyKNjDgucnlKsXQfxwjWl0pbgyq
o3Ht5YELn3dXpw3svNzNt8tEp+iQ5D2REr50R+MJwxo5bzA5eVsCkeK+pmgArq4H/VSrdjN6Q/+G
+lQ8jnP+2DKvgEAvlvXs8uwunPb3g1PPZ3/wMY/4/VNmTT8aikgeQ47ga4/OWY6A08XrG0ZXNAH4
2Pi6clfU+jkxige6s5k8qfZNyKnd0Gh8ccSS7icv1VtTeRjOxiC559QiGOaVd6MR433CC72uGCqK
zOXTj5ffibSIi9npKQ2GBIQBXCHM4Uaq8QvoGeqByaPtKJbuOFXNvIkdNs7VOI3lC18rfOW0Nxcr
iX5OYCZ3Q1Pnh8r477Vl2juuQO5xZDYNxq58tgUPakDnd7rNa9NuvYrVFfBhhy1o8TK95a1NL6HP
frIefEh2xTS4DyiFy/PoL/nJRaHczA4dB/ZMS62ckuPgspf42Ty/6Ckt3+24jvejDPQaSyjenzqL
drTJ+fTdWmyuUfdr7N1HuhrqD800C/eB+HQ7O8RIIfQjGRVIzXpKfkbKiS5VuIgP6gL2TE05+zGE
/MioHV0nZRI+LVP5LLJSfyCm/rJoDWFqm66pdph/CDPs8KFlhyLR3neFoHy62Sefut5utyUNR991
FwTfFf6gezBF3iuDYgOxMw4UJxUmYzQ6F+tEVkTIxFKcaWkF8ucNUf/Hn61551t62Oe2MHurC9jT
HGPtpdMEn4g3AKAbQPiJFCPH+Kyxtq5XvMz09q7DoqKpbRiPRdY7e+wINEWKkMaJ0LEwXU7lJ3le
xoYzzXQ5oSkEGoEVyfE0jUyz+JEx2NoJWTCJDsv3AWPrfnIJwFphta/GNLhhOuetKmR77L1b2CBg
WJzFSwwOZ1mwFgXVfjE2/oohAzgJ6jNgRYra+DzF9rCvwfE9Rn2HeBiSOaMCGGdJJZaHXDKBmb0+
O1mZlb8ueTqss0T6lHIETylZpBPddAbIYfyYzsLdVGlnbyaMF6sxSP3zxEEeVXPZDpnVHEWQb1Wv
6o+sFfYj5aEvrtAkz9zkmoBiXeWSOpeQu+bB7UIqny3X39YoNtD+k+jLNynvW9j/CL0pfaC3TZ7r
xXaebeOmF4+tY51DgdnILGkRJ+fXuIpO+ViQYCFQ86Q4Iu0SSzA8tqeCjB0owaloyWUlfpRtZkqx
X+iaTL1t3tvmFluZvZ3tceGb2Wh+qbLKtxxts4eKVNET13RulzEj0TuZNz8VFKw185C6X/lhmpwb
gEgXchjiRO7BrLjCkBhboCOOs1WzgnjLQzbMw9nyR6R/u3ka6D5bd7fakzDxkQEs7d/lTZFcQ0X0
LuGSxf5IRVfsNRUhtCw6NLPh0xiBqmdOZ3Yqr2lHuJ1/gK9UGG3qnyKIeUMbe5PlkbtqmGi7q5jX
84iJm6KIuhFYl82bmm4ZojThHtqNNXfvujrMhZexEWHRXPuT97tJyg8lUud1SVuKQBtc+jmjlW++
L/9kkXbmopx9GC79HzzOxK2SjP6uIt0pTUU6Casal9oi9RGua7HVCAXtBrNFMnEdjNWmaCOBMVhA
T/XTCfRiPLknL1dwyl3cb0KqSzLQAxP78dVzxJPjMEdXwsru+jSkNX3Y2HgZjnUUXkm79eupCef1
mOd8UmX0SG92hNFxiLcLTRHoJJpdH7VU0qR0tocUqrZabtrdUSTF56A9mIxNZ8z9IKI3i4ogxPYU
DwXH2HMcxTUIzCUsxuJnClmIYE3XX0MTyIODWPDJzGpc03tWbSa97K05Otd9Wz9bUmXfw2137txp
21t1/myS+VLIoL7EtpXvEoYRL02QvyAcmTfc4ON9zz6wmfvB/cX94CusrTs8NT9LKo2/xsm0F3pg
iHm5igqPKkGjtgWJNMuiXsB1lvAEC31rych6xwGd7YPQkV/Klj6FUmjmcGAuxZAixEKuo0xzcRPO
9m57GLvBpiPK+3TpUV71XvchvekXj0jMa+FW97VxrP0Uj+KSldUlYDi3rcAC7Pyu8P54sTe+SESd
VaSGkIntEEDuT0jh0Ey+SrJ8OnSW+3PQuJVWoTbYaBoc4hDm9es05Mj/uFwflKm7I1c2uWHjpfag
x5sHDdkHJZiEpwIVZWtRtbqO/AKIp/ZteMTC2viYDNnH4A3Vkd28NljU1tYEMasox+XR8bziRAce
N2DxZ5mCdBfZItlVgvdhUyvLPNfz8kvFOHJDejQxSoj2WlqavTJsNL5Qp9y2lj+tKH83+0o0mArn
YTo7N0tR0ix3sBcvlJi/czziUO5pc1dXtT52RetdCsgJ66osQEoH2KE/y4wLcFSnf6aZvRy4arMx
CM6XTmGBDOIouDD3wxtez1uRYhnFa77q24X6Wxx82D2jgE3X1ejx5fRVdPZ0ByG2OECW0ptGLx8E
bpadO/fBJVuU5j/teL+p27PWQlveIyjRibfHJVeXYPclvot1huvvCf3Vec6Iye+MA4F/ELd7nbuQ
Ae1D7oQNTsp9k4UUvlis8QH3jK0XBo9YgdIN4PZb70hIC2m8NEeQf1SldBG57cz5gwIVcoVQz8bB
61KMIBJF4xCtSMvpkSyUvUHd/OMMKjqXgysP2gm6g2PDbyNPkWBlaR+ko0hLzo5gjJURKgiNPo2c
n+6wudBCMRtFHbhE7jgSwRk3HoomZu+OFpPBZbg+lf0j1VEYqjSFxXFN0QRFRgYAbsjpCGt/vFnc
OcCuTNUS3sdXNmg6Zqx52ZZxF4CNrQ1egFKs29SiEYAGJ6cexZnxWnVMnNFlgO5js9LHOg3V2U6m
et/ij0Q9DTg7sj5wt+9CtZkx5G3DnCplNaEseTC19m5jpk3u1PYWi63Zat+8Vsn0Nicoi8iLzie1
Tt9FJe8dfcuuAuR5w49vbs8Wcz876zH0OuSa6JbLpfdbsMsCu6C7aISGt4PIRdc8mARsJGNzcuIu
u8QuCby6VMFDTpq0r7Aqm2Qaj8BFZhCNMwqil35NtLm5J+7sXXwmAALLfGhMWu1zqfPhwmR1emag
6/u7vIdm+xAnKPEEkGKBiXFw8DMZABnzPVVc6oJjmU9Wxi5xgRxHfYxuFg3pW8MQf5XHcUo8gWF7
+TEx2eMGLSbCpgxowo9xMRWxDkTc98Ie65ds4HlbNWVtTUdQ4Lw7bVID4GVAw50wTG0xmZVxDVbW
mHQ098pwnHEE65olz4iCW8o4q+damMT+zTg7tB4DOY4W3onKsdj0YJAwMnQZLz12g+DCrRq3XzZ2
FPf11R1bxzk1dhNxbYw6Oz3Xs+8Sz7JbIiQsmvZyspR0hs2Y4CI+eXDYBd4lqaeLlqJ3qeuKnftO
BfMfOMAAvcdBNOVmMh3qZ4a0/IDyHx0Ck80H+ile9EKAfpglxzR9jfvgtWD8vTYFAlwyFu1Tmfin
xrO/Y6ecMU7b3XbQuVmJKfiFG3Z540HAEZBrtZdimh0OdcX8bhviwrlC6tBWNO3MxEB76+Sa7qoy
rHE94Ngtcaot5e1YjjcLcgGR6ylu2u4RZzkGn7mdAuxmCMlgQIbyKUNAUuQ3ykI/ly3Re4EgtM4N
sqVpE/2e9yHwCz3W/XWsF8YSqU1elaYdk+bDunAWa8vWCcFhGN4Lpli6CeKvNsy9J8x1/lNtzyUW
PpiZDkdE2cjyR+cpzhad/zwlNdeCWyCHRcnReya25YPu0vqYR1aA3Ilk/rbQQHh069DfNXQNfThA
qP+4cdnsA4fZ/8rFU7T2q/ijUN28TToc8e6QkDUm0XbENK/+RG1PiiFlxQiZGVTGvoZTizHdn0b7
F2xThyVkqf35S8tZOwedDYWz5Sje+Ae3h+G856GP1FuWGayYWcdQ8Zil2m7h8NdN654nBzf+Vvp2
jK89a3C0AeCkeQhXaYWIW3oOPy4sdrWNMhaEVUkHYLUjPkxUs6LksXzJPb+d0NTyjF2VWqlc95jZ
u2bGE3RIUo1pEGkmGMdL2MDlxh6pV1hJ9I4oYkoHXbxsQUy+T2n1gDR9SmYxU2eCqySYq/ZgLyi1
WqjwWDJS4soOY34ZZ3FiRpFBzsuY7Xo+9fXQK/ydmyBj+6x2OMvzG906vEaDUHfMO+jUSYMfSdve
F4HvUWkw6b0zeskux5NyENVk3ZNAqAj5V1CjVEjtO6s7k3JpD82RYoQQopTRzrnEl/YJ0yr4oOol
uDS2l23txR0/0yZMTxMSKcaEFFXWZy5x6fRS7ZI+Cg8hLtMTfhvd78a6a2u+n4yqWaom0y0eXaqW
MEkQq2xJsWyDVDhq7dyGyH6cPzFQ/1yS2H5mMHDRtn0cSbn0mALS8c/SthOEGo7lTOPzNUfwcjs4
Ml4XpjPBGnuYs2b/rO8H2rEL2BJ4zWqUqh2hanrkAo9qxpWD5POOP8OHsmoh42KfGX7Ixvw2FRpz
0XbyUrvgO3ia1IZTSoJg6FTXblq676EO77uRCxd+p27HCT06KjFNpzBLyYUn2nlMK/eOBkRr32KZ
D4fsrskNI3EZnW0ZE5/xhGruo3BIrn93+44mGtdtHrU2ZLeaPoqBdvSym7OVxRb9YgXxHdMONkUu
049NwFMpEAGfXE9dJf12w+KfMsZ5re3yzNtp+aOxqgbxOfjCXkywFDrTKo1U8oR1Rx5QAdJHUBjV
Nho8Zy8nB/U25YeOogprRJR/14s6Qib5KjHJsl+gULqggVaoAXGXPOpaTD9Zb/X70AbEHJcm3kkx
33uW8cnldaFeWygEoPdzVCRX2OOhr1sf53mEn0jEWh2d0XYPLlaczbzkzguq7O9RJq/aF4y/eO8u
PlajQ5CMC3bMpVtFOrqTlDk/JDXf4Sq7nRVgybZHgNfhsZmYNeFoajdFg/efak9MHJ1r3fU2pRG2
XevzZDUjGQfWZ17o0HoGBto8DwMlfppDLPTgYRcy21yldm5vrNpZjklBxNYOdHUs++C9VC4xijmk
5gRf+1VbDpdAIj6F45nvpO24s/bJXXD7UFu7DbZc4NRGaJrzMk5ztbY+WnDPhyHuOb6p6i0ForDO
Q5vOKHv8GtUtt2dxcsfLgXEKDApzTrfU16Sr5YbSkZ9l4DOkAZf3UobsBS4JF+mDOV5svRwpXd/x
CyJHS/V3qeyuFDnacTlv5TRan4EHcaRm0cKQ72uyE3gMN1ja05fBYxcjzDsM7d1sOCYl2FJiedao
/fFn2w6xv22jILbPeUeB/TDYHvsu2eRbSeW0tyb3LMaaq0dUc9ptvFGeZKyd7JXBR6rWecRF+JDP
Y9VRlIlr6jsOhDw73aK7l78bE/4HHBz/vzHzodX91w6Nf2n1bwzK/96iwT//D4OGB/nedbFhYH6Q
Hj4IOFAjXdB/+4vn/tXzAt8H6iklHHcfU8c/DRqe/VdeSRsnXYiHD+YeGK5/+jPc8K+hJzwEaPhb
nguV779lz8DV8R84VHzTQNZhvJMugzn5nxnrrTQd0UZylGELMCihc3fjsfts6yUN1h5F7Wu/cRnM
4O1+dUcd7mG7flJ5tCGXcE2tXMLHfOOudkzm+t2d5cmgCQXVvOGuc+hal+lQcxhHtk1mnt6OaOSq
TUr9llsmPeOGPOJQXRlN16nbtpKjZ1Z8ujoClZGYXVAsj7GsYyIprnOacvsqpuSLyaCzpfhhhb2q
XxHLUiu8wd8J3bMrZjxcZhoaj91UY8sdDnTzRmz25s2awUIxDR6Pja+ch7SlP6JYlqeu8/cMfNQV
CTx8kkr3j6NaFNa2rthy8rAPXF86dOV2awCh3PfVs4mrV4EURHOZeHTyhCkjtkDKPEjXTjF0FZNx
H6YubacY0q5uLrRXI+r7JIY0Eun8ru6ZekErqncLgcVvM4idlLY6DkFPNw7mjrVdxiDSrOw4IvQ2
DpqA7RZQEDhcDw7JLIS7HbFEyiJBYOynENAlE5X+zBYGeCV8NZ61HQOEu9yoV07D7UG7g3070RJB
RWLkgkMQZ7aeTPyjQp8D08DUeWAeJUF0b0Q3H7sluInrv12nH3DnRQ46hE/VT11u8OQAW+n2/uh+
lJp4oZ0uCEJ1QgcLod6prm+5mv7ZyegICUqD4X+q2ldKzGEhWKRaQthKH5YEkWEb8RqF9yJM7+aO
lEVuPsqa0DK52MiOMWTI5AIfrl57mOaomKLgSpVq3c2CntmRrpHFGru3oQjx7BpRknyqP7Xdjd9Q
3UGQWcUrW+ST1UUgO3y1PGiFgxbFndilTNOVPSkCwpZzcaiL2AAf5HOEtQZwIwDNQjwodoaKSlDr
gZPx7zK6ZRCmfF1reaINHLSWYrtr2vwuFrDgsa9v6Dv5VuKtatUbh/pyRXR6+E7LEQ2VEPD/Zu9M
luNGsm37L3eOMvRwTKMD2IqkRFHKCUxSSuj7Hl//FjLvs6Q8GQwrjO+wSpYgwuHH4fCz99o7PL0Y
7uox+KCHQbbPOag4pUS5+M4UDZ9pOnEe6KrzsWZKnpo0fapGoezpy4QPvI2iQwL/eV+rqbXH0Bz8
jEkq5WU8PQtbNcDGNca9ARRq79huvUczjEYWL4MfYnDBGBPMT8LSCYTEvIa6MS20fWCH5CSLOLlx
66n+kepOejdoGOexAO/6IdkPoOHr2b1jy7oiDbLnxdAIxiKTJetML3JCrCtTX33hpY4o3VSzZ2dA
7hLhLz5lWpKQGSmYKFZOnx4il6X0T0Mj6jsrhFg9O3X+aOnzd9dMR1LHy/x6mFp4bLiZjjRsalzI
WcfpV2MvUIHmHsiLWjj1XWxxlJsHevsMkQWhZKjjBHas4iUFEv3Q8p7TgHE09mlEjLBLWqv/sSqw
/BXqX4DYszJk8MPyyIqZHGKN5soetUYCaCYgvbnAUX/I50BHVrX0+jph7OkpjZLpQ1fY4002OsWT
Y4Z8GOBlrc0drVKsqfHIaXAf2AhPJsgF3oBo+TjWzghPK2KtQq9r/qFA8Lvu+RCiMYxfcdz14eIe
rKLJ2QQajfEtDgX+cqfKSHSdzfKIBWU5anMC1SlJsb8pfPVAKCAOurUnFwFaqdKDnNroc97zY4hF
1HaDqiq3djbPkJQChj5OYgsrdz0+TPqw/GgNCC5xNvVXixV33xP0QyvvKhjRcBTuFXGarDBKnX5H
+Y3UDg3TvTYp6+domMacUS52cNcYeXRarJ4cSUW3h88FTq/bFkghQWuo6tjkL86OAwZaC1WpcZvj
shwMCCI3Td/mh4Hfe6XW0fRoLJP9NNXI58zIGn/WLk1iMDxjdJzZr+9Ut5ifwY8pfIDoAAadrqSq
RNI7AEWKPwkDq33V6bvbxlCDU66N+t5UhHtSoqS+WV1OB8KRknvdUsSXMIgyskyBYsVjwca6Gi26
0Mp6coh0L/hW06rldM3Mhj+S0RYfdD3s/DrV2kdSHhCnW0PmBSxxex2rwT7steoU2RFnaFz92BNp
dmVb43S9VGlwAibreA1OjQIIkzaQFpp31s/cTTQcEGnxR8das+xyjajkPLPqZ6Vw2Y/isNjpbcBX
fu/uIsLbdmpV2LedmNq7oCUbYZe7xCKzP9UF/AEOHuhrN9j0+tajhYh1XEcjkLqxBYYgJu60Ls0I
DWCIir1c2tsyXfMOBuCQaun0LyKKl8fQUtPHOAi/cTCjrbHg1U7LBFkYU1mcaNCZh7ZSNKLlSucL
W9b2+6zEyafQEPO10ev6DYh0rm6O8DQRllWn3raqq4jdOLUfp8CeVas6tVWVPShhL07lMoz3Vj0+
WzZmRFe3UIbj09vNtpk/siVyDqQIjN7kIF4sc1a7rBrq27TnICdIyTjmO9fxVdyMJLRD3RCRg4Mu
LY0/UAQx90KawwpNtZOhBC+1COdfZq7lt3zzVkejcR9xUwzPlmKrO9wPp4kgYK3svgYKr+1qdiMe
BnEexXQ1BOpVYwxYGgzwLnV0ChKUfbb43mB9XVAQpAG+Yq34Xk7O9ZSDXIhNome7lsTxQDtUFawl
PDst3w40mPIayYiCiO9kw+GMBpsvec79SqzOd9z8Xlj9l3YuD4E59Qe3t3FMA035ObRL+oSrLPnc
TTOatDZuvwQ2oEBHKT7ks614XaIZd2zv1VPmmPGLmAb3aU46a6dipTyW9uhyxkJUpFUm6jV7iCdz
xXmN7Ldiy+DLszhqzqo4TJwPuRmd8kaAWoJilY6xDvDSPmW28oQXL9hNtfmEQeTrrCroNcPka65M
2q2Fyd+P2WhVvW8EOgCC9kQSRE+fmlA/Q5DiNY/ZqeODUCwcVA11+EupgRJGvJDrAqmg2nOAWkQB
3yekbNsmwXLdkJ9aPpKRbiAFtWuOi0Ref0LQXPmO4rCJSOnScE425pXY1XP9U1C33Vg/TflHbDk+
ANavblwcaeTfqwNe38kOOXVbdUmW17t/TuX81HBWeKxHFxsii/6BBAle5ATkiuoeStjXPhaYUtXh
AewhB7lDdgoLmHvZ5HW1fRQG3S2b1jJ4DeHcoMo6pWRyUrvus7LgztU59qTNxyGlDS6xHghGxOiL
0VhJIG+ZzleijDmXsEFXKMg0IVdqcf6rDnX+cfxYDVDq6DJU9T2N3lNlTb8me37uVWs5mDonr65W
oSsJPUux2lubmIsDp8XVvhja3tdtm5Z2rbueFUMF492nfFE7GuJmOPK6aUPwl9jqZ+vAV7+xM8N0
8RV1sZ4EVKmq7cd9awaPpb7GdXTIyL1utGY6ZMNjEJN1jG+huLZahquoYqD4s3nDYSlMzIgFXUQk
io5okIVWHollRMdcgtwIyvnjrMMYLO2ezVsU3mZOux8VWBc0RH91E5KTUB/sK0zif8WWijUr1LR3
kzby6rCXF5TceBQNp7+r1IQ4qIXvEMMWN66SCL9zQwd1S47nigCZ8mVslI5043y8suCSXnPriz86
vXGFqbnxmqZQaJhpwbMaaChAaLR96KOo2yciJcmbBsABSouyE4iZOLYyFOJ8S9MLs45TtjL64NCF
80lL1B8wUQ93WNGHn03f10/gfKIvkCXbk96pyw05PKiuhS1yUoMwKLrFNH8KBN6Loz6EOTro2t07
abPsK9uBqmQEJhvpKb43x0FctzRt92bDZrTViN3eAYEafo5w4rykL5BD1ctDvWBppwdaaPel25G7
UlXJ9Sg4KiiNINhXNand5PfoL72+pGSR2clDwR6LvLCuuycmtjp2Cq0njnKTR4ej151uZMoXlgDx
R5+mSBpmdvSuY/Y35GwRRK4b0Dnm9FtgsAUGAlj4plMrPpI2rDTdn3lY+ILDtX1faZ9FVXgJYZqE
mc5L/FLG9rVYfiHtpkek/9KBPCOkBE3VE6zp9PktZB6fZvddoLMQp9O4RwfuiYXDe0V86vLhJ7vt
9qrUIuIJzPFrQ0DDCeTxhyh9mLXF12z2U0M5e0gW1jKd0wSGNNYh1Ly0wcRKj3Q5tWsb3qsDMP0P
dp+z/V/QpXT1Q9ZxqHUM3SU72g0ID6uawi9lFnfXY76ExyEpxREf+UMTx0i6TSz5HKWwGQey/WkI
soTkUmGHf6ox1uO+7RbaUwPiIsdO8eHYuXM04iV7jPvI/hArwyerKDPIeIqhmbtGN2qSXs2SnkE3
VbRy6vo7itv26BZqTmuirb+0iksukUEoowdqG4Jd2zfHTsvHnzqQClq4VcA8IILk1lS4NwQSoCaq
ZEIrEZafq9TJbvW6fE7VpPuog3E41HTiFdygZFryTuRlEZbium9Hvv80SI42nlGXD/PZdIAV0Ejm
PDY01W9x23M6DGyn82qtEodc0EK161H8moSpnESPZoGfZcd+imXf42ySRMgqTbwmwHJdxISyTlbV
exH88Cuni0qoTbQktKR0Pk6kMO3aZRj8dAAJ1LlddUriIPDrAk27gjr0JqRV/aTjZEGVZ2qwL+qo
ueY4LfNs1g1wU/iv0rmiKTvaXwxItUCfGTbVgABijWs0ptKII37R8QtUjPKps8vl2OcmYkXkIaSW
j1oP7rkdlm9LKJCJw+Q17qMkZ39uODMrczq8tKwUsG4AEnQ4VU9BMHOing/FcIrtrt/RZwM0VMXi
tmT/xRf7WDV7J8peetsd1grVviqCfeyuDG0Ol+EQtDhJTDS+QKeSZ47osHiYWY/6M1f/dII+58C2
691rnVf0DS1RciyCJlTuB+AOxwCaDFmqiR1c51N2Z89O9VOvs59m1RDX2ljGKeUf90bmFHdxjR+j
behdTYYO+mXJmoG0pHI+FXqjfEIdkfyKExdKgBMuXhEI6yvtKV4GSpc9Flmv3+hqGx/7UO2fEwzd
2GAtSJjANgbKPG8tvnBTxGJujSYNEUxvf81xzbECjmiA7YBtxZr3CXmRXS79McF5E6Kla1LKxpty
6ugeDbQ0sFyyvJUq+lzih6fuj0ivfoIH1x/qEdMtWTn1nevO6XEK2YMkC8AnXkRmzESIxjtbWIhD
5/mbHi5fie97COOJxVIpbzqa4HPeO38D5f/v0PN/1ry986eed/O3Iv/WvD71XP+Dv489yVf7j4aN
jEADQtYcbU1y+/vYk/xQDGe2YROdZan8+z++NF38xwJn5AqOD8kA0s1/jj3d/6znlLbrqHxK8EEg
/itXGqa4VykGCnktjglzVV2Z/K/CN5almBqDlikrclbeBjjib81O1JciBtbIhn8cb/9cXnK6FQnu
j3SNIXP0trwKkul2NszUn8eRTUbZ4vfaTwKWKR394kJIFAP9xp9UXSlFINJLZ6hap/I51KlHum+i
+zJFKQ71zMYhAznHWqyHLlbCdP/qYT/8/XPOh8L8/x9JgMLvY8gihFypXkofsnpgsiXQqhuc1sVy
ISlFipr85w+sP/XVQ6o7JOFmNpe+2fZDf6VXIAa9seFIJAt1jl7gM5jfrVL/0GZ8FeZzIh4qZVCA
hLSKeiGP6vd8k3/uYY2NeXUPSmYqzNC+9lGEgW8fVTNUj8mY9c9GYWb/VdrIP39EytKIhs4C0uWU
vhHylVmMQvuVZLUw93aoACTa9rjWUnj1SyYIrzYnFJVfxwVapBF9J7L+2a43TgeaGK+vv8JlJysq
GSmK676c7PHRwt598/7dn3sOLAivrw4/iG1Zo5Q+iBXzGaLEAvuyoGmyAzeu6d77f+XtZUF1pWVB
DV3OTPDl+NrAUa+idWxpwH5dmEvnri6tCgm0ES12ksqHYtE/0uTDj5bzFdoc37977cwgyfFMGkAy
c1bKyrc5mUZ2j8NKvUpwlQB1sAdL7OuqX1Ujajk8pWSexFcajNTq2uFQvabL26IlGIMO4lMXu7ay
w5A34QTlbFi7dIvrSP57ZcSw/PtznONyLDnXwWyIEgD6Uam2qA3N0MxPkZokSL67dPmpVQPAZCzp
0bXOm6M8AHODbtFySDBsexhCWlwsE9++SFeqqTLSh4Z3T2ug6N3v7z+LM8+at9Rv87XPOPhLxgQJ
ShkWT9BokfTODSaTbdUm1inwqprDuIJfRGCNn5HzzmmYVuTPDjG0n7fdvrRYdKPdY7TmOBUGQ/Ks
0D//gWklv7DenRscaanoYT8gzU9rcitoc+9QpcHUSCLH2VbGQlossqVxOGUXlS/UTg12rhbWLzo8
+O7C4J+rM2mZ4AW7BFHAS2FGUeKCZhgXE17UiEZHCULl1/vPYJ0qb5WKtFzoqmrOiIWI4xvr6R6U
ZvtzBKwsblqmbnY/tT3Oz/f/1Drp3/hTjrR54OC+c4JOXT/iwWTvLc1Mu4+ONk0OsLAA3WvP7+Xr
stORFl1YCs5MAkdaCYZIrTWjCirf5TDCPTndVLucaIdRcuFHnRk/R6pwo5lG/Phj6YdpxeftbtaN
kk6ogiiSk12QFqA87G6+kNN87uesd/GqIAcgtHow1bXft5XA61hxcEazOSqe339E564vFfxUOSpc
MJ0da6qjRk6qtvzTzFSWlW3XX//uq/uHxFMB6Y8JvXRhxxGZABiF48oLD1tbJ+1bM0wqeYR/et6o
Sem7BB15xtgJrAQYS6ajqqSR/lVRyHs7RU5ES5TeZlrcZVaAbwQQgOpcWPLXoXrrHqRlAUL1YGoa
j0ipBvdLkBv6n1jMgC/mHXrYbcMoLQ22ojh23cxsw8lpxK+xAMscA8e5sCasBfnWT5DWhCKD4OoY
ee1DrEjbvQlg1D2GMHAD7DIxrTqjjREbIl/FZtinc/rVCWzjx/u/7UxB2dIqwXFkOtcm2wvOSvUc
9jlhX+TSRJ3ygZ7cqHx0IkzAT+//sTPz/V9x5wo9cafI+IRqiaOKU1vrdmpDjsWFNfzc9aXVgTNx
Ja6nrvYJ01OwAtBOo8c8+O/f/ZkF1ZZWgxyfQz+vr+fIRu116NweV0iPUPi6ryt73MNqdH4Nk5Vk
G3+OtDzM2KfIPhkoXw5m0C3Uz02v5Rcufu7BS2uDkQVJW9frvnKEfHGKgnD6CMkqj7xFWaYbZZXq
vj9uZ+b3ird5vQrp9WKVMbkXoGuzvHjGc4R13Moj8m4LNf4Cclc8d0oeOCfo0UG+Rx0FNvX9v31u
RkjLA7RxvSTmofLJ3TGJ4OgFyp8Bk8iF659ZfmxpaXAr9O+tyidMhTso3bHDdcYjrT26J0s7mdbD
tp8hLRFhZlR6F2gIfIeSNkmLxBvgaXXhR5wZJERnvz2gkhCxyl3LkhZF8JFUGe2jgvPmatO9rzSi
148/sLsYnjjfqIgYx2urGz8qLaLebReXKj7STFEresfF13z2xjHVU1OH2sarSxU/1KWO+mnVVbeG
ceMI+jlGSStw271L5R1hXXNzhbkZg3v+RrAX/cUBysLGcZcKHLxpm+F7rPwkn8sPpaUgOkKFfGkn
dm7SSFVtL4qGiDfn7ufxl5GkeFbRJB+3DY1UtnOR0rQrC76EmryEPYdOcSFvx9t2daloUZIHnJu4
pT8l8XUxrHSqyn7edm2pUjsT+8uEa9KP6KvRcSqXfUf/9sIr6Mygm1KlIkDMAh0wu69MVnjqDIDw
Q9Vk3zfdu5z325GPksUq41IoYBVGQpN3MR7hw7arS6VKFzVujIqtO7FwxiMI9hvoCs2FNPtzAyNV
amGHwzBxTOKHhLZFe/pnHIkWmgqYbNvdS8UKpCajTwsYWhMNmRI9Sga279sW4H+F0+PmcaJWL1HU
1g9mUx0Tvd046lKZRkWH4d8mxdy1l4G0kY7Zfwvfvxk3TkmpVKEsgOTF5OOTzGgshypQkMpYwHpf
tg28VKzWNFtaQx6A38KaYyEu26d+VqMLJ+zn5o1Urpoz9UOZMSlB4bfZ3WgT7XWwWw2T5KbbN6SK
ncElL0ZETAkIpXred1k9jzsT24S9bak0pNer1dDN09YlITcK5Nhxh2YnEeO2pdKQipZeewxhh36A
ISDfOSCzIYOG9cZ7l6q2o3eMVJMjCiZnAiDZutUKK7uQLH7m0RpSxVZwa9SRXCkfs93oLUmX/SBh
C+nq+w92Hd83vtpWNOPrbQ1UlMjNABT4hh7oFG6DPW8uvxRE1lid+7gQj+andWddKIP1rt/6c1Id
5+1gREMA0CCKqwRs3KTRWEeTC6IXy3G78XFLxbzAVh+SkDGbFOQ4ahWahEiZzralYjVLvB6yrjUj
NU+ZTBS0c6rwul65XXAp3v3c85ZKmaxLiMUFi2gl7Mab+rK5dlDRbtus6VId60pp9YbGQjGbsXZr
I0N5CBj98sJsOnPzulTFeNDQ+cEt8luS/nahpi7HCWH9pZs/d3mpjIHN2q2Byd7XZkweB/5n/UUx
7a4/DrVa1zunmob+eioDp7xP8rB5LLT2SbGSNUmB3MtCCyNyasx4wT6FYA39yJqytG/Lcj3Nad3k
Z7oM0WOno8m545Scg6ZeFAGxckUq8Hz1KbmqLWKGmHwddKE+3YcpfSbNLHsm3rReXYCGqA7CXOhi
WLbrJ1FlKfgJy1hFgQWJ35vwipJeN3VQF5XETK0fRKkaxlXrdPavoZpa8TgtM0lzpt0gf8aCKD5H
0V+QofcrXlur4I0a1KX5S0izssA+yiCWQIogjw789Slq2xJcA5y/2gsLc7b2ameG1a3ekz4O0xQx
x6HExDD5+viXTpj+ddFceLuss++tO5IWUMRCRqqDXOXbauk+dYWOD7KZvwVjg2gCuCDmtzY1xM7E
nXkfILfONs5XaXGd5ygugJqVPoYa1Qu68ahDFbmwCq13/9avkpZWrLewbtK49Je2q0m6CPX5wIY9
t3fkvVzBjxg/vf9Ez5WFtKi2jYqqy0gLAJlEJ2FjjG4WF+T5xkFa59Gr49epRQYBKif3O5KCDkrh
mAc1c42rbTcvrXeZllqkdZuZH5nDRO5819KIcnpRfd10fU1a8boS2JuJ9d/Hs5h6mNY6hJ3dpdfn
maHXpAVvDoZxdGY99ZOssb8Goep+qLF1Xm+7d2m9C0wl7sY2zfyKcDRgLDM43MK1Ly2nb8/Plb38
+rn246LYtQZXMg2dguzAttb/HKLZUC5c/8y7/q9W8Kt5oxAelEG+aX1zQtKH2ozcgJ0ZpwJUZ5ln
n7eNkVRlmhWPqQkzxU+BI96Q2Dd/FFm8XLj6OhZv1LAmlVaUmRMw6ajzyRUlJXjQGpBBWWrou7RP
HJAMFVTIC6vgubkk1Vlh2VbfJ5niqaJPb0lW/DN2EcRuGyZp0cf0kYAKAW5LtN/kobvBEt1Ew4Ul
4tyjloo4tVp6cejzfKDXEBvdHGjWEbTnmk2SB8Q7vf8jzsluVLmYsStkLmkcfosicbhKQwg0nprp
6VeSnaLqxjLbFm73gKgUx7ULEto0YpBYk2VpBXCqCRXz+7fy5sMCXy69OaBT5D29mdKHNIBS1SHC
8YU3uGJeeHmcu740rQlxc7A4ol0WU/YCBm3yMElcEmS9eXFXVaVVS2GXRgZ9G6GJrs1PWl0Smuhu
LEhVXrTK2OBLpebihZj8WRhAIPRu3jLu3PpaqK8WFavlcQLyDP10oTj3Bmv514zEhXzLuHN96bmK
rrd0vnBdTzSqSm6MWkNFRIy+YdZwdempamQC5XUH/5UULfPLOGkuplhleXn/6mcWK9X4fWwmjIYO
ymq2a6Wt3IYTEupdmZDweBjLsh5OhlYp1cZfIi1WLipdPAyq8MCtAq0ml8oPXWM4vf9L1rnyxrIr
ayA1gyZ4V42hP5FnGP/EqllX11pZQTNRyJXqjpzvjcW1oyra5/f/4rmxk1awNg+hILkkOoJF1PZF
a5kWDJq4NlHUaWSNGK4NDfT9v/Vm+bF2SKvYMIkoi6xE8cYgAcQVuWODxRbcnnZhOT73B6T6jpop
UKeUgNymUMGQm04HRRi8MRylbb9AqnH0KnoDpC3wBjuIv4wk/j6qDf7ObVdfn9GrGq/hmifTnCuI
qkq+zoZZOyRCv9TvPzc4UpUswxSjy4cRr+CE+mDNo3vC2f+/gmuCOcKf5cPfc/Si8pRnK9UFXP7U
TgM+US3NCq4a9uJ3YGkvadTO3bv0FncJdrDgougeGXLWxAcLWbNHVPnmFikjdy9VgVEjhmbZzv1x
GfFbYHgcv7PjWco9UFJixTY9X1kLKODutW4TZn4wJ7HvqJpJXE4cbPsNsoyvCBWXkG0n9XMTyA35
8d1thrvoE5bL9te2HyBN/4rsQWNgUfKx9lfXnWMXOBK78Nu2q0vTn1AFVejCTnx8+kN/AjZuQtp3
ilDfVr2yQC9vequuJv6A2jr9Z/K6y6dh0YAebLv/dfK+Kt8kJnw1V4LJK8xyvtenmVDwAk1dctp2
famASz2Yexsglr8gYYHKOBfLjbDywr5w/+ur/l8vH+HKEr1hWirbzoJ4nZ7FqVdNNTso40wkQFna
9oWHfO6PSJXsNKGDJSTgGWhlRC/c7Mmv1jM8pJCtOZLZWGpSQaMcbVVdnRKQWiQklWOt7/VW29SB
FK6szQNumIXl1CR+IWaSoawgrz5mSW1/2fSgZRmePhCGMxZcfmr0b3XEgUZYm1s6bdy6VMJZOHa2
DqrNH4EYPxjrk5hrvMTv3/mZp+tIJTyCOV3ahgPCkNiYBUzK3E/7ghjDTxjrIc+//1fOvA2c9a+/
LrQQwnhVKbFvq1GHBVEI7P6FAt1y2+xxpEpWJpDRCfxkn2zS9lj3qDwHuMrb7l4q48qJhIAyFvla
SGqSUYNMmRzSALZdXf99bKp0GBEBGbHfDzYiZFvTrJsC1kK9cezl+lUtmNyKFWG+UD7Nuavcao1Y
rrbdvFS1kAd1HMVh7OulpvgaRBKf9qHx6f2rvy14FK4slgsVB1R3FkY+wS9udgwrEWECTfmCBVfv
in0c9eb3Ng3z+BNJfcq3OddUmF4z1NTOf/8ezkxdWULXwZKpBpsN/pL29Tdr7NL7Ikyc521Xl4pb
M5rBSun+rzHR+pXT1uANZixN264uFbdNEt1EEFToN0no3hijZXkY/S4Kns8NjVTVZaYYqpPxyBUT
/q5F6uShG4JySzuRZy+VNMRQK6yrMvTBp/6yWpBKnJlEx20jI5c0XQ2zi/j0r3uO0tWAT/+JBOEL
474OwBvvZVsq6byHvStUNSBOlkb6znbz4D6qFXDZQdm3xoW/cm74pcJuTFNHi9IyM8dsCr3ExdBN
EnbWXnjxn7u+VNu4Du3ECBfFc0KiVHuh4Z4fk8OmByBL4DDLcG5U9Iq3RPiEs9xMDskcbKsqWQFX
DyylieDiGAcJkC2r9KacTWvb3LGkmm0IsBy0RFmjcer41pgW9Qpwzib9gnDJC/ztVUmIRbaUlXC9
vsvtE4hE+xR0Tb5x2NcZ++pFHOe2lRkd8HmjK3+JMgOUYgNq3PZM14n06uJ6MmBFUQi10As3usXq
TKh6WcTe+1c/U1Qr3+/11Y260Yo+WDjvqhwMVSb8WXg2Azj+KpjLceMASaVLkw2DuSj4orcN3R+G
EUo9edDb9nKWVLJ9gonUTUrXc5IkOQZgNrwx14sLTZhzIyQVrCambumCgGWnqWGVW0PSAS4TNe7w
qNDGTaf/kBalQ6Fw0fUhwhLk2eC2iKEjt4Zm97ZFTZbEOT0Ub0Lf1lcW2Vpw5zKw9oTovD+H1pn4
xsJsSqUbF8lQKxW9hcbWxi+Ng7l4Ab7wsO3qUuk6C36MODEIsqlGc4eT+KWdO23jrUuVW4KsKZqF
i09KBBEpDz6bifJ9241LhRv0JSIUNwv9CtDYlWGE0a1SopDY+EylyiVxAfQh0CWP7Mof6lxfZRXd
/G23rv++KnQkVtukfbmeOybpLTQGOOxqDN1t4/Wliq2NcEC2PytenU7WZ3DV7jfiDS99wJ+bj1LF
FqY5ulNkux6kreo246TMj1bm3KaxkaVwuZjHeZp4DY612VzlqQkJaNLbC6vNOqvfqCVZB6cXujlq
hJJ7xpST7oQyhEVZI3KwSvPxkEWpve0bQ5bE6WlUILmAPK0XmG2BPt6NSxyfto2RVLPxxHDrAet9
VumQqFLnKe8vfpWeGyKpZvVKJBD92UHBMei+im7WUkhFs7HGz+LRuLXqKdpkxRGuLI9LMlD1Yx8H
XlZrcFlNdzg46F82PgOphEGtzCYmCH6J0+jTjh1E8aPWRLBtr29IVWzlBN7PDvKdFUoN8y+Jf3Ao
EW77hJNlcHPB+mZ2OeuPZT8ljVrug2HaeERsSCUMF1RNQdAGHszP+hj3WnwA4z1vm56yCs6ICQNO
zEjxiNYwDmsQ1cHIOmNLq124sgiuHIPaGFCWcf5p1B8C2Hm7pizDbcfbK83k9YYtd5amEjXNo0UL
g2Gl1mTWrl60AueWQ2batqmpSxUcYriPHLg9njboUPiicLyaVNu5MDPXm31jldOlEq7HunQXbLte
3MVLzkdirnc3XZiG7SEhhjXaFW1G9nWRp2lyYdzOvBR06W3cucD7i3hUQE8O3YPrDiMBUcX49P6C
d+4HSZVsdCSFQkFzPSUWya+SnMpPVWtrjyqbOXU/aFn1Wc2y6cLB6F8SnbfGT6rsWoCHTxbe/QQf
2dFTEAHdOiASKoKHSq3zB42gFnJB3dbSbiMFYw7UwUV3T6I0lpdsyt14H+ZL5pJJUajDUwidtjtk
dhRDVDQie9z2mpeVhk07c8QXmoqXd6H5B/B7FJIqZNTP7w/6uUcqLRKuVoaaVk7sUlTYjHOXEdPi
apvsssKVhWNmlbEhN+uAmx9+EYX5E3JotW1gZNmYIZIhhxrBx6465b5KaNyVHmYbD6g0aYmoc1W0
ITJcj6C3D3amAEQkwX7TmMuisRbuEalag+tlo/YjzOxnK6h/bbu0tCiMMYEQhkjZkQTE88IRIDK2
rjY23TWp/rGHxqBhuXGhtT9iPfmU2M2FPduZeSiLxOa0oReIxd6rOxLOjVSFLFkY6rav279kvK++
/8vBgVaoFrxn49J8MRzFfeAAxva2Dbq0Ew+6uRtLmPteEXYNnF+yp6Nm2eRrpIakCp3mroGB2rpe
ZTc/u6r9A5r8tmGRpWAseBlAQQQoGh9ZL4VWEPgX9htff7JCSkSkF+FgUjytE/FzHAXtSx0DW980
6LJEKglamlmEpXmZsLs7zuuIArUz47jt6tKr23XCAulxIDy1KayPC6meHwCAVNsmjCyQ0jGNj+RM
87HflT0YVTfK7rpKLTa2hWSJFJD7Ps0HVoHQtmevmarp3s7gi78/Nvo68954c8oaqXigI0qSM7qr
qct/OGgRsrulB8scKeR3ekk4P+hqdUQHkX8LBnc42dkCoVePglnZTy5IAQ+Xz48YLlBztM0+BWjE
G/aETr/I9zn/T0fQTWN9ittWmBfu+swC81c8xqslIIHp2VcTsRazYXGuS5ZpU+xsQvS2beVludUE
ND1PY4dXXWz2J3rR0FzLMd1YqdIikBl1mIzLILxwjNl3uOF90Efbzp6QrPy+HU7F+s03a4HnzLT5
SHiEcmkt1en96fL2wKMFkK4+aEsgEk4SupmI1VALgiOx75uwZIIm9O9XHzon0bTcCjzOE6p7u4rE
x8hY5qdt9y4vA4lWOEHVc+8a1GkigkkPb5VtIgxO1H+/d0eERpxPLL8OXMVvahx2J72Kgo/b7l16
WfdgZhVbsJ2GTfU50Gsipbo5O2y7uLRXrwYzVXONnUCiqjkx7vbHMTC3KeP4+vt9XFpbKRWS3dl7
YQs4ORB37qalt5633br0tjaGSNfVhJ0dJxWpl+Mu2lVVcEl3tz67f6+NQlZ/TcugWITQo4EMhu7F
gGn3TV96BW62Um8yTAgm/e/jo8TlYrejKzyinrOryiqA/VvWJgQEV5frNQ/moiws4cU9+T9a9tXJ
N5k8ubJUrKOpWdXYVWx8F9u5gbKdEX2Xqps+t4XMZBMYC2o7ZZNX5aNC3I5O4IMKEniTh4e7l8p1
TCyjc5ScbR6Ot4OiqrfYJS7JTc8ICoSQyzVDY2QT8wPJuCEtehQTBWtNxCMWpBSOXmYoZr9vlCjt
r5wyy4qjpVtkihAayrf+ptIQUlWDXOGbuBmFN0KhPtK0KXYNL+WNV5fKWuntRguURXicvjTfxm5e
fHUZ5k0fEEJIZZ1P2hQ7gmlrKtmV7VbGobbHba1PIaTX7zwQwWmmnOUTut5ibNc/9Rl0+02jLivA
lMgeXL3hfNTM3frYOxiJJ6KwLlCxzrx+ZQHYUtqL1gQte/w6nGiukj0T2fHnbbcuFTT+B2zyeud4
w5i36X7O4yxBSZC3zbY5I4vAwnGY88HshVd2JQzaNsqfCOr83zi7/1JoTCza7wtppWAjXfSa0CLR
RD4Sl8jrZ6P5f5ydSXOkuhKFfxERCEkItkAVZbttt3vw0Buih3slJEaJ+de/U2/1mtdDBMteNKaE
hlTmyfMduqHAq/TnpyMTt0gDtmY+q7aEwflUnWYHrM2xod+t1a2wAKqH+K4cdIs8dB2aeNAO+Zfk
4u9mzW6tugbev3DixbiL6P0SU/AmQv+QpQtOgf1ShVgmgExT5H3h9Avk3fRpHrvuUCAeid1atRTW
BJ0OQ+i7t/JJRG3xFtN2OHR1i/a6r8Af/bnzFU7HKHZgnQ0LSKZ1ibj50Gfdi7p8R3G5YjTMo3kZ
5anEHVSmMBaVH449f7diKbg/oFkhIwe8BFzfGbGfumWTT8eevouXBzn0bAhKXFNwKn0MRBW9V1O3
fTr29N1ybQWLywgExrwIQFzVs3OJnLpjeRZ4WPy8XOFaD0LjokTewof6FNer967uCvv+2Lvvlmtf
xNRoxUR+VdRnvfRotnmGHJvze1nX1GD7ddfzqeM0A+1OJwEH6PjYq++WK6PrUukFN9u5HkaZWDhH
3dTWtd7B5+8W7CRHs/nd9XDV3TOYDm9xTb/9+dV/E43vtVymWOoKhsNFPtiyfYHL8Kbz2PgVyWOr
Dka1e02X25oKeBvkimaDeGzogDRmYIodG529pguZOQuhZChy6VODqxZQIS5Rky6mYwfJXtYlvGIt
6xa3iX4hfQLGb+7io1c5vluybKHNPK4iygcWaZPBezuksKmO2CGXesTku1U7GlB/BmBsciYm+O13
vkhVPNYHB3+3ag2FPCSS2HE6uJimY2Reg9n7my38b85YHvy84Tg6anB8EW2vM7E3QQfFHixUDyWM
or2eqzcDXAEGJIyGzauTugEeUm72r03E18vgL665fLdmYd0agqI3x3lpYiUvTlf1cOuCcHn0IiDx
biMC7gLc/ftnQOa2MdWr0w3gHLX/GneoNpGRDsNnOHKSVznDtfxSsKi70dDPfV+KNuYQtFfL90Ob
wF6lUc/a28rK4tiYK/DgJo+YpCr7GMTpbfFe//xHfvMx99Kzvh7pVG9LlDctWgQzlDJWlUpbFPTY
Mt3Lz3iHlw1mxKoLyF+fg5U3XwFPO6b2jvbys8giNSplgGXUq4eeLw4dNNvXY0OzCwrcunph5xoA
hUe+nbkoxYuDQc+xex/b7TARwWntQ8uSK7TwwZSxWY1IhriDyuTY6+92GGRBgqqDaUq+wQfjjbOQ
v0YNnT4fe/puh6k0zMXhJYdr/7KV3yZdmxtXRMcEStGVs/K/QgdA3AMI4BVyXcWVXSw1JMEJwAA8
OrZBsl1ssAbCLnGL08mr0bZfUhvA3rn82zbzu0W122VkL2JTjNBztmZIDerTHZwwDo37XoEWw/Bg
FH7D86Lv6rOw/S3YDeGxKbMXoFHVLHIqPJ6jRXlGwYH0nxzf+r9MmWua7xd7L92tp8ptgio1izzo
Gg5UKmX/BIN1fkp5e27Qp9Fu80c1kgIeOfXBXPXeQg198fD03oBUjLwZTMIaVNpkXmYgWI99j90q
AwEv3CzVHLlwg+gj8lf+Nlak9k/Hnr9bZ3BuhzIjwqD5yK+klPZDSr3uWPU62qvEetazJbhKrajf
homa2++WLP6xNbYXiVVrgNOzxcMZg4t7soxmYaCMCnYsibPXiW0j4NVyQdeAFlH3CMPALeFdMH85
NPB7nViEMiqbkKzNXUvv4Ze/ZUQ5dT728Gt48j9FvXrDbXDW4oq4XAlon1uVD/AWO/j03V05XMuq
s+CL5vDC7hLJ6I/CxH/z6/rN3rYXh5UD7Vs6EJaPddWf6kpC60anY7fNvTasW1q2DjDDyfk6PhTU
Bw+vAxn2z4P+Xw3MLzagvQys6RFxK1uE+dSxqr2g6DncDiGAHEmwdWBjTvMwJFyxrkvKwHgFwJil
BcMXFRAGo+/OgA6nTQuitli2e4AaGi/ZOq94rKPGBxJyirQ6lscKdsu+Qsag9voNCcoQsjWtYQiL
++CxBsko2B2vHPp/aL9UmPezPePYezbMHXzx3cGqJWSyG0dmdd6KII9VP+Z1w/+WVv3v7//VJ9yd
rKHf9CvbEJNNIKuOp2g1tXyDiZuTaQTj0D4ZS4+8L33TS3RUc6lup/JKMHdX2FgycDn6p5CMS5h5
0FMv2ST6+WMAFupwMnPP5yQCkmM+2W1dvvkgPWcAh79fRoR9CWm8+qtoalDA/zwff72SxL58De43
0vPCD/M5VqpPawKzwqShlv3z5+dfz9X/HyuxL2B7U9+obkZCcYN5ogcAt4pEyrYt/hGKln1aUdM4
tBOLfTGbAUY818ryfDKNPodqtF/igdhjBSwRX3/g/+yWMFMUiHYC5Ba9cLwBSRhJheZgI7vYV7Ob
qHNrDTx6Dpwvt6kZSPsQjT5un3/+DL/+zNFeS2hLaP2gDEVQ1QqZgPWokjbgB/OuezVh2WICxZrx
vLXjd4JFDRo7+PbHXn13kJhrTlduIc9DWcgEmNmPMYm+H3v27qNWAtzm2CLDMoHHfdfAWB9L0o8O
vjn/ecogVxwQYW0IPzU1PAaDx/9dQJF5O/buu6CPl06LjQt80okF32aD984khGJ/a5H53Ta3VxWi
DXWskX8IUXAGGJeaeXozVWANUNyFihMCOe0nSMCjByBVAbdGEqMZXmrewHh1Qe/7x2oLmgcdRp3N
kLuY39dWKj/bVrNsiZJr5KWoOToUav1xfgBykm/pVEytzujVsz4bLGyD/jL9f1MgFvFusKAuLsFg
xfyfYy0gRg7l9q9qA8YSaHVWcQMCdVXcK5iFPaMytL2DDKZFn1pJ6mOaWNysf54M6O6SJSvQqh34
Hv/vNB6wFx6cabsDb5HFBpFYIHJDrbclpKpHkhJVHuN/oD68O/JaOoFzTFFZcQNjeQuLmJOOrDgf
msp7KWVsJgnGh8/zLYKFXw374VtALPXByvxeS7nCBhBB1zXL4Wv5HaBhpDhR//CPuVREezWlkKMd
pnnhCJGYSHCCI1tTq/7g4Oz2qA7a8nINhzAvFIJesCll86a6whwrce/llCug4s64AWNfy/6GKj6k
ApjoQ+FFtBdTdsDu+MvgsHlXK4qKKJndtv3B5slor6UEoaxCKBQx3BwHyDvgJ5qA8CKzP8/K6zb9
/6FLtBc9Rg7cEvCyw5w537J0UQ0ckwN0Pstbw8fw3z//ld+czP8nfVyHrXcz6rlj0E8fl0kpCodo
ov5WL/5NwsPfrVy4RPKtMjgmrBVfbbtUcA71gY1ON3QOpmuh+D/Cb9tvhiODibZxhGdHfpiI6c8b
XhVpilhy5Xmn3TddxF9tfcyEETK83WY6eqSKom7mOVSwxSNMmxs0Rzv/0IpDx8bPbx4zViNmRTiz
jUS9i5gkl1FxcyiZAl/On5+uXL1MTUNoHo3x9DArbT/GUaGf/zzqv560EEj8/HTKQr02sqQQlXTV
mipVtsDYm25462HkvRxKAIq9zA1mVKOKW4nfgMAyKfryI9s6fmzi7IVuFZN803KieaHb4iR1uV5I
x46dNWhd+HmAiqpYyEgalhehJud68ls0VPrHNmtIpn5+egeH6tarKpYPk6v7ZNk8e5mIOVhOFnuh
W4hs8eBJPL+LPXu/ch9qcJDm/hIm/XovEnsJG9yEHFFSs9yzUwhBEvvHXRmkf56Zv3v4bs3izeEs
Y3HQzOWm74gpy4TaNvxLye56G/j/zVrsFWxTuyykmZCS9l1bb6ltjQtT+Bit8AYLoo6dXTDaVzUF
w7c//5zfJHLEXtZWFKCgbSSikOwTZAHK1XGXrOgA+feamrof26g21/vKUI1nshRhp+GDiQRhRguf
umRDjomcHG+CKdma1rQfxqiv70yh/SpBtCjmW3TToRz+59f9zb6w18kprbYr7ZDmc0OGJQkhu/ns
Q5LwrevlIbdwgIp3CUVXiS2u/Rm7AujkWU8cS72mWf5yHP9m/uwN0wLNvHbjG823OZgulo71E0d7
5rE9f6+Vq2ZI0AblBzm8TvoMPvPDbdPb8lAYJPZaubmj0vYtw9OnaktoFZT31DsotBd7rRwdoRwK
RUNzeKnQG2ri4Cna4r/121w3xl+sLLE7xyeNeomFt3bedHGN3E1jupdms5VJ0BozthnzQ3eIbYUZ
tNsjHJxT3FhTkvdbi6kPFHj9LZroenAK7Q72UA6FXgoR5JGCr9iJKQ4SXTdU7m825L+bo7uz3dQt
9v3rLJrjWF8AFSgyBWnFsdffy+fq0e+FdNRHvTCKUsVCkeFjHFPSir14zittg3wmcPGzEsNpLXye
VXV/rAIvwl0Wp3KLdCGK8DnH8Z6iBAZLzpodKmOLPVG08irhNiBrc9qa5k0D15eIgraf/7x1/uaj
hrszfY2UYXXrkzy0evqMrL2+N0v9NzLUr+NzsVfOTU2EfEjrSC67Hnr1pXfNZyFZ8QXuGL2XDM4r
xsRz0v/kq36acgln00MaW7EHipY04KueZgK55IxqBxxAUxSNh5tjw7ZbyzNnNZv1QHI2tDrvK35G
29vBOGvPC10HGUXV0pHc2HH+xErNz1PAh9OxV98tY9uKIBY1Xr2Sovzht2St0d0Nk4ZDj98L6zbO
mgUEEJwGSPk/D9qNaE8Ngq/Hnr47hdUYTR0iED8HDbk618gZoGhoDhnIQ/S9W8cUxzvB3uHnroQY
MwHG14ErufGDO+heUFetERytyOjnc0WKTCxqhstKfEzSIfaKOsGtdFAvkRwygPJbp0KOus3RRJPY
6+mAseLt1BYE1npLfzuDmZQ7ov1DmRqxd0oTXOMW2sz4sF4nPltLq++bKSf1l1n5m3N+r6gTXiW7
ssY2V9YwrUx8L66WZPKgbEqsdvoNGdpwObbA9gI7xZwn4RiFk2yl6w38MNYH2U9/00xdZ/ovIpa9
vm4rNQE/yvNzxOfL/I4GWjyGG1thq0/5JNNiFE1/8tGEEmT9f2PVQytvL2MzU22mrmn8vAQq78Gn
m3w3jMoei1D3GrZNiCnyJazX4aUmH1sH8kC1rvOxybXXsI1lLeEWVsLYXYz21HP1DeC97S9T6zcn
KLtOuf+pnfG+h+fzhnVRsGn67tat/sSH6m+sht89fXc+901EXVDLILc18xMAA9s0Dpu/yaiAD7tu
+7+YT3usqIfCeg331iBX4HFaqAGmduUJfJ90NSZQWc39aZHgsdz4K4N7LV/MtFw1Jl6VrVsQbh9H
+DFDWgvDsR9RtdEhKdmK5AOfkdlKV9vU06nom7BIQKItofLjW1i+2+J2LBNo6gXP4qEv/NQJdDql
yNaNcRr2kRgBjutLnUaDCdZULtqfc6d1O6S6de2aczrR8RLLIOanceZjlHAA8kbYEI9Ne15pDbHK
um6+vUVL6mTvbOW6MTUa1Zz3VgLEfeElMgInNW5gn5kg5GFSejoI7sZNwc1WyWlTqFj2ZnxfAizy
4iPKG750I8DUeDCfVBqMs7ektd58851ObFtSV0/llNTwFyw/xKXzy8RfSchyg+vvnMwQu7xBzQof
p3DoK5oUvhnWW7FumKDA1aE95WPREDiRmWEr+wsXnl/c0c7bgrRGEWe75+Cp6Wz1t7X42jTdVTWB
LX4JksXEUQxqkrHmKzzhzT/4cFFximlgyTcSFEPxQKMqxJnG9WKS3hs8ktRAqOB+Xri+uh0HZALT
BUbO/gX2+7S/IbAMbfGKvo1SIoa6QZgTkq+AMbI19UA5FKmWHvkQcI/F72ugp24AhLT8ssIUXQIf
SJfieQuYP93bINAoyiIbWPJb6rmxSMtW+iwDbqj5UXazbk7S63QMj7GSDA/OQP6b+ms8mdOAWOJR
zgbsLzJsdL1s2xZNiZmLYjjBrcxu50H2wSsxKuxv5cxgtRa4vn5YukI94w1L6LkkbEPfOrasz6Ua
vnIEpV+NB/+jrO9WrKhuDeynph3XD/VQsed5dYM+BSuDWGWkum6TrtIerJwJXOKSqg6DbBSh9xTD
bvZSDbhNIMkR9zbth2D9EEBLElyKckDGxPFw5pdKNU2QEcuRFYIjWemSUq0l6shrG3aXkFh1Dxh0
1XxisGuOT3GvhhdoJesyW9dQD6+adkV5prNo1nMfkSj4oIt6Cs5Lpwt9NqhjYtI6f24+RIHk5IaC
bLWAnlhZly1oWYSunntLmTH0TntJ7RanT3FE7Xpp7bBUNzTkmJKYu7KED/VAijiNsL+jlO6ZtUsq
JZCl7LUDaWoZYt2nJesIgxCkmoPMw83/QW2jiz7MTa9ve3Qlmx+rnQJxbkXt6zumABxBOKgcCl82
/Fcjkfgt6EP+SDpaLyex4eteorEe7yVbQ3zPbdH9ya6sm56mjQXjG+cYmtRYSHiTgNhxfdesgfc2
CrPBEALO8uEjiM5lnbSwtGqTeu5aH28PZ4sHNYCYmfEZ6/wcR2Mz31d2iP0MH7OITsQp8aNom2p8
WwNkqjMo3SJxJrHt3ol4RC4SygjvKxogSJgquVTIapVlF2dBR2Jz8j01vQPtCaVfr4b//13dWhM/
Xnm+tU1sR6/wTNmje2Jl1n3kGEKVscivvNRJqEzv1nFbq3QKlwU2U8Sj30aLJY4enf66m7QkVKer
m2N/nhVG/qnYypldKJC47i5k3bMy3qkup/WrL3t8lwbGoHMWSZADdBLy9uq62c4iiE5s9Bjwi80S
1rcwYJYGnyxCR9AIe43lXTQSgupPEUzbfQ8e9rdoicbhroSsfHrRY9CM97ou9XJTeYTP7no6iJIk
rG0s0sCRgqDU34qqThcxTHUaDkX4EnEkLU+eX9sffmHmbPSQ+cD3v0pjhlNTFXG2lMOQi6ADt32A
P324tV+uEoJEj7RPlTX/Kh8KwQSYBaj+I/5awGPvTBf0fDbox8rKacIVMuri1K/HMl3NZBPcxvgT
0hRe1syQNS9xOH5bB97A72R+scCXBYnAYn6YSdSncKBqMomqbFqpGeFg5PETpoySGAqmcM2uhbzT
ypvmdLSh9whKKeTRLtowrHOLru/E+UzBOQgSggQS9vFiyZxKAHFxBFh5EnakGbhtn3GCqdvFtkHq
w1VRJlLG99vSDDIB8oJkHNXaCS5z3sd5VF8DRoqvoAkFT2EVgrA+eV3S+jhu1BxgR/dVmbLarR96
N7g3QJvGu04H/mvVKfdGRVektiy31Gei/WBtjR9YefGFkuW1WcSHEdTRpBa2TlmowgxOMEGCSRnc
VtBGQYa/CJgIa/0Z5g3ikUztF68ukbJdaxAc9Dx/WGo0AISx5zJVwIul7woUp4b4YiakQnkFyQGl
xVOrqydamSWNJBtyrx2e+3L7wq0fnBZ0AeYN/CUTzwzuNtQeZnhXl/94Q8ET08gnHbKvdggfAaK6
i+NwONuledy2JR6SbfLL7zDDCbYTH038WcdMIksEH5ltmk687qNL5QBa1h3qNbTvq3Sbt/ofrOyQ
pJux39t2g0eaH9W3CE7sqVL2nb9GOKyAqXhjAMZ+KcbuhgbLY1XbJSWVzx7Cucp7tj0ZKugNDgr/
nQjVdp54YBN/jOYP47JOb9aYNdHeEKVYY+N9QTFOCtFH0pSmOLchbjK+GkWKYEO9FPW6fmhQ5r4V
HqZvCY/orC/aKvElHL+nya750AVfNhli0GaV8LhySUvr89rCCYjCXDGnHV0fiBdTtDYVTiaQ4w2p
DEjwBZZK4zc10m/wzKIpxCou9zvxAq2jvjjiwWgFYPqLAj01oYJtl3DtOpMIBtdoLDQMzxC8qTIG
cATIBUw6Vz6KQq8igYGLfDMSB9oQuiFRXWPjE+bIKZKtzVStgofBV/or611/v4VekE21f2ZC9g8s
QDA5DNUtR6CWktB0Jz/UPrBcNUKkYGIvDkXui23UklR9fYObMX9XzPNDqbxPRgXsgsVzIpKL0zoP
ZVIXZEsW7gep6dWtHYpPhTRTSoFpTw1ZXFKBUYgqhS5vZ1DuUgzHK2vGrxQWNmkH2WGVzGTpT6gZ
DF/Ry1lnbeSVMhnn0l2EwU7rrZH/ALMx8UiJYjgotvllg9I9m1TrwMahcTKU0nbpto6zTtcgcP+U
0F2UmT+6tkznSqgMoIkmGWAFiL2l4V8kWyKZL6iYVVDmSMpyPnpDn1riVZfARlO6qmJJKOE8WRAW
pME2fcFdcmDQGJEoTFo0o1eQvgSRBbVluePasSarzdhsaTwJnQYWWyJZiLwdwWNaHtAuXCYQJYaZ
D0hoNl71m7AkC9AsSG/Lgqh8bgubqqb8As8lk8DzRMLGUJBsESP91MO7LC1XIIbwRwKxXTpaBCNs
9Rk7x9b0d7weH6Y1/lxu1UNf17cjaEeXMC4H/Yxe0/gd4kHWPjXwx8AhF83DKxDM85r6C61HrJYO
wtBpfuqkWXVGih6HA6ddDEveSJNTjZRa+W7aXHxuBkvuK91wlYBNFEYpnRfWJsxrYtw0Yor4osZe
k5QDbI4thuJdAaLWq7QLSXtE/h94HOmEzr73rtmikyrFHQKg/t6jtVMJm9x8Un70Okp321YDoBYV
gjSD2O8RnvPs1Htr3rm6foTVw9tAoVuOuzpO3LSJPgH0Pkon3+Dy0pQsRVbJYWpwhyjJ929jKXpy
2VjtiaRf/PYWt5OghpSWr/+WMJvJl6Ju+szYVZ6AyekTL2hWep4MLRG8Xi3Ro0iac8lYl46GPfQo
oSWeVFUigt6crejFc4CiIHBWYI72MNVKqoLhf+Gmm1Rrg7Gru8G/UWXpsgIn6Jj63GwXG2CewpSS
cnTg1c0/FS1tkJZEth+KTSNDwnEHS7opruOsWGAkcGO5MO83s4yneFyKrGrgY9evZfvWsnp8183R
CFiUkaA5bF3WkMmdbaURBKGL4EyQtPvcBJ27YNdoTrHrmpPBeX3y1FJ+MCQmTwQxBULF1WtST4j4
plza+jNY4xCqgZ0L6mnVlTcjG+x73NGme0YIzsVoi5oBENSGpsxMGOKpjNjHyQ79P/MAz9betMEl
MLTyk6LpxE2JQPwdDGRpWi69/8HVs8mpIWiQGTHxCbSYsCnv+j5xCycJgRejTcqma3/4BFfaeJs+
8SXmmba6Q06nqW6h3dToWm3kc1XA2hPdfa3yT6MgXpiE2ujvTs7tR5Qh63d2nhAdC+duA9G0mGJS
DUkcEe8m3qjKZr14t7QY9E1DWnFChjYy7+3cj/pkGpQcsGOLBTog2KcVK5Mqgzdt8Txz3UYJluXw
Fq8KQFgWkfYe0pTy81wM/iunEmOnbNU8U+oILtKe9RD8hwRV0qB6CZvGZlN8ja5dXYVbIpohvPGl
C+/6SXZfuEShH/ccxE24VUanIoY/l6vhQe/BXe9dtzZ8uBRubJKg0fVwv1A4pCawl/LSIRomk6rB
23A66brAfSckAjWAAvcnusS4v8xuul3WJnpANoB8vSJxEoAve0xmaWZghay8nRbS8sQ2oX3GoRN1
aRg6SCzhkylF0sAeOK/noc0XdIbeYIuLPmolzAupghkwB+++cBDhJ5ZtoNEvBDtg0c0iMy7Gjsn6
pTnjKJ67VJfjgwfdZIYgPP4HXbd9e8KsdPrBWIq+qWs/Uzr3SBhApC5w5AbxA+bJN7R0zkDJx++7
dcS8XfVy4uEYt4leO+xwSmz6E2CCd1sNgKcc2peRIomQLJPvN/AL0x09EWaCJyJoN71NFW+WM/jH
DO1shgAP1G7pPJf++6WqsROHQV+OmZl9jj6leQi+dLFdX2dPTiZZ2zb2sLEVYC3OpcTNpPDkJ8XL
FWkQ6kGHP3XSO0c0jLfEbdw9qMCpMZsjhtsg8iHcT4SEMXEyIQF0ZqsHLjwkaN1z0W8uE7oAFIZD
cnC3BhXCmIDyHy0CkbSriuaksLM8mCkw+D6OgrJWECkuESvW2wINhs8TqksnRdl0x616hgIpuusU
EkYGe0KC9jGzwVwOiRx43fRZC6PuGyZmgyEqA3mpWyNznCP6ftrqIQuDtckck+ys/TpEr5bPZFLM
3ngaats89CgypQiSzbMNg+5s8e8U6RedzcDxXg9DiyyDH9RfkCadvkBwaPOwr2VG3VyfVmyYKe0G
eYMcG653K/KoSL1AENytVw85bp80nCAyoULzsSy63iSQzqsuVX73PIGkkNBp2toE1q3hGZi+7dwb
7MgTcV02kpCeanj13kzjGCQDdpRHHo0qgXIYM9xVs07ghkhNRrDJZi4oyE3BLP8X2lF+QaAU35gO
F0c88IkZvBJ87G2GCJCfyFg+494anK0ZxVMookfRdPLF25rXkWnUXyqT8Tp0MI+qik+gjekb+ERV
Q1ItgKQmGvbFCPtYmaINA5cd5pPoTg1Up1qAfNYGM3bBGd6lyNw193B/qZNA6CkdRogdF1Ou6CIf
zbeJkzZ1YAPcecEQnI3HinOo0fHRD0X3Jp1GQL2A3lJ6kmcbUeMJ5o7uqakdf9/hDP4MzCBsv3o6
X/oAiYptLi7CqvJBW1WjRx3GTUs1fdoY8RMGpRn2cFbdlgDbv3R9eWoQfF6jMZNspQtPpMGNfUAt
Abu/yXBt4rhslU9VJ2wKdLI6LYr8CEMZ5kODKVIG/UUvQZwEFCEY2arpBHvVfzeYz36NcKm4DRno
acyYKum435xQTbCPxIpcG76kVtRva+9NV+11f+YkoGnV8jLxxnU+VZpOWTHgZ/marjky8+TGxOv7
FSFXbp3CpkvbO8HY97Wex7wto0dfzPgFsns/lvxBMFwUZz4hbRR6bzLmfs5ijawqLAIfpj6skRhB
ijsxVuaFF6AJJxrRj4Me1k9zQx8IvQZQXJMU7s31CSql19ArEVJG5gudoiElg/hW6nbKAsDEH5hv
ZqwS5xLttvG1gpXYSazowCpNkM5ry9MZHUj52jQmlS1cbdUSwUmUbtU94hN8UxwOANFvfn1CGgBR
V8txl4AlID7O4MHg35fnYl2itLboO+vgWn3Ni5KkrW3woj2/v/XnqMzAD2wSxA8rNCv6zfYSmabF
8JNr2GM3GYSluvlElu4lbkWLiKHX6SSDCppA2ZwnW9lTY4ovlW8gKg7ZaYLT5IMMgGr0JvJkgZ15
Klg4ntQ0IYJTRidNBUwbtdHZk0ucAUgfXcq+Ioki+k0XHT+LcF5oyuPCewnxEZCqntQnmAffjPjc
SexBAowpH54JK7AfdG2duqDsz3An/xCh7O20rJNNTWuDM7yKbkcw0977sYnTqvGxJfEJHVCLavsb
B378XR/3/KS4xPWotTBamx3KhgUJXMpNP77Tnhm7JIT7zyuinS+IWc2to3p96OjopaG3rnfodlLv
Sd87nH/Dhh+HTHFrE2/m9AFJVnM/Svpi56h6HKgUyzVX3CyvPfQA6Rw0BV7c0Ad4vs3JBCVMAqXH
9GXRJfpfhO4xVANaeeYZyWpX65ne1kWMc3mCWNlDykuJ91yCMZAv8JtAF/Uwao0seDE9UbW59rxo
44Ifstxs6rXomr1t+DwGqS6Q20uKALFOEpYkbv/D2Zn1WKpc+f6rtPyOm2AIQGr7AdhT7pzHqnpB
VZlZzAEEM5++f/vYfduua+vceyTLUp6s3AMQEWv9p3Vbz/mcXTtGb4V0f3XMndUsQc7c8ttlCkl2
GmyPIcMElSvxNJlB8WNN1OS9OcGlvAjnyvVvGyXW01p46USZwgH4bairyboCR5+8CEvSZQEj+twb
TFPdMC+PnkMt25ht7IiJdvQCx73KZvR0zPnloMBzDfc6E6YunhLPq9SjTVDksl/StE3uGSHcHkaj
oEe2+5JWc6ynzr7JN1dfJT6iaxaCe2+aozmGAVRR9rBgRVQgdXN90zmOHg+rJQYd951u0isz34b2
SZkj52xVrqM+9LZjFmG5WEvytU8coXdAoPAr1dC9IHSx6GguVVa4FIJJax2VQPNg9paLwxFf3h0h
T0R0hnA6897zAFs/+oG57+clN/otTlfmHoeZsY3TT1FuHMKsETnv/TzXL30QpMcxqZrH0m625ux7
fXGXciqxMKSbdafB0Pnz2KQ0/06wOs9+Xcsnbc3NdkinS3WR5h7RvqxGMNFOdjNzcYmWd+jolsC5
r+Ug7opL9Pxey6QBfh+WZiWvD539ycucorzh7O7Ko9WSYnyqrVwceb44vdSEEqnI6+muAi94b8RQ
XGNLbGG0KoFxgQntvs+I1rVk8AH9UhaOUlkFEx6qoojrxk3U0Wa3ACRFK37kbd2nmU7GPo3kutoH
Q8rm3nJ7omSaMVkxul+Si9mhku6DJNjhucAe9qiX2lritOUOwfFr/TG4o2nEtN2Wcc/Yde9Yl8ID
I2oc90k7qSp+zqoh/4TSkTk6iR0EfZhw6aso8WabwbULHERX1OlMpdYmX/KxUdlNyQxgJw503rFM
MkOrszLK4irouvK6IgfS3DFFpR1DpoAl8t6T/RRV5tDat63h6CFeMxW0UWtkHzakRxnZIinaHVPZ
s0dmu9m4pbtyPdLIWiIcXQvAZ9QBGfoVh1sIV1P+TIUFK5IF7RyDa29znMzl8nNctfeECdJa9wVk
3JUrssr4WQvw410W9BqTdF7kBw8j9lVJl9tdhEz+q6ngGq/XfFjnqLUXMbw3ay6tNPSLYta3xrg1
xklu0rQfSndzs92sSMvb13VrXbFXe9NVm5JBFwZi1ipayap0o0Xa3j03wy3hWsyOQqTyceISouHr
uC7cR+bO6JKNLhMgDGJzgNesoTmOsptUVFKLIUzq5iQvzoOTSPPDBFOW+2YdU/+Su0nI6rsL6VGe
IU86+8EwQIDibLCq6l5VGxThwtlzkEoO6+V7ZHt3Ux4xf47J3lno0laRZJr5K5LS9Y2c+PrGn2Z/
P9bb9IIgAQC75/A+r57bNxE2vnwODZUoRv04k/VDUTI+tnBlz+001sGpytuJ9l6YnvmoXd3fGKvb
1jFrNvvkHmxf5sJ3vaMrDYOkR7WoyDJK525civWhWuDZs5ruMjTqglbCqm07PxllAtYEtp/VVKgA
NnEtCu81EP14R/Fv30MLJWWY5cVYkAU6Bd2b3S65H+lgU0kkgXAvxUY69Z9CLJOxt0XOmNNgsIKH
rBi3g0dnwODtDL9SXc3lrQxcCASxdXtzdlebXXPxgfYzIdrILNzKOA3CEzm0bddbJRBLWxpvSk4W
964hDpXZvKOfXMMm1+P9qoUHar+N0nzP3Sb/xnhl63pIJs+IAsIvnHOrrAV1P7h1ES1ASFCKhW+9
0sf1erdWhfs8GLI/rXTA68GTRfBqNzNtLdlJ7WlNt7r+LIjlJPZZ6QvZCytwNBdzo8dat5JC2HfT
57yzdZgIw8x2m7zEILcTzHw4zUn/RLzW9j3g/5NwS93RDm183R9rmZnqMAw8tbuJMvWxBYWgVytz
Ha5Gic97dZdOXKXsYWwBqw8k1rJPFzuiriszqoq1s0NEg01+VJO7Ps1zGvyoi5LyXVnz8EQdmj2J
pOJCJOOiMCRCxL7XqEbysOQ46OHjTT/YkQJId+c6UC5VmjSnZMbTHzrV2tzT0W9n7W7eea5ssuoY
f1K6Vlx1drJFTVuJT7xQbrq35jYrmdiwVgz2Q0j+kdVqeLea1uou9LoaTxto6menkiLZiRpIet8L
OliQ5pqzt+lLk6PWWcRjpTqAa+G1uo3h05syUoFku6htg6Npg7FPQKrzYApTIwneAObS9JyW7B/A
UY2RHtHTdeg+81nQ2Hdp9XOURfejbDaOANjA5WPqoCwj12znBytfZ/+awxM2Qww1bKCdC5s6dphP
hlG7N3pusvFKa1E4UWbUjNjphxXuSBSyeGlh6CyeaJSPBxwsYts1ZtV/uCCf70bt2fU5IP85idc+
Azc2csUeDsCaZgfTJpg4CipI7Yg1K5w4VdBhlJFb/lJXTv19UFNrXm11Uvr7pPKbD5j6yQu3Magi
u/Stj0v7EURI8OspaptkvjOHISmj3sUZGkGks9ebyfAqa/QX+67yx/qQjAbHsuMmLZnImwQENiC7
qbY8vKRxas51udMEwdm7RQGA7ajO668LNHPI7uLAavd1u/fdcmanLRZ1yyZsnM3ZgNH1p+UHuHHQ
RMIZN4BJM2mfGDvKE9P1psElnSdpHrTo8VPPruGlgHFV7z/nRA+4JzZZ2w2FNAbU2CIvXrx5NF+1
YYzVu9eh5MCQsG09sEWZqHhbeszfY936N1ufTnMsumS4dbNg+rGBHWzRmqtV7Bs90yGqpRogiGeX
/PONYT4RHjJhXC+judD+giPtBzWu51nzp3dgV8D22NYK/6iKqlHXJR9/ZVcsWBGZ17awGVWL2KNT
PBn05cvCyInZYHrlRJ2p6LOJKfosfIMmrOudpQ6NJRDuXvmB+hgTFzjAJOPGiZ2tnp4hj2d7b2bl
NO0v2TppbGzeiELGVu0rUcbpdkiwrL6nk6nGsJSBtnbTQPEWEVSpqodK5D28RJmD/BkFoASPdanA
ZKoOcS+34qYvRX7dOjUyd7OUyRr2ApvZqd/afoAe6ajbt2m2u52fqeqV9WGaz5O/Wg3Xydd+vNB+
W5FrWQ2CEtqMN19tIjgOs0mIVO5T0YQJtjz9uKybM1CNlnP7U7T1Gux5C/2FzY3J2FlRwVl1decg
y/DS2duRSt/UISkBuYeCxy2cvYCBHiPwi+a9t2dr2fU8CVMIlst0DHOGydo56SCbODMkl3Xwtoqi
3dvW91SktntTdTRttJ/tsF2gKbmMtx6w+zlQsGDRYlvlsKtSCI+DuSbt3Yw3+8VPsksWyDA4X0va
037fowqZ4q5q3SYe6ULMN5Lqhv5BNOvsnbNudrAlA9I67t4Y0pXeW3VO/QI9rvgvrfTrD8PLGvMW
FsCf96uBD7WhIsU/FYILcDDZ0lb+W15SRqA4IRj1qlo5XWKGtDk0+j56j0imHDS3NUS4AR+SG0Pk
IgNMb9bCYOO0K6N7cirlfG2sZfyGEHQ+BmWTeXy9rUFLYFn1dJpF7VTRutbehZhbfes9K+rJ5oQf
qOg2qj2u0MHOS6G3cDA3v96prbT8mHPywkdU3T1zMbvnXGVQ3oZtdbfayPnQssmzDEx4Gl87IyWv
sFv06yotO48ZZ6K3k5/W7Zcl9ZwmSs0l2yJuOFspg9jlQoleW3NElAmiMnMaU8q92XGcB094ZnuX
u8qfjis7eLAzhrwRESdAe+OrwvdDibXzAyxmTiKPkhwAoNBdf5kV5PSxNS7tcD2qIr8rNs81wllb
NL8z223MFqW2M+c+z7NLsziEhQQwRs4XPM6o08tobD0zj/IKp0PYLBvwVWNTq14FqjABptep7q6s
fqQdpPVk2/W3dqlCMCTiCpuWR7sWhoM/seqrG2daq/WQkpeqvgwFXN4J9pBDxUOPtIYgsULtfD+Z
zMukjamKN6cS4nbiWhDPnVhFEJp+N0wv40jmgArzgKwqjo1CZveMEknR4qXD8EzSlHhofbu8L/1s
/s6loix2sQ2MJ39cs5JKoZXfERHayBSkO6z4ovtW7uBCA8aIrXbyWWm5mtG8ZJkbARp430SQrtCj
pVpYdqWxXffO1F2vbgF9Iscp3zVWaX3TVrU+mV5dqFehoe2OfZDwkmCMnj7OJiPEf/pjUWE0Trht
u94clTynphLLnZ+b+ufo6vXdL5spQeF06dMN9oJ0PzaWtSC3M8sqHjzbihOzTtXOIGzmpy8ceG/Z
O60RctCaX5EObnzGupCMLx+TMY0Yougc1yJhPpf0yoNvuz/VMjNJZpKG2TKO2eDQs3vySEKbmAc7
LtF6tPfJ0PvFjcXylrsqsNI3ZtI03bM/JiDoiqGMblyajn2mAuvMR6QyVLlhsrrZzzlpm9vUswIn
3nTKOae26s2cHLuJsnWpjZ3S2frkoR2Y+BIp3UmaNkW9cxiFmcaWvble1Mp8Y0fo7KxhXJ+rdDgr
CeQpOKeyUMCPukDSsklOw2CUX01IyyUc+64UwFfzSETMUHTLTmcmpM7Majznphksu2Lw7RuZddWb
bi2KerOHprdML9kQ/K2wQvNmW2bk0rI8JUW/2qfC6LMEdqdLkiNCl42qzRMWNHQKJ/mOv6IBRw54
nCNHb659VTaXb0GbXz3WiyEfuqAEc3Rt7o+ZFHFTWDkMez/5p7ZANEbq09BxGUBXdwxU72fOcNvT
oFyLXR5LYyxvKLmGeT+R1O3zIQPxbidu/tzqJgG/WAwNsGf2xp5zJ1f7KnAqBAstBqIdPLX/lk2p
hqb3vI5SjJzPDkLUrb4ZrTm+Vu0FUkL2XaujyjaVMQylBZosej/X+0BMWu+z0fDy2IZLSNGt2BUH
3yD1M/4DtKVZ0evLdafNf678rHtaR4bZPySuzbL2JcOzwsLBdRdmyElULIMu/6RuG5i9Zndc/sHN
KNd9mdFqgxha6449AlQ/88sCRLg3nG9Urg40VpK7xN75lXhNKLty4EMx2CCsrVXtt8FbbhUD14uo
n6z++4we8i0ZbVGDb9hD7DBo0om6qWNCRGMl5RCXuaJGWZdmhPyihWQnmoX94hkDoHFatuPNZUR2
caBXSnvGfcM372HmtuYqU3pcYjgeB/Kxah3zKKgdi9hdjUsK/FZ1P7Mx8x4nSTOKFMEnBb1WGy9r
2JqLv1lVFkRuUjgng+kA3TkoVxkFKZ6p3dA1oHAzhus67v3U+jTKanna+qxHz6RFs8Uj6tPPypnq
Juqky9RD280A0MZtSRhQGxhjjwh264FSRJXfZQiJL5deVu+lUfbfktZjIZmTi/iKSJQzIjdV7Xpf
Lj/zXvcTlVdLIEu/Js1NmVS2FRljZ4g4YJjStLctr+l26WQ0FGoULXIPwLX0+3wKKkWTv3ntYTaX
boFetXWAXb9R3m3i90l+neUDu5KlaneBNnTaFI66rEuGls7bY0MMUn47+qq1IJIca9mbZREMnNCX
Urt2x9SJBgI+mtca9ejyO3bZf6cp/8X0mIyu4BsFFzNEu1Bho1n/4fiq//xjToFfvFGrsS3LYsJS
DGKrL3FM03W9NPbvOK9+S+j5V4L1X3yOOOYZqLnm5kEmFKwnI2WVHoYAKUDIaLOsi2vboS6lBV5/
0Ey376KrHB3nNUNJ9xktVr3jfFfeaXEN+cfMZr+J6//BAwCLmDceqls2EWTReVatsSh+b07Hv/Gu
/BpISvFvlb4LYtIpp/5S1HP3YwEy30Jn6FrycEQH3PSHbt2v8aRp1nmlCuztIOYlPa9GxbpztPX0
x179F3uVMO2ZiD+9HawVE6ZrT+bJNJv8j/kwfg0/DVRuphaTqw9r0Zo7cxBqzwAw8cdMPb+mnFY6
aEy/4rM3IqiJfJSOZzGFp8h+x+L/b9bkr6OwjcuIRe3N6wHC/odZTeHYqYc/dtl/We70GXbDPNTt
wFL8WgTBjknSzR98YH5Z6203jkhjLwRgKSvmclpix9do/lgSx6/5pguqCrc1i+3A9L/i3KSd3neb
88dG1Hi/ppuWW1vlFBjroet1/iFbXd1pu8n+PhzhP/9phkz/1//i5/emXXWObueXH//63NT8778u
f/N//s0//8VfD5/N7ff6s//1H/3T3/C6f3/f+Pvw/Z9+gN8GIX8YP/X6+NmP1fDb66efzeVf/r/+
8j8+f3uV57X9/Muf3ikBhsursXmpP/39V6ePv/zpsr395z++/N9/d/n8f/lT9L3+0XzkGDr/9mL/
8xef3/vhL38Cgv6ztDzpIs4M0N1e0lXmz7/9xvqzDcERILq81OuXURUKA0LGHzl/lr7kdw46PRuX
DDtH34y//cr8s2MGJqGCrpCB9EhO+J9Pdv+30+Jv94IL8fef/0ON9X2Tq6H/y59+Cyj930MFjQSg
HgaFwLaByon8+sVuxVySgkZvGo6lLtJT4klVhFnfR169ueeuneZ7NbvpyUOedBwgI84e+qsH7CL+
05IUaBbGubqn5rZ2qDb6d6OrjGPn4bBF7JzOYV4htiFf3n2YYLHidEHOAPG/H7VT/c75+Nuo8l++
imdDigS+5fKNfjWzjhPDDvIu649dMOUftu5RpIimOdkzkjLUvwAf+VqCTq7u2eZbf4EDkwBZ0ntw
7S0/LKspble6kFsGBx8ZyNkdW6tvv2bYnnc50ZaQ/nl+dLRSEQ2O/jr35vzuL27OuA7ZnBCCLA/m
2OS/c8b+cvD/do881xLcJh4h23J/2XNG3XREndFXaq+oEVYs9XeT3L1di1TsuC4rWLVl6gM0bA7E
R6JwMckSjkjIKynn/DAW6dj+zqFzObr++WK7js/z4gjbdUz7/3L2mtgtEZQgHr68gyYgIU6Ttr+Z
g9nabxJOnro7O/zDuvoXT+u/eFPXlX5AZCBPv/g1WW6wxnFAQD4ca27013xojSrMN9gWJB2dvC9X
NR6h+9Fx/v+/L/yZdAPLFj5U+z87HomZcFO18b5dU/Fku/QGs9G8FIvm6TCb/hvOm985uyhAL3Xd
/15iJMWuMEUQ0FgTf+oLcTk5/6HGkm3lAEBX89FTy1XjlL3GXpCaVzipho9xKOx3Tyfi64xQDfSW
aHjycNpnrZ3smvbXkXE9ANraYnbGwzz28sUgFT9sctjccCvyQB9aoJPL8J0t918gJooI+cXylPto
Uuqhf+9ltmAvlHY8Y06J8THqY8f0G1gLDBxvBF5BhEzdadFAPXmRqWdGV2w7G3nVt2r1mkMpU+87
uCjGoBKypXbSHvTBSl8HT/Vd6NSTe22p1n82ByZCwjP5boi8xe9DYwNj7g167KzeLj/baYNQvPHX
PCZDaoygepZDw3529l23+s6qc7BVBDg0tJ6GExnMq3Gs1mn+Zlhl78aE2WlGxtRe94jhUH0X2IBI
XdbJ4mBHkFhgGrXkd8FEnA5d33AXkMPybLS2jS5DofAK5m6PflGAwSOeSerF2oGTe1egLdXZxA+2
Mq7XRhqVo+T5aLzO3APD6COsx1TsWou5Hkmi30pTf3E6CahAQgR8epK39UPnr3gkMF4+V1bvnxtO
ZYB3G8e237Ny7UzLUI1W9jCNGYP86mb1kPxxFXqBwhXHJhQuAUSfPeMZbhwQD+aoeHa0jdx/r+4R
mzhquOtzlQxhjUgRCqgphjLa3CZBzybcqzQrko8OlOKZcE/3HNTQW/2yrAj/tEELKMvrwnPSeTek
OK3GTJTPTXohQoNeTpGV+AEqGWV/E0NuXcMHxaWXW7vATb3dpo17WI/hOEBs3+RLekCt4t6jox1C
BQRwZTloSslbvjKW7Mdaymsa649AGtk+SKs7m2idw1Z45W4yeuh5PJqP6EHrfeoO732zkWpleX48
WvMTDXKX7lsEKB5HgA7LtVTPvhWkT4TXIQ2y+w4XgT8xIrvFndnmmRUF2+DH3OZs79UO+gsMCWMS
dqRXoy1M1gensJzbpBiXe1CQHnXjODyjQPD8ncfNQM9SN+B1acsa3Jyg4W4Ea3JKRzkg9d582I/W
Ivy0LFLog845uoSIPXmbaf9YisA4Gl4l7tPemO+0Ywc3wOxj7LX2HI507QdbFw2R64Yo7hUN/d6C
OLqTs8ZHkamPZDIy0Iks2ZXsEHe4Bw1iRiCep3KbIl9N+VG3JrmYy7p+ev0KITaW3/KgS0JH3Q/J
cHL6xowsz3nrzO6u74xXC2lbvATTGCerzJ4xdXVXheqGJ3S3KLYy9d6tZXA0aw6ko64YCIRONMg+
pyrt7sbRQwrt2pl1o5ZAy4i43PZoj16OFh0Qwy/8UPX51aoSHY5tua9adV+gBD4J37Bh0xga8yQJ
lt6haGX19BOR2uvm7jHTVl+6KchXWHb88mErUZYgWRcqCHXtA1pb6WDEkz3bVaxBn1Acczbt2PWa
qF5VdkTcujxmicL0N+IbZgFp9GxjRbenkuuCCXY5oungSo+JtK+F7WxvqKdl1DtMIlm0eT+5fi2P
U28jNRkH92qYs7Nl2WsZic7PQrw0JirjKridRDE89HmlYtNP0js1DiiM0+VqUS6GgHS5h0C+tkDy
9r1jrHeE1S1Xjqd+DNMXx0j8aBTOuVwxZoe+0+Q/09J47tEnHKgNSKsu3G0H7QIgymEbp117187g
TVvXuM+oEZKdM2KYstR263sNd8Cvsr01ifogOLXe0UzXd9JGvO4HcN1TkpQKMcJYrV0kTFcVzzy4
3j6h+Dv62k2L3Sq64bb0txTxTaqNQ0tXcZXbjp1GDlVYHQpC0MsYkdYQmoEsHoEblhezTZprUzbl
8WJYiSrRh5afeWf2NYmFDCdwkymhQ38FlC41yndgyWzHrWzesMbLhyTo653t1ttuIwd3CH1GlD86
2vRil7DOUzax6Mdk5zME4mpu1v5aTA4igq12brcmWQ+9RTLpsL3V6/gcDJN9tFd1Rdo9p9BWj20E
NJ0DNovtZKdtgXgHOW3R52Yk1TxwOwwNw93MXzlLjFh2K5aFibOTFnu9MTC47Zjuct8GLXL74jUf
s4d6MOjwfV1nt+Tgpwc0QO4RY340Iu56LHqzixJjqPZrx7mFNql/U72HynU0uEtLS15Z6BpTjyk8
Ee9ViQg7t/P+0Scz/JGC9QXbshsbOOsO2OLdB2sLyr3wENxNTPxCutDNsamn9tRYbXBdIOE7ZART
QhMk5s7NJLoPvpxn2/nVUlqvaa1OM2B9sX4NCoygm2LbtLuf+ey7sdwSpgULx8UYMpxhcH6OSf5Q
QhWNHRyY41VO6Cc+yQi2Mf6ogYKioZLDgayXi12G7Wgdf8xtAqcVGNNu7K+cYMCZUvk/rGZCdz51
88k2cnmFf909s93O55aQmF03Hjv3Z1JLed+gSnquOU3jghAxrGtpcp36XconRbXRWXO583v7AUpL
fimWuYmZekR/krkmbtShuK3wVOCF8UNGUJtRuaA0tVd0x+uaMlvCF+qYZ2Q7ZAZGBt/40iAkxuKI
7nkqzswvifLJqQ4k4Cn8Kp7/kFdjt78oryDbLAT5QSPsCLXA/A0M2dq1eCzizfZe8lI/D82AV1p/
9zD57ext+2hn/YQHK33w0yoKPMu96bqm30GJREkjWjJLmu6m1hpzKpnaUScqXqDccMmhBz1u2AqC
DW2jMyFHBg6vcRQN3qnGivDdrJJhn5g4L5PAr+Julq+2KL9ycaPGK+RrZdpjeKmRtJ8wTKKurMjr
1oKtdR5unCT/nlJd4W7BPJrm5mMp3ReLKey7RFT9nXQNYiXM5W2QSJaRqN71Yq6iWUt9yGX7c0ox
CLVE6dLRXhlJezbNIkpHmCxJkVX5nKLWqZclnmH3qvDzL1hAHhC3zLt2QyXtebMTYsOo9/YcfB26
IRRG5nMNCBTb4Lfzdv2xymafSW/ZeyY15zy8+dN641j+FbIBpoXAyV4nVSqPFjLKOEdh7g1DeR2U
Nj4c2QTfij546oO++7IQ3dY23ldttG9Fr/AW6T54gLg8aJkSM+yKV5znLd4KN9JT7rw05oK6bRq2
/RZkM0soo+eDA4u7vtZxY63TKRi97FwlUu4aP11wjVRnmII0wlf8vGEQ3yYteLA9L6wu9MXcBh9j
RjzkbOpdk1o/gPDNs2EHJbg5aSQQnCfTJ/Ki0KKKy6pd1lAZS3qlK8hguZZ3De34eVoX58FFNJro
oTiQqvAUUNEzz95zHltu/olpFd3BGraTrOf7PPnhlTnxGsu0L5mbQwhA5sWZmeAA9mkDXF/xiG35
+mDodgppMnDtDgjUIK7ROg+4r40rNdrDyTLVnoP1plr6SxiGfTX6zDYV7btTWfZzmlAQzUVd3Jdk
j0Rt39xnzBbiYInqXuXfOy5MzNQYMgDX4Gmk4dipSedHwjnyb9IXrF+t41ZDZ0SK0diHbv25BNkZ
78xAz5C62aEyUCAgMoMTn+R0u5GMFbUt+fVTu1dz+6nUvZi3GyCTfI9YWV+NBXK+JhsK5NyLvG7k
9dKUTMYwKMAsYwp4MMWI3Yn8iWVJQ9NpMRIYRoYuqZ5E5GYi3TdBNX93MJ3yqQY74sk2bjNZY0hc
xUku666nXgnVrIInKop515cS2wvyOBVo9FtzWzZfldXXzGHXDCJdSYcINzzZp8KSeHZT8VR6a5iN
NpINIhdeQR+iBakCurV65/bm+4jQ3Fvy6ovQ9TkPZnnML0brnhpGYdX50AEj0JHrqRfh47hKfrjj
GjvdZkacvE5sCgTy6YIEq3ZlpG0tQrU6J/TEZs0MGOhLdrT23l6bcApke6W3s5z6F5z7h1nSDxrT
yxokZ7FZV5MrOSO97NmAV91j9jq4HXGRwmWYIFwpQwK2OSzs7KKk6pArIik19miH/Dm0ZivYpUic
oqLQCOtVV99Nv+kysum2Lx6TmW0Pwe+ULaRroMcMjkRYvDcmGuAJvXRiP81B9wqqi9PjikDA4mZO
obwGokewGS3fSfFj7cKcR9aSbjtfPPXVQrW2nluBBPMCcQqSFRNqTjc1X9k7UfKLqxL5GpD2cQjq
E80sqoiXzqtxD8qU0te/T/KXqdQtK9k5yVGjeWfnqfXJCKaDKJ5ZZCRO1W9YZppTvtrfUye7lQ6R
6Fa189tvcjHF0be/tgX25ukymdq5xxB7tHg6P3pU1m9TreRtkiYnB4VENGxMBZ2L9gl5yxPbH3Ya
iFrn5CWpjzUrYMBHkvsrzQY+pJA0jdoKfatkYwjArLYpuRuzsv2Z117I9JTkxgt6Gh9tMmfQW16q
vkZk0TSx6RUxqq/ADUcfS4VhdbgLrYz+G1rzGruH92CwtYWTiaE5WruG/kU07fW8ptmHj94qLlY8
nFkypNeYYuJkI2KjJrKXiA/pbHG2YF3xcC7uKovalwCFIWrq3A8Lz3wggGe+U47p36HJn2P8hR/u
bIgoucQe25uambxlJ/EwvvRbL49JbdGsaKM8O3QbX2fC81nOK+OV/FlMX6rKNo4iMYKnGiOH5wRI
IrL5GZk9BrlRgEGh/n5o7amlLs6GvVnIMjJ6LF5lsZh+5JWOfXJJADrPylijYkz+m70zWa7bSrf0
q1TUfDuAjWYD09PwsAMPKYqSpQlCkmn0fY+nv9+RXWkSZlNC3MGtiJpkRGbaOCCA3f3/Wt86GuHA
JlHXpfqACcu6yIrmWnI0xGQm6h3yKQxTZCxuET+0FwNKS6+irH5mqPBrjKDoPnOH+AK+0XyXOZzY
N6FlyW+WPzkFnxFeE45ew7S3aiF/RBQgLLulZtZGoNMqgRmT5jDSxAFDpSzz4SIDJHWPccK+lGIq
9oGdTCwZebBp1BCcT/T7t8pvvGycgl1t6PWtmu0Jxa7RbHWJ8pJSTnxDUoV7BeskOdft8WLwK/3a
tFR53qm5vIvEyT2BCiRC/mRjhFDR2H9rNd06RDnRtLodWxyQqzy5qDh/nyVN9VUfEyTIdB6vfGMK
rg0rsPeRVXaPk9O4P2TZ09ie+pQ9X2uigEHqY15XmLpp3aGB3dRiGm61QI8fRlNG9lbqE1sBWejO
7wh4clbQxEpuYwMBL0eX8rMsZu3jlJ1siBjj0htDiuwWAk72zc3JUNNoSm9mQ5i3EZwBdMJs9qxM
Kf8myQ1hYGLO8IqAMmjOi0jcl3kyXKnGBZxf46E595EfaWdFZfkJaYGMj6iYODN1mbzofN+Bmhp9
V3WrdnyP/U1syM/KgL2fcc7fIDwyHzWNpjKuhLS/oZQL2KsTfX7BrkPvTzXQgXUvPTmHNPSsKYUl
mGDYUPq2w8WMW3ur8Ti+ykxIF7mVDoNo5piQlcM9DfPfLaSqOjiXbWjkqD1R3nTbWU8QOhbl+Bnl
YeAZoPnPRCc/hiE++gLr82ffaC9T6pJ7Hv+nAMfnPhttvAcgHie/764yDTRGWnJ6Z79uXXRT5acX
Wd9WZwrI58FK++bclvOdPeImpsSh381x86mTrnvDjna6q3U3xuEgkg8957+zXvFWToSIQ+WGykuD
6SrJa3PTm0N+cTqOo5iYzSMf6bQP7UiMJ7dNcOuGiXuDbQUslJq2ZWha33mLxbZXyVdO4OFPkkHf
I4VVyY1AyHZAaRXfIG5BKS6ZH/Grh5XcBWQsVP2UeGHbNudG1OW3dZ+KDwIc0mfWgep+yKWPiy+i
SD01RhCA05eoJWwtzlC6iTj8Y3K1xkEYgPykdN3kyNk92XLIMR/HQRvuzdqA5WTqSDtdoWBwQIYy
o8o5FwI8iiYc/8Mw+OpaTxKErJZlcVD26ZAxywIpodp3ljaJl80zMhVtZL+WYySydqw2aXXAFj1d
xCa2JGLXQXz1lHrJJx2yr5HPTr/PA/1SzGHyiWCV9uFnRR8tXvtQobi9GEK3/twGIbF2ZnMSpxbd
jTVqXbiDTVXsqAlYV8LUxJk2AW3xMa9emeY0n3Fe8lonK790c6vfIGDJom3aW/42nTPrM/SwemcO
Qtz6IxZKjWz5L3ChHI8DdQm5onbbaxgeU41VH1DJpsza+UdtJtTj4WUgr51H52qgiX9bwYrZuF2U
7yu9pPbT+rpXRUF+FTq6Tb0JAk3jTqnXhyDRtMYwh40b5MOPLIn9Mz1r9Qc7HcovyRQ4dz44r/NE
L+U1LCEwFgDR+hsX9me4meuM0uwsfRzJ7Vy0D26bZIeUWCXYFDEkvQwpATt6gg4eheAIweYrZecZ
ljdTZw4/JhT/+CanHOFRpz4QaETbRNjl7QRJHB2C+D5GdQqzrjAsmFeTcVNNen0WGEVgEfWH2Ruf
jsI/lqI708sh31WxVtxmmZ54JdojFneZfAcWl2+jJnPuykaXF0Njy+96pQUXYtCt/WTK+Wy0cv3G
ylmEJ3csv4iM/6rFo0l3p+1uptZBJJ+V7UPbRf51U1jHk2P5wSCu6TrTIEqghdfg6nRW6tyloYyw
F3f5wcLsEG4o5BUXyKeR3/l5dhaVwymEcCopBHPUf+jwnCAZqgBbbaLODLzBMLNtnQnzPmtYbg/4
qOdNkPe8ZUem88GKTkDCBg1aHw/qR4sHxd10qi2/lJMfFLdQUVprIxSOAg2J1Z0PjlinzJ9jjp5K
Z48YzfmGLEfC1OLIQCRO7kI1zHr7DDGsdZPTrn0wRyrku6BBZCbMVr/oQvh1QoINCk19OrdtqiOs
62znDXdAlxvE2l8Khf/ufrYX/agBMf7ZLhvaz3rg/y91vekzvt71vq+j/3X9LU+et735V/5qezv6
b45Sho5gGXEafW96Zn+1vZX7myVhxJjKtDXXONHz/+56u78hSHVoslFU0WzNMv/pelu/uVKj8aZs
rDimUsB4f6HrfWpq/9NZU6ZjGdyV5UD8gP/At/K8s1bmEDlYB8e9XvfWnWuP1VVrg8DYNIiN3gG8
Phcx/f1bNPDxDJg0pt0FLTUaU6wI1Of3KknDXWSI3KO3lZ374Cluk1jq2ydv4YUe6Ut/G51Khzw6
0za1JbZWjQyFXJUYB0iw3PWDSYE3SzIOhfjD3v6p50Tev/40pWxKmQZ/n7nMbTUjhaTUJjzMRPt8
q4um/k5vsfuoBqnrmyr1fa+OnWLClFE3av/rP+5YGOD4aUlTfPEORxG5DXvmcZ9YOU5WBaUO8bGW
HxHdFp5m6c2tJmPnIk79+MfbP/1csvTX3+0CXaAnr0uNP/z550PKOnUihTfDF3HmsRFNzo2yi97p
sOvP+78/f4ZjBloPy+bboZz+/GdUOqUojttxn7LhvizYMV7DpIZukVXyvj59UsEJ1bMhjCu5tRvO
hBWZTLdz3FOE++W/WJc0vk3XRFfxr8A4vzXbeMy0cV8JVBzUrMV2CIviHSmY/hzJ+9dfbGgMft1A
Vm0sw5QCSS8N09C4lyQvz2csnvr1XKVwymJ6JV9N1+ZsOw9NHoLMtGmK2oYTfKTJ0ervPPyF0uA0
Q2CSpv0uNRqEgN6eP3vEH2hIWu7E7TiGOlQlP5ntYF6Jbgx+RANwuxzR+4dff8qmYkJyeOVkki5+
1KGKL8o5nfaIx3m5bvCoT27wjobihY9X5wViWDVdNK/LH3EhhGDRt/r9UHIsSpBjb5mPVnwwdF1t
Zn9kTUxES+Z+ZxKynJw+GIMyXpcFNB99O/2lhIif3wuCGGVY0mUkwil9/pakjdu719H+jwm1zYbd
3LaWmfvODP7Ct0DtiEnOUQhP9GWaa63YF4OopPfdOOCLdLx2dOOj4mGyDW1nja042Mps3/kCX5jH
DclCp5sG04y2VDMZCZvbqG54gsOJw5LSQQ165hwtezcGcikwOn3tfAkmIF3b4F0t8xdSyrNAaRBg
UzwGHYCy1PjmOIUZ75y51sgpxveRw/HrEwoVaZ9TV1VT/Kg3ZXMEFwLCKMdjOl44BVDid77XF54D
HnyAaCz/fFDL73WOJyMKpNHua6relxy78zPOOO4lIoP3otNfmH94kSYrmmtqqISW6Yltr/VNAa9v
79jaFo3/gfXlYyT6S10LruF1AKaM1T4rwyuivKtfnWNtfhrFn2SGNTREf88/5r7z9YlGOF1rZQGI
lX5GY4Gy+dtzzL+2Izb+ExYUfsMwLeekbHwqKuppzKs2Ktv9LMAdFWWFrVPTNUBMwXAwHLF/++dQ
qXHBZ3stduDUJh0lbeQvjNTnPzh0xTwLLS7ASyuj3aYjvbStxp6i3zRhC7AzdEL5RykKCgaI2tJo
p6cKmZ0Gtwgg16CFxiZo+BrPJFv94BKMX46PpbK765Qua3lOf7f44dPJ0nedM024tykQO5ssaUDh
xGFrmvvW8pHn+JjyOdlETUD3iVyHCIFOqKqDSc7nsGutEjuDEWTGXWjUc7xVTqZ9IuLLKjY0s8Lf
aZPrtNYjFuNdlzng89rUYfvGyaTT91TJGvlQ1/hcN3pogd+CeRcZO+z6cXhLsE8xXREMZjuciG3f
2E8uRPXNYMbhD1kzge6Vnfjfy7gXn5o5jC4rLYsB2LrdPTKH+D5x/JH4cX1ENDMI5Wb3OXz/Zhsj
CzJO5keasiVikph2Ys9UUTpVQYs+0Kl1tg1Oym1nDenRqaMEqmyRlLe5dmoTOp1dfUv9VKotwvRc
25aKXyvCyg+3vqXib1jD0GbXfjQ9NkEWg3LA3P0IeAEkbcfkq50Lyt7hhY/d5zo+OXk3MJ0Ka49X
ct6d2t1UTBMnoa6TdHNl3shuDqD9WEZTXFOFRDe1QU7tQvwJKmGkN0VQm9qu662adozby35LtxCI
adqxgOyUVXIQxNTeJRe9AHZ3IX2Rf8X5M+egVpIg2Z4ord+RE+nhBaWCRO0LCoBnNTltdPYdXd5I
Y1Sf27bskXyQWx/vMQvHzgeADvAKVSvFnSMSKMUFJj6INiNmTHi5bEZOUgUaVIneahi0kWb1Z20N
oQ5MaeB+K23w2YcaxxRF9dSpwQhRTxWX8P1Mxe1PXbvNW933zLyf/KupZ+u3reZUXOLbxr8MX9mM
z1yz9Ysro8foupNMPx3qHd+8TYLAqC+p1VvlxuBpfpzSeSwuHeQlE13mpG6vCmV2xwyRzqlCoEcB
RFO6nRS6J7l1YC9qe3Lo5THq8eiMadU0O4FA4U/2AtNnJr0wP0QkBnIyz7F/wjlW1QbBpWGfhYlf
waPLnDiDHFVEP1pHxbST86n9RuPFgjR82mSDccnqP6EPKXfXpCUtDHvkGmNZxRLrc0jJUYWUGGlr
Vfb9aAgYOrDT42knC17tvjaxdt3O40xvF6dioYe71ujgrlplKWj1WQ1d1FZrGoCeTiOsHTbDLNtK
GhSgdk0QUxeFYw98yEwOw3aUaSVu2iktux8qwID20IyuKzYAssuH0i7s8XfIWc3dSA6HRuPPOM0Z
oQF2BDzu7J8JDJ8pbOOQJog/MYFtaY9rF0ZHAmu0kbQ/rtE1+J+NxrDzDRucFJgJ6QzHnxPoLxUf
/u8qC0d6nPdt/fjYet/KZQ3if6ConqPNk7XkJNp/pqr3irx9zB+Duniqq//5L/1VYZDab6eNn8EO
06G8oE568L+F9c5vJtJkJPIO/59DueA/JQbT+I1zP8J6yZHKQF6PN+RvYb1JxcLSXGhEOtsMeVIX
/0KJgX/++cLHSmhIzv1Kh1/OAXm5BRaWkEBO0mSb4vuJNk1Ra+2261uz2YThODIy2nL8SpR5K/dd
P8mYmm+fArHK0zY4Z62J7T2lQ5QicH9Ogxf8aAMCfd7jCGujHQcF7SMlw4RcCywofySGM7iIOXDP
XVuypXeaWlm2oxlZbc3WrB+VCUDrYApXnWUg4neO8usKAmJIiCHt1/5o5mZcgj0F0AuROJ4e0hFI
ph9REdx0VUU6CIgU56yAUAxMlBjEhywT4OTyqButrTbPMWkKY/110i3bQyKGLq5oVPNgmJULw50n
IGhXmT4g/ZKq+zY9gaI5qQMOBbNflhuAndp5TNPmrjBM89Gu0gL+jFkXl2YliEYRzD50MVEefGnH
tkCdA60YbVOsFATeQVDrGCyrvEZUnVw6Wll2N+nUSudA0Eh4btRpNm7c2ZLauTnJ4CPhLcFlpOGo
xJCfqoR+oJHdJJCXIETzuL+ItLU+Nw2gpM3UTSAL57GfNmVXwBcgnaCs9qVb7PWBZsS2goB6Yklk
Nq2BQfa3mlNWIBjNqn+ohE1QM0XlCTem5Y9ssRGOof5SDn9EaU7Jn0lnmd5I2MwxwD393UJ00R2y
zLEQv7HdtXcF2CMyYpnaL2XEpoLX2+nn9GbSHeaS8a4we3JL83mE3gbNgP7tENpiE4m6uc2L8axy
O5eiTBAm144wo8+U491Ptmw10mR8DZVB19lUgyO4fmi1WhAHmeV+UJT0P/GBp+DDetsf9yyNfboX
fo4sq/EtgiEQt9b1TTLm9e3cIiCQyHvGnRsVqEjBoFfOhVCl/imTqc7nb+nBPh0GO9gHkAcAscJy
L3GRBt802+/iHUZZ/cG0Rf8tovIyI0Juh/gs5XRRbNCWtATZIiq2TrJTJJIhm8Qvmjaz+5nbbvRQ
SzbhNsjZwG3Qu7QfEkIivSGeNH7DNSPUJQ7kp60sIhpeuZ3W2wihFCbkjmVnI5wuuQWVq0pw0rQY
NnxDBWS8OVRIptmn0dgMCiAWIbWuGcUeU8kmY+N74+RCxXu9MtujGfeFwJsx9KSmjlr0GEq4Ahez
Vvaeiwf+8lRgOVdSwHOxiSQ/sQamOkPhb5QXDQkiLJGQp3IgCwHQLF3ryV2YO8Ob/IEUD7ca79Tg
NCjl8brzYUZmhhw0bLQ7kgu0/KIEfnudGZDEwJxroGll5ermR7g+sCuZRXv7r4PL/1+i/vepMPx6
BXwbRvnz6jf/+N+mL8P8TSE1kpRypEIOy6no7+o3CxDlLYNzPcXZv+rif5e/rdPadKorclySuokB
5D9rk+78plssTZRrqJf/wrL0vPojuKxiOTSWpzAc2RnUdje41fJhODPyRJ0XAyCOJ3//C7Xn166+
OLrqyvLZ94rg1ndpzgxmwH47rtN36jCvXf1Un3nig0lQzGZ+rztHnLTM0V0MhcA3y/N1976ozwd4
jW2mMSCrPt2rVkRe1dXqnUr5a7d+Km48ufUw6xqYKqN1tBr3gd7HA/WX98xJr1379L8/ubYT13ZU
mdI8ZkjWRoC6Q/JeFfS1S7NJenrpuTbgm8WGeRRwkCyfvX1CDMru7Qe+2CD98y3K51cfCtuNVS/M
41QWyWdEAKDFtDb/CpWMBCVaRPu0KIyzLG8kRFqCElCyx++Uml/7y0419ycPrU4C+jyWMo+08gBE
xdb53Mtfag/883ctSivwYMvGH3kh1jgcA9cdSLFBR/X2U3vlxvVFGUWDlFTa1mAcWy1PdtGMs4DG
0sqLL8avEnJyRhDyR2uyf5TVTM/deFx334vB2+o1Dlbypo9zwJucrcErBynXzQz6YuyCv6FP7xOX
1gImOyt0do/SicN1g1dfDF7N7tKAvoc8Ymk814fgLqydlQ/89JaffIblVBBQUDoZAgFUZaMP2x2I
lXtY98wXw5fsEVtrDZHeTkPqEtRkFc1tR7npvfT5177FxQC2jAoIX1+Ht/HUEgoYEZVjNOXD2ze/
KEr/Zxj9bIs9eTYC7K+l0FrgEIs/yqRydxHgrEMPTQcZp8j7swEh2iPVFiosMcoqF8bMfoqz8b51
YlScopTWyve0GNIKGVI6klhz9PX4AAjZOceumF28/Ze+8hiXblbOfJCOVVgd29S/93sqZFgvVi6a
2mJIBxIIWtyWzpFQdJBYVfkdR9TVuhtfjGk89NBrSgdQGcf1B5MgmGhM/Hfe/2tPZTGmuznSLZGN
5TGPbJSY5kxuWgwtzl33Spc1fmD7tDhB6R5V0kWXcQZWj6wq4+O6R3P6q558vBRB7ZKwmOJIUgdE
V9ccPGs0pt/fvvpp5vmnpv6foaEtBjYZQP3suI06giYddkVgRBuAgNalhe9o9/ZPvPb4F2Pb8Ks+
PNHqsRlae0LhkP8Za1/tYvGFw+rXZWXaxw6M+QHnwwn1mYt107W2GKtosmRF6ps8Vkp6tp9eV0Hy
dc1DQeb4/K3mJwnCTAnwKGPI3BuByP5z7ZfVqvmadvPzy0PkTqu60k/JW/6FIz6O7XtiiZc/GGLO
n1/Z58RbaVixjxFUrL1P9PYn2afh1o06/Z3x+lPt8e+PkhPN89+wBZhuYAvOMVNIMFJXby6JZrvH
pNRuDZCp9m4UQf4pKoZtP1d/znFgHKrRmh8mrOBoP0v90AYlldm4z+1LHUk4CyICV4pkyV3QNN81
S4M2VxYfMHlfONHobvXSbC9qEgPdyzGSn1a9ZGfx/ZhJSQQVwmeYmByRrDi1z6ICYd+qqy+byJoC
zQaYPj+2csYUk2AjyzWsp+uuvph2hiLqy0rOVPe7+Ec/DNdE09ytu/RizoGKmoaBqNyjEsNnMsNv
5zn/Y92lF3NNmudZPs2Fe+yIp0FWXx5RCK47kyIQeP5Z4vo1w5iUpGNgqSv7ChDoO6vfaVS+9L0v
vhO/c6TTctGjUql2Y5Uprk2NdD7er9y3Q1F9Q4dgbR2hm3/1AtAHvgxreWUUO4vpx2gBmwCqU0fT
0KdrtNrJJbZ1PHsnU+iqV7FsPjvEPlh4ut1jwbDalG7qqT5ddeaSS5WGDmc/CeFJHem7xx/Hoqp+
7/x6TV64UlTcF++ZqOdYGqyJTlJdVrL4CuvxnTf92nM//e9PFnMYkZiUgsw54siLbrC7EiaCv+nK
d7r+nUXr52Hiha/JWYzcJCyB4c2Gc+wTDC7JBGa6tKUAMx81H9vcKu4AEPcATzrCe0O9hLgGimY/
kPBBKGOp31LKhwBXKHtPOnL+Y93nsBj0Fr3hDDqkdRyNkOwhMznodvl53bUXoz6JbLu26LYdESqe
Oxp+jzKG9b7u4otRnxtAa3zVsMVIanlmFoCtw959Z/t1eicvvCu1GIczdoNp0Hqd42YTb8pacz/3
TuCvm2jVYhdgYHUR0o/ksaP4skfwjpO20OZ1D+bUEnv6LedwAFWv+/YxSNL2Igvrh9StunXLj1qM
QfBCZlIDUzoafv/BzkiyiGpr3edC+fPZjaMSjkksoTYxluNV7NLniavztz+WnySdl17oYvD16Lpc
IGv2MTaHFJP0EHw3sb7dk1xQ4wbDigaN3W0/mKmP96aI1H0xqx/4E7KPJF8SJGWPQFerqfq7pP7q
TP/aF7YYd07SjQRPWOlRarKkhUOH8Q4v+hpqI3OlWgw9LZhceCVpdqws+8Ci+x1Qk77yA1uMPB23
PbIqOz0GwFTPhoYOFD35NQTP050vF13XD4VwVHqMhLI9x6lh8prNugVqiXcilw6FDCf9IyaReyTo
hzDIdm9/Yq+80KV6DQcJChNccECfo2swGKizfkkD+X/OgtJeDOjErGyyOPX06Grpd/yGJEkk64az
vRjO5DtkTaum+SiE9j2v5bypWwyG657IYjwTRxNrNZGKx9HMUfLEsjkMTmWu+wrt03t4smQ3pFCk
huH4R38sfVzlRbVNJ31aee+L4ak6G4keYeNHvVTuOcp+CAax814n4vTmXpiNTjjAp/dObqcmoZ84
R9/UHuc8a4HWFfmHCoQ8FB3CkXAOzqtqT3Kp+BxKgCmjUs6R+JfgqjgxYkcjbVZefTFaXacQKeKD
5JhL9vOCsCgtbt6ZtF8ZUdZiEe4CpI15Q4Gii8m3BTwenhHi3q+bCqzFIhz2XZIQw5gchZ82h0z2
ZxhVtXceyysveCnpnWlt23GJyVhZVkz28JR2ntUNNK+LdiCgzChPSAW7DON1o2EJ6dOseegMH3SE
sDkUbjqpt7twKmW7XTWWlx4MF99oiXEhPradiHalWZ3BV1kDoGXKx/HzbDiQ/50MptElxwlS2sZq
w2nbt2SGvX3rr3ShUHc/v7wWEgNrFIKiCwq+PQ6daIs9Mzlkjeaf0U5vLyFO4VfVCZwvatd8bAud
Xd/bv/7aR7wY6rWPG9tHYnPMcFwjOjg33Ppm3aUX63BSwfIiPA4dCUSYLsTA6jfrtmLWYlhnArza
oDfz0URat+kiue06tHqr7nvpWwpnMZp6Rroemgp/YxGJux3kOwPvlcdtLkY1OWe6HAyyPvGY/SFS
Tm/4vVceOU6mtafT9qjGvmQtG49q6FGMDMENwSzOuhFmLpZiJvwcZEQc0/sOM+QbprK+tJP1npPr
xQeDSWFx7yGhrqrVW93rg6TeBgksnFkP6jU3z9UXNx/MfkYLopAeaTZ/jsHwiHJq1efCtRfbiB5m
h01su+ZFREYclMhOxUYswCs+Rq6+mHuCJgB6rJcalu1816byWpjx93WXXsw7oaUgAuap5iXp7CEU
/9Rnw5rFi7tezCpkvVQUVv3ZS0aAhQTOBOYDqij/49t3fnq0/9qfcPnFzJKRC+iYg6Z53dCST6xg
uRAZ6BviaxBW+TtDVT/d7Eu/sphk0sLt03wONI8AaOzoiKLSD6mGIjGZC+L5ZpAljDYyhxQeSAAo
Ps4bWnQahoZg+mGVYbh/+899ZWzIxYvCZ1O6pBrNHpKc6eAI+0vVOf3h7Yu/8iyXiHuwlaHRuf7k
lUSXEDBfdyohaV13XHxSDqHob//MK3/DEm9fjqhkG82dvXzKx8MEIIwkFVR1666+mD3y0m/LpuF7
I1L+T1e30Xgm4ee3r32aI174DJZw+7x33UkRjgjFJg9uoHCmX8IOyvSkZdZlVxdo4t7+odce0WIi
IV4HuZJUs9fY1vRFRTSUcQXq7xylfnatX/o7Tj/75EBSzn0VOXE0e0CNT567Kn6EG2H/wBIbXthq
gAijaxVEMEI5d7ZlEIysdFFtengaKz+CxYccyDpseuLavNn8QzEVY/ghPHvd01tMOQGGlKJMGK36
SFB2VpU3ZGnV79y4PI35lx7eYsYBDKRK1RuzNzVacA4Kud5A27au2QsWOx+m3MEqbf9yGLN8S9ik
TvcJ3WSiF/kN9uBkYzd+sast0qY2Ti0w3UypIuC6t5Evh9N0IDeBmE8/r1cd920lF49jIKxFNmky
eqPRdPvmFJwwY1pa97B/AqOffktRaYNnybg6cagbgV/lDI/ksG40/3wJT66uiToDJZiOHqaLdFtP
Kck8wcrleilfSmUg3GZ2Bm9IRLDL02Gjj1Gy7s6XuQbU5N2EIJvZE5RAyO85x0+yaqfOG10cN91p
bsPILWavN6evWJHTDTmnt6sGj1xsS3MMj0Og57OHSPlbDzvz14zqf9eGuOnFxNwW7lA7iPS9LMcr
juVl1ECCCGNc98CXxv8UwXVpyXCGxZg5V85Qlluz7n7NqfzP3S9mZDLTc8LFS1h+Zis3k63yPUmM
q6RXPJvFhJy09IgqYmQ8TVo+2KaKdForWbcD+2mGfDKGBBT2KUztyavoEH6MG33CmN+IdeNfX7zW
AjtnJmHgeHlYpPt0IhcSu9i0bre+FNMhRye/Ua96rzb171KvyS+L9GLlxRfvFGR6bRbVOHpl1pPc
NaT+wayb4J2F4jRgXlgnlqR8djSGzMN29HQ7UWcjcVYpBgRNXafIWL+BaqgvRxW4u9lt27V/0WJV
9R1jKHsz6rwxZLKp6u6q16Z3ihOnb/Glv2exjCQmkc9k/XUeKXfdhQ9l5cxKGnO/atr5uVV58pEa
9DpsTD2tJ2vsC1Wk1EE/UV/XXX2xf6eySD5BbzdekpvnaXs/uuWaireNO/L5VqohNxS0E1X/JvH/
0KI/ccEk60bWUi1nZlQQsbs2Xm7N+B3BIFGQ+3PVA9EWo1Ygemm588bTzCuVwPyDTRy9c9+na7zw
oWj280cy5XVsyU5vAMcT32eVU7vHcgPuGp/pZd778hvRkr/GdvjPvLxUzqU9ptIw5A8xZkcH0+T2
dyPssjUaK97uYl5OAVOMc2vUnl9280XtZ4RL9Fn2Yd1LWIxWQMJk/uBP9RLY4YOveVa9qqnGjS8G
K14KHdeOWXl9NHyyxAhhX6xcrLTFBrhNereHnsh32TSFBzSWMAimnXVD9V+KOUsYvhB97blFv+0t
bLDuGK3S39j2vzRzcdjVY8mtM5fFOOeGcpeKcpXEmasvtk5Gk4BGbofaEwT57Cat6zeAOO7WfCxY
S5+PKmWkxUyKQ+mVSXsmNBiBrgKStu7iiyGrOOrbJBtU3hgrcd7ERE9PabNujNpLmZkhIKXbMqq8
PJf3bpNss3H89vaNv1KZsd3FCB3LAORhXFWeIWHi4GI8rwZAuORT+kZxi4NzX7vqix0M4SUO1vjK
hOSMHzTz31kVX17lbXc5hsORks8wVp6jA63baGFqHpqKSOccqeB1PsBl2gypQQxwFcYrP4XF4CaV
EliiA+g/15vmuijqcp/nZv3x7Uf68jpvLzVqHc8tQT1Zetop0bgX7ecyXXcGsJcsJW3oaGunbek1
ORnqUmHFzYd3lp1X7nspSFOFhacwNwuvUtqu1ttbP3uv7vPapRcDeyJzRiR6wiMZnPsznf9Y9aiX
IrS6VM4UQ5L0NAydOgSMjSnMVS0AG0zN8wmjNBoBw2YsPaY5GKqEZu/BS/nrZgxnsXdOCOn5uTn3
OoV1ugwILw9FtvLip/fwZDMIHiLtUqEX3rBNco1QlSlft3jZzmK8zn7Ysj8xCo9k5vzarur+GpTv
w7r3uRiYmaya0ImszGsi/WKGhkrcxTsl6Nc+wcWiK9Mii301515sO18zMwk21RB9WHfbi91xYp+c
jM1UeLACP/YYdWNS/taNyqU8rfBnqUXNmHrCtPEWZ2UcXJeDiNZNhUt9mjt26Hkk2FhnhOATpfG0
HYmhW/cdLvVpIZhAXGJu7sES/CYif94QnHO/6qEv5WkylmEUOkbKt9Lo+9kQzS7Ro1VFHHupTytQ
9wC9Pz31WqONKz/VoXF4+75PA/zfu3s6Ls/HJjE7UaxbwHHD0bF/LxyYJ9ZMn6Dxkdq9/RMvfusU
QxZzC8HTDQmfdoT0KTyULnBpYtvWXXpx94DsYII5ZnTU1KTJDRlGJ5JYJFZefjG7qLlP0ymDtwJG
HbZ6S6zEWKyqtPJYFrMLxY8kDGZtPJaJ9am1gXjkOnkc6x7MYn4pgV8j4Q3G49w4DVisgSwH/My7
dVdfzDAhXOyBSET9mKrY/GNUSQ2Js3c+rbr6sm/lCmsyq0abj2lYPwLuPbrTe8KFF792JZe9Kmnm
eg8joT2GUxPd+vUAIN2K0gdCgpuP6+5+sbF3U7uDFlO1R2Bb8Z2oAnsbZpn5ed3VF7uAeixkNlFE
ODKZEb2WlY5HqcV5Z1U6XeVfkwGPZzFSw6BvBPlqzVGFufkNeCY5DIRFHCBXd4eqC8joefvPOD2M
l35oMW6J87T8ti7qY0UgwCYpgd2rrCg/EQ0XfGjNikD3Ajr0O5v601Vf+rXFMCaYtgyqqXFuQFud
cXLekqS2biQYi0FsxLY9h8Cgjlo3RVCznHFbWb185zG9duOLURwngxMDY3FukqK6LvR7gkbW1Ll4
04sRbBcmZuPKdEDqd0Q8DuNhBqS/7raX/Ywod9x+DnNu2yCraEpUBgHcr9dNysuOBll6qUVkprgR
VrgtiBGmorzubS57GrnhjmLQpLiJSduWs7gdtHnN3oOm3WLgEogKXQbLw40NH6gAXewG8coHshi1
wpFq6OqZS3cEeRB/tumzbv/2QH3lC1x2MoCek9kaaiQSkZO6DUMlNm1WvDcNvHb1xcAk1Smy68QS
N1HhZps4ETpQ+PGdtvhrF18MTQugkamaTtxA6CMkuqgOvkna4rrnshiZPUGRQTGZ4qYQw4MgHBJd
0zuOoNfuezE0ZRD7PTly4obQtr1mWhdxln9ZddfLDqndNbqdO9x1kxPt135qoM+tu/LiSN3rnWv1
ziRuNC277uf6rKQfvu7SpzXkyemxd6x6mlEA3cjWvOuJsHMUoYbrrr0YlbrWJV3fcNtjQLEMWHta
/hdn17YcJ65Fv4gqcRESr9DtS+JgJ3EymXmhJskZQCBuQhLw9Wd5nmKNO12l56TUstC+aO+110r/
8VvascoadLL7mK0Bpvd4XUiq/6Qq9PPebi+KZvMuzYC1R9Cvgqx6e0oi/cVv365NojbSW4XrB06N
TxoAuLw2UMf0W9yxSWBP6i4lGy7gDAEpSu4gaeV5Ax2LTKtl6SIB9RjQp6GjC0HWW52Y48Zv445R
djKeZ91aXJRxu4Nq4QlDLX4b/0/LqYPie5CQqlzRhF4wqo6xfj+crttyQgSLFM2w68YMJfIHyFFf
yRQvOCm34WQ7W+sF4sDlLkYQ0CEKo9jg1Sljkdtxkgb8m4FiWZnM+5dwSQ4wNEBQ1etLuh2muU6g
fCXF/HhEOshDHX8Jg/Qas8GLcb+RaboNpmyth6YOj+URQMKvLbRObnZ2fAJF5DXO40vn7linWlYF
/WaJH5jaLW8jOkNJDvmV39k45gneW2QmSQrSjaYBH/4AJT+gvD0XdwyUtjY8TMumR8F1XAz10ud7
b/2CpttmggoQGDDiAzunuj9Dr4jfJ5xcg1y9hIP/ftbQ7TP1JIrtIcGiEopN/0UzaJyOx6TvIIxH
834EQf2Vy/n2/QndlhPkQ9HOwvPnkcWdQUaEUY4zaGOz5zQFxsPzR5yAWpn+2InZp0elePeUHIy9
5634PrQHvZKRvtlFAZu9E1blBADWkVLM2idgIt0jyDKejjoRpZiO8NO89MFpBrHqzTaQq23qty3j
Pwz6EC00UM8LXmJi/FxlVVsMwfLDxy4wYvg6BQF942w5ZPIeocYd3ek57W5WyPp5RfPQ7TkxgR7p
cVR4dUD+932yHPfg+fSbswOq9PXWJxSX8NSuX6i8mubDlFTk0xGKwweLhA/t2HSU1lVQZYdBsUM8
J8b+aTX16hpgbSfk1iCXknEkFDg/uqdZ1E/mRQfV64O6zSU7QK9rkIt6pATYtambINt4+IAMWOjS
HKxLZJNZSPVIav2jItFT2PeeSzuWqzXqGCaCbrLSY/2QAIp/AgWEvlImueB83A7TqExGm4CbR5CR
v8g/Qin93BIDclizYnLM7+RffvyXbH6c0FddXiZZoIk95emQvA+V/uS3tmOmYRhEa7TP+yMJGdSi
2Z861T/9lnbiboCIQqGXy8tNBWmudPiQKghz+C3u2Cg4aps0NG2DMdtd5MnQfQLHn+eVcSx0BX+N
MbayGD/XT91R/QXy+cnzWzoWus2a1WILsnIB+igPI/URWs9+tRjQkr6+KGt76FZPMiubFhdlR5sP
6tt97Ld1t9GEZEGodRnWxyPlD4TvD5Xwariz0O0yDS8KKhAFHR8ZRHrzZIcgNSqdV2L3y1V+IxNx
20yzqYJ0nrPlsaHZnxC7rkHpX89ejxwwqr4+cmh5IEVLjwEUC/NTi1op8DVXTPNCBuW2mUZ8zS4U
iKDEpv+bhrAGJ3j6J9pv6d3IPOulIXOslGYbTas9wK8wdD7Emt4wCC/6hWmX2GAIUwtSuko8poNZ
77KwLQAdG65kTJe+q2OmAmqoIE6YMIPH0vi2DTiFUAD1m2eGYNLrDytV3AjoSYnHqGGgP8WwK5Q4
UCf0cl8utYEcR94M49piQjd7Dmpo/XLiN0P+H2WeCUT7UBQi7eN2tLcHrX4cweyFMGHQeHNORU79
chjePgLX+7Gl4h8ooXnNImBtJwMGOzqaYsy0j6rS7EPWrsOfmMYKrkTqC7cldQw1k60MSIJTSUXw
iUj7cx38EJjY+ctv/hKgmWq7IG7H9nGcpwCRjqwgrm8Tv3ueOhaq4gk0gjFpHntO/uA0+ap75YWW
xs6j1zvX6cpAPz3Xj90OfilI8d4lc1X7OV6XzIAosF4b9UKJC+BAwTcMx6Rj9tXPghz7RHs/EgPF
zkkLGVcOddJcbJAR91rdZTPoMV2iDDdVmWnTFguU6KBltvvVU0KXzYDJYNwDqVB3E9lfEdfv5lA+
+W3cMdCgVkc/ihF1oDa9nePlmfWhZx7q0hYYk+5mUi0vA0HJWWxrfRqXQXgeuWOgSdLKLtxHhvJY
9gdqcKfJpF/8DsWxz0krCCdFNSs7aaEaVe/QX+h8T9wxT2AGsmTcgqoch0DdZVkIzfjerw0bUsc+
of8G9gbVpWXCNv7XJvb0nw3aJswvDFEnhI4TgSZyI5Jyn2Z+s+gkPOsu+8fv1F0LbZQI7LrFJXqy
X9g+vT8m45ehu6QE0QHWz9SmUQk9yCkfC2iyeCboLieBVkQEYIGwJVTKh7MJISGvG3njdSTuXP9x
dBWBKJUtE8sh//0SiGKvah4qjq89+YwJy8TUoS3pTrLH5YjJfNPXK/Oj/QhdRNIOSagR3Bhr2R4d
4MsoTRb9qvycuTvXDxpF0h9zvJbAgA15HB//y3avOQ8G2UbnYCDYCPKhaC2DMTpvTU1yCG16ukQX
kDQLAxGhOFxLK9e7QwefdHUt/b+QsLhj/RQwmGlDLbmceNxA6jGuc0CUnv0uomObTcyTbcn6tayH
4SaV2besCfyaj6GLRWqVWTcQhqoyFdApBzLxBjzOXkB68Hw7TdMsjPXR1UyVa5x86SALw4z0cyqx
Ezo7uyyTHCtVUpFkdR5yHd5Dj4n6JaDu5LxoNcY9R/6yfPNTEhRbU5t5Bk8XhXSA/sWalqpyjput
oLxnkLDzwmm+cKu/tqCQm06goDiWW5RBs043tIgWwJ29rmLs2GdC1QH7F2NZZQZyTv0pTIhf5uwi
jQRv1oWG7QisRHSa9N8RXrd+m3YCp86kpOuKlVW61Tey3qZTzbyIAXDejnFChSaZoes8lFtWyQfZ
2UgUGirl8uy1eRdrpDPdaHNEQxmlOzRiRZSo/RZ8z4cfcCd0B2LnvjaQXT/Wcjj6dxQaSacms56n
487D7iRYbR+FU0mOikLisPsY1NnP35/MS675RqkodHLQAIpUC57OWBuqw++qNY5/vKRgYx7b0TOQ
ulisgyuyx3M8lKtq3hutyoETL9QwRMpfGyp6OcrQlA5lHwvVgrekgqoNaPvHz78/ngshyQVkRVsd
9wGdZWkmNGuLeNmGf0LC4k9+yzunHx4YvOGVHUvam/FrMFVpbgIZ+SVILiwrlrPKmrCWZSbVc0fn
nzqZ//DbuOPCIIXOpn0Supz3vwZFfiQJ84tJLnHFoWgV9B1WXm1Y0OPIh534+V2XtQJ9RJ0sttWl
IQu0AhNSiHrxfFi4pBUiZbWNhmotK02HHygYHV/wSvJLXlxIFq8xxB8RXPOWg5+8jvfP6UG9QBqh
yxSQrrxuwV00lNM+Z2ep+u0OTYtrTIMXDMgFIU2Y0O3axC5luKRTm1fGjsdjOyp6TYni0g84NxHT
uRgCXI6l5HUASVoIVNLzHiTxT6+L/u8I4i+Frj0GjNrWdiqPtH7szTScNin88HCAwr/2XqNudgjY
HqoUmJOMtuCxrYQXrhGy7a+X5pJKLQ6J3MuI58wst5Qufm7FhSJRzKSiu9jBjYuAFXg4Pss0+O51
3C4WqRGrmQdMjZYmCYAtOeL7Tc2e7RwXjnTo+miCuJ7Lbo63j7yKjmIX0zWykJeQ80YkdfFIjB7Q
91yDqVwHko0nTDLzv8a22ZpcrkwXdNF9IWTae6YcLkTpUNsM7gQ5l8EWJgWYJnZx5gDGLqfff4oL
chpQvX99hRYBPeKkUks5dUyzv49wJuYDX6vhG3rXXH+R6Wx4B+Lcmg23EMCC4gOkB8j01ZIXnouE
jbEs2jBQ0ztUucWQozgHje116gSyizA+XpRLwW3KOxM8VzMGT0u9kOdNLZm9t9XO5Ps2gPDyrRma
HZLa0IzOIczNRr9wQBzPoSM27tMWTWXDpltgur8t27XX/QVOT2iQvz47XnGDWaxpLodZH+m7LRsJ
/5OCCkoUfFyXFyGhXX0Zx72z95Me5v5mqRRkpOyoYq+cl3DHuai6A/UTcNllVy03KFp+B4+sV4wm
rkBJPTbcKMjXlUenTjwbb8LGXnkzXshHXZ4BwQdbgTFoLlm76Oy8cr2R03q0YsZzJuDX6CouRA0X
CUbGMZxUF88lP5JTFg7s1KXQ9/q95by9OHGBYHMQSc27aC4h9qo/hT2bz2CMU37f1UV/gUEZcmQg
Dyq1aObnQcr4pg1055XYEZdxADxwRw89JFXGezXmBLtOwV1d+B2MU7GzUMhuV417M6MJm8cVf9ez
wO9OunwDhwn2I1p3HHpfYbwG3I05aKT9RMyg9/vanklKNZgltxkVHqryqKb3LBivHPnbV564yC5d
rdJUpprL6ughXo2y1D1rGWSp5FZduZH/JnP/DU7EBXhFfZ8QCEchWMhM/t0N6h8jq+EOLh6sv0e9
/QnNxep9EIClbsMsba46qe90RtRNOOvmo4xNA/ZRSBDnIItQ900V8XcNKLWXPMQ/XTmIC3bDHac5
ZFMcgpJ0LiEN/c/S96Zoq2279bt7jjtM2So7ErOuNHH78Yjn5kQN4OV+izvZlmSQgLYMNsm2/n9Q
176fZj+pD+KC0OLYyKPZ+6VMaHbWafceTOw/vXbtYtBYAEFVqsa5BKfZ/ICLl91pJdcrd+7S12Sv
TSY9whG1RXhyJewHwp4qGng9+okLQeu2dKygRD6X2Rw+M92kj5C83j/7HcqLlf6S8GPYcwOOt0YF
Ld7wXtn5UIBe/9lv8Zez+mXxSjegUO5QRMuGsSt4w0GGx2FEv1/95WTfMHKX5qAB78wS1PVSEo1C
biCp+QC98eGdorR/J5N4/IrMSl+ZGrjgtVzkFRh9u2WkCx5GfVAV0ITv8j0YgeMFVNgvXLjwqxnq
5AzMPVOZhME7vEtvl+Xweh4RF34VN3KYMoLkqGWGfu1Qc/i4pdPq52tc/FVCxwbUXfjMEOsMirFF
5duMfrVM4uKv+qVrNxvAalsTjDe9heYpq/n331+hC0brIrBQJk3appIjnuvsZ1JbkW+TbP0yFxd4
Zce62sEvgyC6BNsJagBtPhvq9x7CE+O1bWGqJ5ijTo8lCdr3BybbMfaJ57rfuTjR4wD1krYKDYHx
aL5NSKZVb/y8mQu7ApM1CGI305fpHKzv1JgVaK8vfvfcRV3VU7VZzO+NJY+TE3R+/+iG3quDSVxB
maMZ0TXiWDoFXOzU9vUPcFX5ddSIi7qa7TpXupvweCHQJ9zS+i91RJ75uQu7iiGGHdgWrmtcVXcX
JcETr0br1SdBYvj6GqrFVpkE705pNBvPO/BXp7blnp/TiR+1CKeJdi91wGD9zpr6/TCzKw+vC5bv
Yq4kFaYH5dFUZg1oQ6yu4zziE3vnZT8u6qoNLNSrNjRgwg4xoq2D+wEMzX5rO7a5z52NRW3BtAxi
tyShGLCPqysh9dKpOIldMnKueIo4Qczwo2/UfbtDJ8Nr3y7iSjWgNxUZSosi3nMIcRRL7ZmPunCr
pjVHGlC4ca3YVxrlh6q++W3ayeo6ICDBA2hwTdIoy+cCWguZ53k4r8NqsvUwtW1fco41p7XqC5tc
eR1eyFZcfRi+Rl1UDynuSJ0hU2FQJfhn0WLO7XrYZ7+jcYwz2xgEgRbWA4i29ueAi8eN2tkvdroi
MaijZzbLkr4cUDELkupeV/YPv307gXNpjmGPCGIb4927eE9uKjb//P3Sl47dMc1lrTHsCI35csJr
835NhrkQKOvcJ+zw3LxjoGIkeptthYTFqugM4GHyQUyTH00LcVFX474QiTrxWC5c3yRyaYAc6Vs/
j+virsI9CFFHq6dyqOltl56Gxm/ulrigK70E0E/p2qYEDIjk/aA+r13r521d1JUeUmowMTOVwbzr
nM/sUYWBX3hzEVftakQSLvCIqOF8AzHRh3ZZ/LIVF2+luohBPKOfSt7rr3rnn+jSfv/9Jb8QI1y4
VWx4vI7L+NIiWsGDnU2odNMrJ8LfftK5aKt46mwnJzmVc0imIo2b+BMLibjl6ZqdOK0sFKpJUMz1
fK2N8S8m4o1X5H9QWOaQrWJ8LPt53b/tymK2t5GVOOuMte9lG+LXTbjkU7Aefb7IrPuUHQTp68im
P8TCt0/psOoC1QT92IWVvO1A0PZMJNRR6pZ9isXSF2M3HYXKMpDkY54977pJnxY18dt2WsTtYi2/
EXv116hkcEv2jdR+IcbF9RhS0XBfd1nSNP3YZ9mPsAq9hhyBq3+d93Gq6yQgA2QnyCpzzCDpfBkW
z1zBRZhlU1svbYo7tio8JsnBjlwsflw5xEWYmQzwaQJZ5zKta2gJqrbYaeclicBQYXt9Lr0Y6qhi
3VDue3hmeyTyKmN+eHviIszG0bAsare+DCWk6gLKn7K4/Z+XWbsAMyZCi/lJKss6nL+lNLvbo8mL
IBGH4rSe+LzIjnMYDRP1jzqQ3yPL/RIFFwG2Y94zqzSOBIR9603HzhtKD35vm9gJ5y0UuiqjWA2m
qWi8j8jYP4QmU1eM84Kvc0FgKQuM7UF5WYoo7G93u/d3B8AC08GaomNJcAqSgebWUD/iPuKiwoJx
AAc3+h3lYiLTnLXGoByVIXyR1w1ycU+6YXIi0zDAJUS3McOMTDCNfrBQ4iKf9p2layXxFDRt+yVI
rDrNzeFFag0icScVB+P0EEEaVZQJWeLcCNLkLfWb7oG4xWuPcBxoNZCo6coZJee86qIe+rzso9+Z
O0l4msTL2ktUJcZg/tZuCTRH1sGzKuEKcUH1FMolDWrDjTAVnvUPRzJdUzJ58YdvhF0X96QA1oii
ph4Ajqv25ESUbgtME8zFvKTRfSK1ej/Wg2c65EKhWtbpPcGcDGD57edG3icp8UvIXRxUh3Y34Jur
LHc7dHk8pDYn+zXy/Jf798YhuTgo6JIPu2QREG17dtNk2YkKfkuy/k/wKF/xQv8iH9/6jRf39EuN
fmhpG69Hgj9g5WQ727T9OdChfQp6DF4GpgmfD1un7+uQr0neGdI9xGB50LnU8fyUgK53zKfQtnsR
Vs32w6iwv4Ybvrg1J5aCOiHUBCizsg0PBWWuCdG0r6vpoR3AOVLIWI7kZkmi9m7CO+W2YUv8kLAg
+jbsbfyOzd1+F9i++TAylp4A/Jr9CvWh4y6yqG6lmQNZHmynpx4SP22nPEuvLkJ1JUeaiARxWMdZ
dkNt1BcgQ/dsSf8Hn2bWNFhHNYJHzTSYY7LDqQJtm+fBOHF+XqI01sOEskOIKe/1qHW+Kc93hwtN
S1DmWoGsx9OXWJanUI8Hv2rsF7tcaNpQNRp6R0SW8WGLsSf/VFFwXDGxCw8mF5sWZgJFAYmqQK8Y
rsqQiBysbVdeTBdKDi46jZhpCdJxQO+lFk1xNNFWDHvM32+99IS/uCC1fgD1XjKmXSlXzk/LKt+Z
vb12ZS7t37FxcHG1KdoBEpN73N5zMIcW3RzGMOaZ+T1VXKRa28ZIwUchyzml6ktv26c4WIevXgHY
haV1oGySBETFJbqRIaBv2Vdoil1zzhdujgtJs+iEb8NgsfOXyQk2PvQ8ePLbt2OqzZaYhVcy+IAq
eJoLIqqccfX994u/GdyhEeKkPNEBTQgVDl3Zr9uQFPXUkZs0jMXXcQZJiGbp/rDpuD///tfePCWI
hkSvI1glFWsiSBKV1a5lMZPlWfXM55iwtvME2MdGcIGpvlLvzVgg8EEmlK5engGrO49oIAaGdBcW
lpWQ+LOF2Mkf0Evur9z7N78C6Lacc+klakDDAtPaj/Fc9ct7roa7MebnFrNyUdr4paAuhG2floyS
ChbQ1dW3rM4esmH1QwwTF7cmqyyyR8xf1jb/S0hzV2f0+fe35s3cCio5DpWKMWhZUyARUdibUdpv
4mm4J4AA3Q6dzv6oE959/v0PvSz4nwQLP+QmWOCOZmTL+jKrKV/yPh1ntDz34XY9iL0f9nkDNn8b
Fyjqkg4YIGWuDaL8Gxrf+Gm3HZrRYWgQ7iWq6JP5sNmdfGJrAgIjUw836xroHPCPrGiHFjywtA6K
aBDtczqw9kEegVeLEAfgungC72JTfMQhjL61ffdXN3nRRGJpJxPbBg2uzA5tgoTJm05ilndYkr9/
/90uuBUXYZft0TxCLrgvj2D/KOI1zic7+qlbopPx2mfN4bG1TdvCr7DxfVVTceJtut747dzx7ShZ
jwZ9O6SQWpKi0+vfaP961XJw5I5X4WDJW+TCRdk2ERCTqVnzuJ2uZDOXztxxtzoUTTfWdYeG7/7D
hstaHLbz3bnjbYHejoJwhT8Ua3Rj1uD72hovdm9EPMeb0KaBxDOEVcuM8AQMXuM3VVOfFgTWdhyI
MaOd+nnvynoj8Q0kKGgBNtf21uuyuPo8ASSXYybgI3a1BJ+hWPBuDM1xxfdd+J4udG3awn2XCQIc
xJyauzHj/T1K/Ne61W/mjjgYx4j6bGxmPAFE2ZCkPdMUDMthSuvz3o1etWL8hGNKMWP1YZjuyngG
x+XWf8J8iZ9/ceGfEx204ptp0euYnrel+77r8c7vmzpm1Atpo9kuXak21pyNGnWBKZ7aL99y4fB2
aMcgRZW1tJtO8zbJ3vUEsxBeW3dxdvuQZFAXwfM3Ssb3yJga3HXqRUCEfMuxJIJqbjRZvPKgZY1K
GRE50Yj9fjt3whyp99HMGwopACHQBx71WU7G4BoM7kK64mLs5rCb8SKiHZicwzww9I+1UieyyC8i
E9bzL3DS9r1JehT9k648MBW7tKDM79o//Q7HMVUM1ETrPGWwIzF8AW/xUJieXBvdueBlXKAdpcDC
Z/WKNHoWUw5c8pZX1epV1k4zF/gV9kmwKQ0ktQwTaJrHX/Yo8TsVF/ZlkjGKFId7TA/zTc030jI/
5+JivmyIgrMEEWEptvm+t+K56+21udILCa0L+Vo2rlYTLQLc83KR7+eJsS91PDSncRhATEpEAy6o
NFY0Z0MTfd+0rq68aC58aJeGi8fBFimxSTClJ4ASKxA9H6n+x+uKuoiwOYlBS5bFuKJpxG5R70hu
19FoP9tyEWFyznpo1GxdGQTRnVmqITeZb2bj8nClKzAhiSZImzoTP3fRmJwiZcyVDOFCmE2dvCmt
F0pp2uARNm/ZXdrs9VMGtPU/qodTKrwO3wWH8URtRI8Gf8HSq3zQPSp8w+Z39i48bFA0WZIF+fBE
m//JipcWxIueG3e8vrFoVLeL6tDvRXtzm25Fl3qRg0NS1HndmJEf6dJqWS51MJ2jNLoJWeIZxV2I
mDXHFLUSOcLCgyUPovppHg6//IP+x9ub3toapmTpAlYbkCGIv2cNqIPfZXGSsjHZ2yUReLpHmNQs
VKqzMRcRq33vS/T6cUbTPVQymWTZpsln0toej/bMi8EZH9XJzRiibDu3qI3VU9gVSRQMOa3na03l
C7ZKHVsVPdezfsn8IvBm3DfHetwFnYwK2kWB3+vSBYnFa0TF3q99SZJmzldIDZHwmhTGhe27GLE6
AsgXncAONf6lH3JFu+U8d9vwsW0mcwWb+2KZbxRFXLRYQ6oeMPwFpX5yTGd+dLbQQ6iRrOECWca+
6Xr20iSBcK9jwXS3QosYYPesJuxxb7i8523i+Thx8WMLWGn7XuIpbvrpdhR/p8t29rIwFz5mji5o
UksFSJioPpskpLfBXH3xW9wx33ixFGoqeLZVKxuLNKr5aQs3n2l9nLhjuxglsLPc4BuqKJIFYetw
CmL9zW/nju0Ocu8zXh2i3JL0h5x2C9auzEvXDDt3TJfM69rJdEVhBYPkd31Sre+SfvArrLiAqgXw
6GQQti8nVdncrNn3JlZ+39PFUwHoxG3EiCg1X7P7DRoH0AVvNj934wKqRL8wtlDAjCO6fZojK85Q
rvJqh0LY2rFPtpBj4QTPEpAv1e+adJFPqsmU59ZfvNwvrfUdilWTImicWTX+5NH2fuTX5BFeNviG
E3ORfdqOKRGxwDWfo2NFqzVDJ/wIoczG0Ma5G8YwvZJz/5slvfVTjrm2x3aQIAXCau/7Pk/buso7
RvidUau+pwtIztd6+188ZUoWSR8kuSRM5ZjWVncS8kAPC4vSG0hJRbfVIngRUtI8xalOTrsm+mMG
kiTQUlThHWj805txJeKm0ngXFVSBivwU7Yc911UV39hs6s9DZiqSt/Oa3DFtMf68gkX7nBz7lyYY
5M0itjG5Cbdx2gq0z6s515sFK2DdT9Fz10aSF9saSHMCwjP4EFUHOP0gqHAm5GV2qgXZ361cxQSc
fHMwnvOG9vdtOoUDtJPmtPqW6FB+hu4OGhwh6p9feaT2J0zDRveMI9EhhE1PoHwdroSqC+8dF9zW
HOm4yw6hFuQNZRQdp2EZrqRoL3fwra/quDILnpc0CBe0P0yrblIM7UFqrmdnGpj63stbugC3KFbL
1rW4oxE/MPExkz/Gab2GH7pwNP8Bs7FEMHwp5N2MZcWxxeO5s3LyGVJLMxfKJmcQWsx4apYSbLj5
F5JAxt3rUFwcm+EHOFN2FBRVt8d3ctwhJYbb6fcacYFszT7xERqoqOAYNRQcBJBny9V49tu748/q
xYgpnibA5KJxKGJNHxUmzD0Pxnkz0IAxgSIrUr+gvkuzoSlQb/HM6F0kWwhpcTPLEdPwu7qJhXkA
gMcLZI274mQcxACzTgEgLvd6h7BnQOovmamT59+fefjiZt8wVBe6BnQ1RWsS3e02qdn7GHnx/9CG
jk8bsHj5sVfkayfVXqwTGW9jOMObwZK4KeZwT+/FYLcW/xP/y+uCcbdvRftAYDRStoC/j+IhqaLv
aumu6b9fCGouli4Nq9gkmB4uZRDUQxHxPQI3KjpOp3l9aZ1GMwTQ/K6bC63jsbQpnhei5E31MNLm
iW8k9FzbKTNncW+jF1GE0tZHh2RL4nk6DtTPCl3uxQF1HoIHmMAcjdpyDOwlwBRtfr0mF9rWTJum
NWMtiHxiArr4GpFPJn75kAttaxtr157BO43ZGBbVwBBFN3vtrXXJUlxsG4NeVNYvM0rkya4+t2Kj
tzugRGcgkRXPFxTzHnZoM32Qm4QEgez7p4EvKscscrUUE+3147bY+ErwuxBf/93kL7mfTSSvD/3y
Nsv4X6oBPWk9DQFKpJu6EqMuWIuLhzNo8gRZQ1sQTsi9IJjBBYihHjCSw6npimacvMBxaeaC4+ot
rLaDZij4pseDwZ+Wt3185a+4EMcdcNzvfeSFNVwMHJvGdIG0JWw5tShlWYHMrdN+xSYX/UY1msSZ
BjYcgkHpOZvpfmZd8OX3O3+bOCvNXI42caR2AyRTlKEKbYH8EzwZjTGgIYJODhDjvbpbsrkX+cGS
PYdO4/Ih6MBc+vufv3RwL1frl0saQfpA6qmFK6HR36LubuG4rjwbLi3t5ApDvPM1TfHI7xP9ke0Q
N4R4n5dEMk7t5Ud/2Xc/z8hVZ3yTQW0gV1vXL9t4tZj+bwh4I+K6RGmNNfteBUhzxp30EGWcq/Sz
2jANlgt+DEduBzr+6FmnqqKyKCef2lhUU9EdZL0LpyO5pWsVfK1NBztZ+uoUVXH0bgeMCbj/lecQ
ypu/L1VEvCoe3OVTIjS0DIQebQk2vBu+jj34MeonnwvCXbAHOyAcNO1HDRahmOVZsvM8OLyKKdyV
yYuBYziaOG1wzLro9/FLogPPpZ1SygTw69q3YVOCBOk4ressHlBx8qIOSLmL9eDKzgHr8X5ssiF+
Wje6fu871nn6GyedtNEULYHeRZka/czFABberU+80rfMxerJOqYNMl9gDtqi3TDVSGl0rfR8yeKd
Q2d7lliB13OpbbSftygyIIGsrzjKtxfnLlqPh8vUzQmmeqmUP3f0/CqMM3qla9wF6CHr3DQHWWGZ
BFOYp7x+XAn56GdAL0XoXzyVtgmAXiNS2l3I+wpBCo0KX+N0vDeNsuUQW9+WFZvqIlvDgs3Wet0U
7qLfGGQPtlpnbWlq9beKhMnjOjZnr1NxEU2AB1OFzwnwMU0/11w+jdn8yW9p58C7boiGNNmwdD9M
RRaP/KRi7udXXDgTxyw/ytVp8CETcio2eTttavU7cBczHU80EmAMDT4YTJoXYVC1eTJNu98dd6FS
DSPdhhwJO+/X8IHCip6FNqtXsOcuSgpcr3FFzdag0Nmdm+mUKS8OJfhaxxt2R4xo2SxNmfD5dh7t
3Z7Y7343xamAJXKOaxPZBhz2Ozsl6bpjwpxvXnkthltfG/4o50OSEBvvDrwxkhBvnaVNvKjCUu6i
pJJjQUGzx+fUjSUPNhGk4FFaeaWF3IVJiQXT98KI4MMi2+oWQrD7SQM67HXsLhVZzThboVpTfejq
6SkY9Hszp5633AVJNQemFcHnAxvqBsS2HlMqwbT4XXKXiGzTR5RiuLgpgzS6o+FY301b1tz5nYqT
0fKpRqRv/8/ZlSy7bbPLJ2IVAWIgtpTOKNJDbCdxNijfOAYHcJ759Lf1r2zYsqqwPQscCAS+sb/u
rngj98M+lGERn3iz3+PDvOE9XYCUimqoyq1YfVzf7urLpL/57dp5nVDZLfKBIJyIzPYsxJz1xb15
3xuZUexOXnSLrIkgAcLDamTvOViyk4oqc+7bKr6si/hmqqbJep0vb4J5Xk7z0vv1VWN3LGOCp8uB
csnfbK04wIl4LA9ma8qz16G5oPxdNGTbR2HecBzamO9VUs3Gz+q4WLWA4Cv3LAYTSlh0pyg4Xrco
NJ4bd1yraIxdTcDMm3gozh2bT8xPp1xgyutHa6nmVaIQRLC0FmVSNsfnKO+9Wp+xC1cLe3BnBhXW
rgaRqqL/1jagfPD7ls6znVeRV+AGN29ob4qkCbfyeUVU5pUKADL346mUax1sFRuw+rQuCRTlHxo9
755bd95uVQlr6NyYN3U5hkleBuI0T5Ap9TsYx7lCdBqalhsO5hjqPyEq9klNuRfzIS6L41pNq2rA
/yxCPCDVn5luPuVMWj9D/BMQjTTDWocLbguN0GIMXlfgxrzOxIWhtQiQaBfGcKsbmg86PGiyxrNf
6yfmzuvkpukFdDPMGxns/NStEYLIfOB33v61bPNzTSR2oWhQ5KjA36GCrAyITtAyHJI+ttv5AH2R
58k7FSOQGKi1IjTIJsh0AXpswBG/euZ4LiItDlolJmvNm3bhzemIig8j6f/P77s6z5TOBP1rS1WW
I5DZy+U5JsrvkbrqkFVkurJF+z2ToPzD/JSanye5Mr/KkQtFq4t4Wat8V1mwdfZUD0See737Zewu
Ek1OBevR6ESXPR4fdLFdBtncOZWrV/jFZXQRaDWtQFTWrUEGVEHzyMZ2fSl1NL0sYuJ/o1JVPnp9
WLf9DiL4WptlUCAQMOdg23ewsXiCO2MX6rYXq4wPpHkZtMXm1xKydM8YL/NLsF2MW2xUXAcdgmy9
1+HD1INEb2mC6M75/68N/qsP4Ljr+ZCmsDOeKgq85Rljm+1rtZfitFbLl20dYH5CumXg7iySVc/v
JBve2ibU511dtdmV+SNfhXja9no5oS0LPEd7fGgjbk99z8On2eZ/2dmaD7zon8k0vB1L0MiEHChP
Lpc8JaQugeyK//T6yi6Kbt12gz7KobMcP4huPaSdRf/Rb20nPhCU0jgmQZztBe3Puc7fAUhzj//6
usivvoJjd47SNsU278ikWJ3GGziyGlzPO9/41uJOeNA2PdRKwkhlupPpxOIrOtjPMriMa1MT5EEt
SpXZIVrHxG5h0J06NtZ+M0Sxi6RTai2HnBKVgeJ1Oq2z+gftfj9j7wLpIjIPZJZLnDETGnGelmIt
TqQJ5J0I/urtfvFRXTAdGRiahStsclWZ4aRBzvK88rl8IJM5/IyDi6ij+UaLYRIqG0SY2b4Bzjau
PZMEF1G38+LYF4uJDxDGiDrBAD3oWTbVGeZXnHB5ykrVge9Cbyo7JtGDeM42j03QxHfatjeuvYur
k1TPloHLLzPz9scQhH/vjHtu3Hmu67HARh4dXhTdz3XzEHa5p59ygu3jAGVn1LV4UIw9cjQsMOhA
7jVob7TVYxfGBTBDUy1liS+6zOV5K+b4caTHeKr11r3SNq/O8JH2C1pFIU3sIPTLKrvgoZfKPpUW
/nKBlvCdq/trYQ8Ru7AvLYicRRfpTHbh+NrFVfOqVhTbkuIIzUMdW9YjlzHDn8M66PoEGHm0JHwF
GupMiShe0a8rzlUk+znBsPH+Wptjery2YIskzIvqiVTggP+97b/xkl00C5JkMudDH2fNFDUPmk5R
ejSb+AihJPnx9//ixm11QSw1A+u+WKM4Kwz719DuS98LLz0LEbs6ebqswXI51HBdectOYTvwZNmE
X6zvYljG7QCeYKzizLT0E8dQ5mkOu89+h+IEJxhZn0CtGcsM4A7xkNvjCeM/49lrcRcYuIEVKzJz
rLKQBRc1zk+E2z/8lnYSOIRsgWQS0WZ/0E/NMEGVZhn85tNRC4a7+a4Pldd4CYcdVRbN7I+qW19q
PFa/fV/v/3dLLyKiA2snmEwdv9M1/bIo6meNXUVPUdIxGgmWHun+Wur4W1BKz6Uda7xNOQePFJ5O
xJvqxOUEtkLQYvkdCf3xSPKiH9vFxnGmxFqd9Qyc9NZXd2zgjUfvAgJZpOutRRk922Kgs8KqPkCw
I/0uoQvRUtB+jEKgSDNy6PlJg9wOI6/sw++P5XrZfhHbuAAtttBtQws6Rr4plqe1LsOESX2c7XrA
wpRE3clrry/mV//H+bZgocRYLZtjRPMzSgkrpPZysOST7ixEWD2HagF6NYfyxO9/1o0P4gKxtkD1
x151Muu78B/VlG8FIX4VQBd5FYO/h+bBILMGDceEi/ntwat3ftt2ymggOwC2FJIz2cC3D91ovkA2
1y/UcQFZQuaTMCWFXxpb/XkWefEJQrdeupYidhFZgjJ1bBU2Hu96OYN07q+eSz/sZuwCso5yoZ3W
WLzqjzhJFQOY7PfnHf/6Vro0ZGvEcppDNzfry4hdopKVr0VZLk8RJD8TG/XFY0Xm4LEJTXfnvf36
HUiXeKfSU77Fay+zouGoY/ZFUtTmm9yiTKJzc6Z2+fj7n3bjBbgkaLZQMfLQWWZ7V/E3XTCSkw2k
H0oNIpw/WtPoyjWdi0Vmh5TAPfdXFtUt8PMDLtjrqPoZEK5SoMJm7dnMdnwYl3v8nbfOxfEDZZsP
g5CdyACkSO1WPTWD/up35E7Mz4t8qUC4K7IoLtT5KNW79qoe7be4YxqqeewPNguOygKsNTLE/APw
N+ZOQ+ZGa0+6YB4O0g06VS2uC6bg2qTJ+fhXrnj0Rm3j55b0+0NbHdMDHsuc9NsyXRBseTGKCemC
feY4HDdQivEMo0rmPDVR9cioZV6+Wbp8VPPSUrMfkmdk1xGcfsjeHmEb3Uspfu1ApQvKsTQfIFEr
RaaGHBQjuyjP4KhGxqKHcHt/oFXkFy9KF+ePIdmD8jjkmSBs/IOLcTtt3HZ3HPSv34V0IYuFIWFd
lkxkPFfxwwDexC30S4bBh/6jtQC4gOzLMfFsaYZX00VfzXxvFuPWtp03Z8MCk8EYf87CcZ8fON2j
l5Gv3dnn0UnlPjpc+RnA/uuRb/OpZTU7cygDey3uYhaXIBJ9VTOcyrpWCSp7wUtUy8Nz9avL+y4F
MEPTDQvBbZGkhbRvtZEnFKD/9du6kxcVS4Eh+VLBGAXQTW5phq6f3+yOdAFdszqsqXIYulFUYdId
8+NQ535WVLqIrqGfMLTeHjwzYxCetdWYAYCCtN91cRFdvN/avRAbznwtvslFrKfOYFLG78ydCLrV
GDGxosZdtE05nsIJKFGhGfebvpEurMuiOAvjaHHuy/5HiPpdMjHmFx9CNfHH27g3y9CSquFZEQb6
ZRq6r0e3TH4W3sV1mYOj8wS4fKamfXzRS9w+gv7j3lTmDQvj4rokrYqJYnIduTT5J2Qk3frx8+8/
6TUd/zkpkj+BusYJc6zxQTNWVfR9s4XNSzfo4dlsVeln1l1oF0KEtYc8NENfrgvAOCYTyM8LrywL
jN0/flWGqSfC64BlEQHtj+HtIy+je1Tjt879emjfGbBoOOI6XHssXqxTAurHV9EcXnmWlNf/+d3a
AUXdJeD59a6HUC1YUW+H1q9fiQQB8I+rA3+lCVixeZbHIC2q7QmIVM+NO5505hxXRrQ8g+TOf0NZ
fq4o//D7y3jrvJ0nqnNDosFi11EVvz228mkh97Toby3tuNHp0HnT5QXNItvy87b2XdK3gR+OQLrg
LavzVZasoxn02j6TIjiPIfvmdSYudotuDed9AYGeWUGdAzSqTdIadpz9Vne86LLQAwjglmUTaf5S
3OKWA+TmlS9IF77VzRiAXZDeZmgHbElVGpMUMfN8+S6Ai8dTB8aQhWVgwO4SyO/+37HVf/sdi/M4
j16aYVQry9pafqND+C3u+Se/pZ2XORRtrIpFkKwboEiagKPS/tmwePGqMcqf8APh0C4m7Gk2mpYn
rA0vlZr8nqdLVjbQWAyIiyg8aHgWTRWebJ77YeakS1bWTmsRatNEGdf2K0PLxVrPF+Q8fQOiS8Ig
qp6FB3sH8tiLIsozUnRxYXRZS236lWQTAyGFXCzquibWXv0Q6ULDml4VamcDySprT2wHq2PpR2Ug
XVxYC8BBFZEeSzP+nzL5HzUYMrxuuAsKaygafQDn00xAEACEGMF/3exX+ZQuPVk8DEsRrTvNSDmF
D3UbPy4q913cefVBrUzZVybK8qb5FB01mC7L6S+/Q3GefReBa2eZMEfZjptNtkG861CGPvkt7rjk
vd3A6RBbmslWNP8XVWH+wZD8P7/FHad89FbuZTvTbAj27Tlaq/fttPl1LaQLB9MaEnJmISTb+2B/
jMY+OMer3/yJdAFhLNqjvgSNezZ1zcdF9pD5mbw014RwAyzAe/dI67bNehZ8BJcN5k1V4FUnF65y
QSAjWm7isBnblvgcyMEgQ2z8JoqEi6APazETQ0yTxc2yn2Tdvx7QZLjj8n+dTkAa5ce4k0+52Jqg
7TIgucb3E6PrWeq4v1iNot3v7+ONf+HGWlfhBbQUizajx9yfjnEqT6Jv84diCw+vjEW4MVdnlmON
p7LJmGgzcKY/Q87Jyzji4vx4QHkbHtOK7ly20brIwA2sH8ot8iM0EW7EVVbTBq3zsctqzCJXnVZQ
A1z/9Dv36/f4LmGJiwgQ4qCtszysjxez8jjtuk2fQft+L9+6HsLPyahwiVxXYADDhes6I0EXfgjW
1RZJVK3jpShjlBuCUjzsORVPv/9Bv04JhIvwG8tuHHrMk2R7s78Vxf9BW92r8CVcnjyAsqAhuXV1
Nhz8TxW076PqHoHEjU274P9wMBShadxmoxztwzSkR0/9CB2EG98FFhzb4MJqs6FtZVKXyyuB0uGd
Z3tr444bmYpw6dUa1dnU5gCABUuVmN5LMhfX3jE7mNWJSQMkaMbJtz1GsrEUIvDbuBviVcPSjXQt
uqza9ZBMilYv47zck7YVv77ybog3URmNRdDbbIIHjF8Z5Xl5QtK0gmFFcvOf5Z0fRE64Id+AOHXZ
u8ZiBjZ8ktPyoVv8uBuFG/KtY0yrqF2brKqrL7zb/+4CIIB//0xv2Hs35GtX1Ee6NrKYq89tf7IC
OrrVaNAdLTEU5xVBCXcQoJ5tpQkRNtvGdTnF9gDFpb4HjL5x9V3VcsJ3VMF3ajMSMXUiYq4fungQ
d87nhtF0hwFYEXBVTyP8uer7y7pqyIPKFpR2RGE++0So7J722pI7tu3W53DeMR/bcD36pcnMRFpw
nqwUUTJ6mMR6Sc4K4caEzHBi0aKGiwyqJKagrqHc+MGShBsTtqMeQTyOxdeWsbQm81Mvynsw0Rtn
4ybfzTqqbYLWaVYBzPmg8v4r9J6L14pSe+dj37hKLoK/VhIMVSOpM0vX06hBPsK2+uPvH9qtta8m
6jsHP6l1L4J6tNkizH950H0ag/5OQHXjjrri4DMYug6zr3XW83X6QyDL+qtHs9dA85oPSVv0DWiD
Y79SgnDJXpd60YOliHArXpAnsfXFWWmW+5kKF6e+xM0htmOCqSjH/wo6PhMMifv5Gheivoit7I69
s1lJ8+a85dFbUU3Ng9f3dTHqW2PRNANtZGYljc9KdPKhAtjyTvv+xu1xEepzAT4iqmab8a18EyFn
SdQwffHb+fVafXcz55yR/LBQQGs38dKOIk8MhB38vqcLTS+aI5St7qpsZdBHDNfXeprf++37aie+
3/c+lwhNSJk1fY6Jhr7dEjL6yTkJF5MeUMXmSq5lBkav+gRmjuBkyOGXgkbRjzuXB8DP80GKbGj0
nxXyxMNOd5a+YQt+Gp+adNGN6E5m0CcIuwQTyfqFdcP0uoYteWeCgICM31Z3+lu3rqXjrhTAGA0E
AIusjWf1DNpYc4oxl3fnvd4w+C4IPh+NFbw6imyGuuM/6z4Nj4aS/XUC7ewd03njB7jQdq7L3RTb
VGRNoVGdh0LyyfaQHPG6oS5wedI2xmCrwep8f1naLX/YejE++S3uPNt9XLdurIVBSXd52/H5WY+H
H9eXcJHLRGyTZjYyWdks6mSNiJIAFOp+NsEV567QOG8WuZtsVfPfVQ4GYZl/8DuU63f+zibI2UL0
BqipzFb8kx6HN3XUeHUthEtnqpnppriwWHqNn2fb/kVt8K/frumPuwanPESSTG+yYh4Bz2UHUjjh
V0QXLnS5i7a+020QpNKO57UeXxbS/eW3bycxpMEaooaGpTWhn+ghuqQMwIjotbg7ZwFVoWMRZWGy
ACW7h628CgwNkLz2W91BzwTBMrcFVUHKw+ZdwbZMz7FfJODOWZgGzSGz0SCNi06+nfZWvjWz9nN6
LlconVdTT11usrmNlrdxztaHHiJtdwbhbphDF4m+B3Ile8tN1tXkCj4pMCYakjtxxg3X5CLR8wLv
p46w9WIugjxRAevfcoxxN2D7oNPTHNb2TFRwL7O9fslflLtcMtBq3JeYzGuQVn1Q8NMWtMW5NWL6
FttJPKLY1jzuXR+cDsZzP5PsgtJJANbKQhZBuh9z+y2Ig+mMhEJ7NR+BZ//RShCIkBmIYuEHke7L
mJt3EjMOfq/Beci5bnmNyWH4EvEN7BrtuaCc3nGCN76Di0uHwhNCkSYwWRMDh12Lrns8yFS9WltC
4yVSULUHqudVAwPm59R/wqpDUaqZpjFImw23OC7B2Ft1fj194WLVc6YW3F7U1sjWPWBC7103mDux
243X54LVtZqisl5Klc7L/qleyzdHuXseiRMr58taBI1qTMb0LqGpukPKjvtdHhcqHq47Jksa+FwW
7q+RFN9qNfhpRQgXKU4ppOwFwOfp3Iwvdtd1Qgm5p6l267wdtzszjEJzs+q0quoXO7LPO9rXXg/K
5XwccxlNi4mClPHiK+nW7omSyQ8oKELntYJNsu6HY1PpFNbfcsI1eJYj7eUYuYsTZxZ3m+oBLqAD
Kiu2yz8ynP3UYLkLBI9U1xfD2qh0L/fP4Jl6v3SrV3jG3bkLNk2F3kKu0+LAlOARLV/2gZs7pvd/
5b6fnQl3Mea250wYOJIUWNsm24mcIGYbz29MCT2N1wJJxFMPxEwCfm39JA0P3sHENS87mGlBDTvM
699ETeYdJeAwS4BnZqdpm1ScdEs1fWWQEvoo26j6txQHMwlkBMX7uWykSRqI0xjk49H8rVh1+HcU
suWJBH1lEw690QdrYnua4nD+ksfd8YgGAzABa12/zXMCpemtnFbwMiMQTrpATXOS48pkrWAHOPMh
9yFM3ABObcM1YXluk3od5GUG3/znLQ5yTOfFC3+EGniVmjqwTwFmaV/EunbY0qqUl9fkLsC+Yzlo
YaIIjPDVWCRHOWYxKp4+75C7kPqdjwLjXEqnHBxO7SraZKYwIr9f/NfdBe4i6jsoLVbzdeMdIC/f
BiR7L2Al/q+QtXljaDs9//7f/NpMcRdcP27dwHsmdEr68EnH9sOKkP7OT7i1thNTFMIC/boMcaoh
HpQEdn/grPfjjOIuuB4qWeIo9KFTMUdpofknjCd5BarchdbrBfUZq8Y4tSTWSRR8CAjhd87k12UH
jO7/GGfFrYS4WjCrVFdAwEzRbp7qcSanZjz8+M25q/8s6mWc6x4iCJMYm0SwPStBf31n/ze+qYuv
Xw+1kCoQcYqizAs5SnJqF1L6uQcXX08X3UGW9YjTiS/7+cp8d+qrtvdKnbiLrzdtMQU56BrSftRf
i5b8C6LnP37/in6dffCf6FKPCfj0cNJpvrD6XBi6PMgI9PplDOYu1QTHywHujDv/7NYnoD9eIYuy
zAayBJ1uXUlRhGve8Vp6lYK5i7QvaciGvIDV2Sc1nnq1PZhV+tHbYNjox40vnI1xw0dsXIf2sQu7
N2bUfsM23AXaxxEEskWFr7s0MQMSKS4fuKjj8+8/8I0zd7H2vN5ELSdEReMo9CkgfZmog3Z+j8qF
2Y+dBOur5CplHdp+oABakoOVn/y27vSGTEmKK/u9SkUzg4Up/Fow7WcoXQLVOYfI+V7jVDDM/Bz3
z63svbIV7kLsOwPyyOAgKgXPW1b3iAkg8OhV5eAu/ksGQzOz9bprYT9jLq46yTjwI6zlLgAsrsjR
9OWh0ha0U3kXbAkDpYnnPXEcKq6diTT01NOtVW+aeh7OeVgWnlfceZ3FHo1bMBmZbkXz1EDj8lTG
uefTd5FfY1zmtiqMSIutuES1fok3z7DfRXxteSFawXORRlDuTRqyPtFB/eP1dlzIV0dyAmKTUqTV
+OfEmrdVu/gZcRfuVWOMPpRlIVJb4LUrKl5C1rzz27WTj9ewTCTeO3CjTkEaLP9E1fHBb+Wrefyu
Ar5pUjchuZ51IMKUBGXwvA0ot/mtHv24uq1BXTjstUhRy+NnwdftVMXkTqB7QwSEuxCpubYbmF4A
fcOsMp77Dtml01YK8wIWJ4TvXH1VgcyTPd74JeS1+IK3XD/vI2xPrvuoSEwVrg8imjjajAGViYFD
e7t1NCfoUVsNzcOe+BlWFxgSQXtQrMrydCPJ9VL76Vdylx9SmLnlpcW6oRBr0us2TJryThp7w0W6
UwCajkjwaCTxDquLLvoooVL6iRdwFyW2do3iOQTQUpQ7/hVh/XnGa/S6dS5IrIFSgSBU8XRvwvVc
hMP6GPHjXoHyxqm4ILEqL9uRGMPTfmEfeNWVCUA/XnUg7qLCNkXA1SUoh/adOiG+/FdtflIu3EWF
BTMY9HnAeKqQPCfVsaBaU8WeTtLFhSllEJmNBTa+iP+WGCMdLPKj+uYuHOywFegGFoD8CtYFieR9
mwRgir1jov5Xbf9FrcYFhFkaDa1dcFuuIKRkufLQSAHWsoTAv50aE0fvjKbDx1CDL/mkJzUUCWjt
1FOzT+uJTP3ueW0dd63HfgkDpemVJ/JNcHTprCMvXnzuAq2KAuWFYZ9ZOuZRWndtSrTxXNpNf4t9
Fk0XR2m4AOsWgO89msp7cLobb41ds7PvvBNsWhHOTUTTrpjPkbBP5Fj8MlNX9nvqeDcCHElTNFIf
Cp5f8o3fWfpGReAnLDMr0FBQOGnRdg1Ykvdv0cj781FR65f4upjmnhaNnVhAUwTSLwcZX71fm4sO
a8u1DGvMCqRTjTMR4fvOKs+rQn/8mgSBgNqWnaRRrOdEBsWFHOZvL5vvAsFCXnRdR8gO89aXZ5XP
MrEQpferC7pQsCDqaMBEHqbdRr/uQ4++SHFn4zcuiwsEozNE4+R8HGmRq/3S1ddLPi1lsijmGYW5
aDButyOfO3qkrejrRGn9uSvVvTz6RlXTZSodhqEpTNwf6J51y8eGmfK9Xfv8M98K88z6cvDMClxo
2IHiI1N839AMUB+2PQBWdPILdFy+Uk1r4CFXvqbxYvfnwLTtSc7Sbw6Eu9iwUKGJQVqsriJ5nuKx
f7RFyPxuposNm6BFUmGoEqcy12sSTOptj3LeHd946246D/awczUcSCLTAsYGWr+NfYbWsnla8ore
sZU3LHzkJsARuq9xk2+paYFlkbY6DS29l13f2r/jUYMwsLTbwzWVuwTpPunqVNuoeLto1j162R0X
EabzqkdZbFxTiGH0z2OAKfYSleyz3+qOcwUnZosJeZxOBDhCYin9HMnZL9Z0Va5725Zg+rMbhlbK
sw2UTAawtt25OTc+q4sIK+ncD2Dt2tKQt8tjBAKsp7BeOz9H4iLC6lCRuKviJRVxcx6K4e3ajHfM
8a2NX//+XcSx9JHSXT0vaRPs72Kbxydq5tHvsruYMJTrxol14ZDaKTjPzb+ghfJqqnNX4JoyLhZ7
bGPKFAHZb9M+rEvl10DmLiRs6dm00T0YUha05sRM/D4ocz+ma+5S8PYSKrxl2I5prj5VYT0j7ak8
z9vFhAVqCTHAgLVn1n4uzPhHMHieiUu9aytoHdq8HIHrCIpkBoFFNFm/x+MiwvI6QvmLmxEZJtAR
OQ1PgehjP4fhIsL2ramvIvHYeL4cp67Vr2KKqF9c6gLCtqodZoA7hhQcg1kVyi+7Kj94mUIXDnb0
rNk3jNulWm1QeY2md4Xy9P8u9mvuZ7jRuB7SuQ7/04v4GNrVC/LMXYwXKsdDtU5YWo/2jd6foHPt
ly66+K6Z67xTYIlPczKbs+0KcgJly71m9Q07+D9ewO/soAWnet+BSTkd0QXLooaIx2sJ388QuiAv
FOlay03QpbvaPtKGZHlXffS6Jy6ai4VQBLGt6VKxi+PR1uHX4JB+wyzcRXMdR9dXJaYA08ls/0cB
TJmnu8HWjRN34VxSKwWVw6JNN7lmYuhO+7r5Fb1d7s+S5xVoN7YmncFwelFCLS8hqblfcdoFdHXA
e8wMmKUUoW1xwvThmW3g6fT7nNGP/jiCPiChKNSnzRGYh46184OMe+K5dSfA1asFQctG+3Tf1Qvn
abSIOyHKtULxi6qSi+hqFkZL9DCaVOkqmB76pQWyZwzn9l8JXuv3ZMnjZ7naw09airsgL1kpMPqS
CefERPig5axO1Th88fkIzAV5UV4fZSSkTeUQ/Ns3sk7iXtdePoO5IC9I91lyBKpOzdB+IuAnLxTx
CuaYC/ISJjz6YmrrNJBz9DyP/Gz1obwif+ZivPheKKqnqU5HDkzyFGBIOA5RMfQ78mtK8539hX2M
u3Yu65TXYXdulwHTl2Dn8Fz9aoO+W33ZurwWcmzSw8gvdbunkNS41xj8XzT789VnLs4J+KNYYQi1
SXE687PQXd4kfTNAoJTV9RujRfHIe3K8G1Y5Z1M57g81ackLb4IStk9OoAMsbH2+GkOVrMzq8ZQv
or9oqOGSBz4A9UX7esdpqwjTJgzhQFuaJQPhtB/cn7kYqnAGX1tf4PVGu/y6MPLUz7tXrQHh+I9H
n1NZ7gTkjenY66TtwK3LZ+ZXhmcuhKqGknVPStSRLNUg4Ovf6spTnoC5GKoiipcItmy/LG39bEGD
/S1f2/yr13V3QVTqqNYFYh/HJSiWr/WozitVflgM5qKnZqb7uNir45KHkakx9Mf0CdNJfoyzzCWB
aLcq3uJCiwtACG+Ao1yTsi3/9DuWa9Htu3cathsA2Ht9XMZR96cNU5dPo2Tle7/VXRuz6iBWetov
ct7oRTOIO4HRY/YCfDAXnIUichx3NeeXbW6OFxKVxclCeMgrLmAuPqtUGk1rU8lLwJePEkWdJFc6
8DOPLvWpBDdZl3MjQHUS8WRFJJmUhq9e6R1zEVlTjY5kL+b9Ajx5/7iOefW4aj/aZuYisgYelHaU
JLqsXH42TQHpve5eq+zqHX5h2F1AVhnOMOW8ii7tMDzu6lOjWz9f6oKx0AaA3mwT00uk8PZlPkQn
lJW9EiXmYrGWaESAAb7QS1DOFz2DYj+UnkMBzKU8LRuhG6Tr9ILJ2f08KsnOZeRXomMuGgsCOarN
+5Fejp4Mp61FhQEain4yCsxFZMUN5rjJordLy3L7d03jdXzOjzAPvSoNzIVnBJgHA8eGjS4yx2xb
XCR1WPkBkZkLTchlGyAXOHDsohsSsrZVklu/mjri5R+tLvgfrdibbruE67IlbT7K8wAH5WdcXLDa
Bj37rQYj3wV6x9DLNvbVxvdQq7deqJPPmHVoy8MGMOZtAVGVbnzuw+WTl7dwqcrUsrNIxBG99FHO
oOeGIYBFoejgt7pz5vEaVe2up+1STjs9VXR60cHoh0JmLlatKQ5xzEbSizjZPeoSYQbfi+hU6Os5
kvzQil7Mxp7BlwW23Ppe++XG13SxamrvZVz1QlzsrD6uk37ESN894rZbazuRxVJ3sjLNKi8kj95h
ovgD36Wf43e5YLuosUPZKKjJBsaa01BSKM6jc8f8+IGYy0wmyE7IIBleUNSCTpD/Vc72L69r6EKH
QtsYUWg4IpRjcrTTWgEyW3FPGu/GobvQoVLEgKyBIPLCKZIgg7bRu2Lb5me/vV9LEd8Fi2VHo+j/
OTuTJklxJAr/IpkJiUVcIbYMcq296oLVChJIrBLLr5+Xc5pmKjvMuPShuoqIEFpc7p+/ZxpEcg3p
hyRqxWlW+zynUE3457OLmq+CDJZldnaZN06XZd3noO5v0aFuDcIlXhzLBozMifgWJUwx0X2JTH9L
D8XjDAjWw5i3CwCPJufqg4g42Tnm/J/j0q0xH6rQzFk9RvwkEPIeKz3X+1bSFhr0BqkhL9Qt2Vh6
foI6+wT/evRy7Zsvm5soJBUVtKDh+qzDSQH1YP3FoDiwL2e0FY4a/Wisp7LhGaXlo53cdXHRzm++
xZninjZsCcmUBY7G17hc3AWGHP6ulL2/FY7STrahnfMpU6sOrmNV1h/hjnzLpf2NPWCLNHmx3yKX
pDgODHEIc3r0FdvV6uFvkaZhiqQvB71kqg27hCCvk5Zwhd+Xp9tSTbi1hN2w4IvHfcfuYrHoYw6l
iH0LaUs08S6IVeFj0GlQyTtP2j7L9XpLkvD1RvuXm8sWaorcVPIaNzhsAsV48mjEf9VxqN/zxfY3
fsDrTvi3j9iEXnTsYafVBN6rh7p4KoTsD3XYh8dZC4IzhO+DW/0t6BR38CropsjLoqb86kfdc57z
fRHelnKqiSNDZ3wPKFxFn7jgJinGMNyX+NqCTo75uNbJ16dP0QuNiU5sT3/s2sq2hFMvgxYCV9Oc
QbS4+qjrcnqaIp7fuimJv7/bLeMULZZGYKGnDIbty/vWGwqbQNe9PdYVI4eV6/5Z9gX6H3RZ6k//
/pP+XkDwt/XOcsZRBeEumzW1F5wXgqurJOREAbl9hqD38jx6HTKh//5hb2xKW7ZqGXmzVL2PDTVw
79AD8D2K5b4zbMtWdWE5BS1M0DMzidQ2w4+iXXeeA1uySsEUoPPRu420QV2mrnWoHQi3b7/bklVB
VNN5XjqXsSq0d6wg7oi7ZrfvvrMV3vJ8v7XQkHHZ2EN04rUQBYfvnQt5C1XxOkKaALxNVgcNT4SH
/xTzjXn51lTZXNQClrcz6Tx8cW8ih/mVZOkjvU/ryd/iVIrCDQ7uijbTBXRwJuISS6d5X75zq6/V
z9Pc1VBPz3CBVRcZkTyxC8yf/30NvXEAbHmqeajR5NLWU+agqfZhZFCbS2qFOq43ltCyG9VOqSN/
C1eRkSw5OiGnTK7s6xiMSe6Q1/73X/HG692iVQNoucqY0GVODkECVZQKHG33Zd/DXz/0f24obRPU
oH4nhyOgMMnsxw+znfdl+bZslcNa0vA2slkczfXR+H2DFGX0a98X3xzu2jYACZydsr7wh/PQzgIa
Gl6wb6fZ8lU+aBNo2ndT1hWwYqKr0wkVQb/z6ZsF2+TwTUAhzmWr7GxSDdB+13FzS0I9+PvRuEWs
7GDjpoZCfoYErn+i2JHvC78RlyXMq30nyBa1AhtdTq4ohmwi/BHNAH8mL/T3TfctamW8QsF0D9Od
tWo8BpYuCVpndpZZt6zVqOMxH/N8zIi/NI+sNe5SjUF0I+J8Y6luYas4LikOqXXKlr5tkpnF75Xc
Z/7kb4mo1wM7zEflssmnd0p/c8W+Lhd/C0QJv2JQGWZT1kxLky7jypKV22bn+9zcaSFaybU3YUw4
rd2RLqM8+AHfJ1Lvb6Eor3KMdDE2XsoWlRlbQgy/93aWV7ZQ1GS5Fw2uwtOhPn6S69CnnRj2Xce3
WFRcxdVMqHRZJ7yPEJl8jFa6bx5uoShMcWsqhTFvmDZHZfJnQ+Efsmvn3VJRvpFQtqJ8zCSa6NOC
9ibtzI1nv7F3bbEoHdgK1EZss26M51S3fX2ex6E6yEntzMlt2ajA90tZjHLMFBf0NCDrepZ1sDNs
38pdmcLQGRbYYybAtdwTsn72nGluIMVvjc7mzFsdx5U2onOGjGhVXSDzV79UtFN3Q8HCWx/yxh62
xaQi25g29L0xY2q8GM//vETlvmhvS0TZRfv1q8FH1ng9T8ae9ElFlxsP//uNkG+JKAnxZhqwEvuj
DNBf37v4OM02Os2gmd/Df9akrC1o2uVo992zEPgWk0JHFoMatXNZ3/YstSGtj7RY90kF8C0pxaZg
8SAV0mdKDvdzIJ65MjfSaX+fR3zLSUm/bhkdkTYODfPvyARXIWtZe+ggJHQjQnjrI17//H/iSioA
G9QRCnaiZPPvhsbqOFmsuqQ38a0w6u/3cb6VhhKQw2rYiHts3Cn706qSHu3Am4OSi3dXhAO/BAut
dwXKfFveJBbvuF6LKlvW5pdRnTqGFBetfTNpk7OOKTRYRd+6THPxuWgnmfQFelr3PXyza5SgWAmd
gwFVwuA3+savaBr6s+/Rm7O9UT7SeOPrEQaep0m4cfWPbmi9faYofAtPVaEsvTaOpozVrH4q8nJ4
CFyzq9uGb+kpo1oZ2HwYMjEn02rkr77O6c9dA7OFpyJ4cTht4x7pqeazZvKlb8Q+g2S+hac4rAJA
BixNZuUyJEMR3HUVu5ERfGMT3SpPleNrs2kXNBmcdMeUlxmjRiaurbykCqYnGeXrKaj3VTz5Vooq
NyFSyxCPy0DJyZR7ZZCEopa7giC+pZ1iGmtoSC82s7xoviEhQi/OgyL2vje8WbJ8iV3jGbyFIWL9
U75U+dlzc3ljQ/h75oJvcaeZ+taR2LPZ6C+8SZpJ8DSCg0wBsAInmY4Y2bc7bNEnPxgE1AbpkMF9
TyQNnKUSli/mRk7tjWNgyz6FoSauatY+o+GSv5cw8szq1ninUUAC5MZnxH+97/ItA0UaYuwqiimL
59pL4XZapAsz5GFiVh2quCxODTLPiZg8BnlH3Fr3jdyWkJqjgo5VOHjXYM7b47qY/kjmfXwE3xJS
PZxnu3l13pUUJU/yNQDPvLOTBIKu/zycp9pHaTHAw+uyNgnk/ZpA7DsRtnxU2PMQVqJ4dBxC90SM
Ricj8K5da26LR5llda6JmMvidUIowSHUnHVVNN8o1r0xWbcY0CJlWEQ+sObalTZPuqEp7wsT8UzP
gt+IUv8eXfOtdFVFWEtnjfz4HMo/qBWlcoS6xb8Pz3/7jP6/4MW3PFCpew/d3kOfAXktYww8KObl
tXZQar86okuwveRF1d9Ni9LpWLT6RJ3Oj7zR+ve/f4W3ft4msxVVtbYT3lIWaKikCvE9zLvvux69
JYYqNs+jWQaXEW+Gl9M7Fe1TbQYx9c/loLoVpon+iChGV88Q+uBuHy2Ifox/PnkKgEyaGAWLICAv
yH1+94t9ZnT8/7StTJmjp6rHWqDyTxihF3kQ1Y99Q70J3o3LmwGLrcvgc/J9mF8YGXcu4S0oVNeT
saMovauONQK6+ch1fON2/Mbc21Lfucfn2iwFth4NrCFqp9SfzOd9I8L++SKreFhLP8ezCyvBHw4G
DRDhPqaEb+FGNHwo7jWyyqwxX7kOMsnpPmCNb+kpbilp8yim19Iu72OffIxsdSNWfCNG2aJTsgkn
Y0ZCrwXv7IWsiBz8thWP2tLgAEWj9cOusd8qMKFsZpo1yukVqplJXuWPULf+uO/Rm4NwQOpdwY3S
u+ax+a0GebCwlr2xG78xHbcQlSLzEoSToFf0wPymUfRl6fNbKgpvPfv1z//ndk3yNixMgSEpTPvY
aRYc4IkbHvcNyiayxfLEPGT44p1un6XoYKMZD/vkg/iWn+rhCay6PKDXeOqfCm4vdtmnQs23umuQ
h4u1qPBoMctU8OB7EdJbHVRvDfjmXGt637X+4ONrc5SG4+YnwTVp30TZolMVb0UhBafXUFQfTN1+
Eo25EdG88bW33JScGBSgenxtvnp3Tsbnfgj23X+20FQPP61Idq8jUn5v+uUqTHgjdfTWl94sSqoN
c7WH8WBNdRRjOmt52jWzt7wUzxXpEPm+7iTVJ1qtydLu6yHjW1iKLVAM7SWGo1fFk6mrRPJ63z12
S0oViy0DGIDpbKCuTYSe18NaDrdMVt4a7c3JtqJ/YrKVYnBhLD6UZIF+2rrsvFxuyaiyZBOnvWTX
2OZflYu/imredyJvySgrumnm7nXVdPmjmWQaGrpvam+xKN2U8eAmTJPc4j43FhKKYXl02DUHt1xU
HRfVUqDpOOtlKy9Q7+cHq/itu/Abb3OLRdVA3inRHhZ8bL+6uj/Ord0nmsS3RJIQq1RNtVagDblI
uPZ/tNO8L3bbIklKsjAnhfaApJJkdPa8Tnrno1+H6n/OSqPmXApHVMbgh+SrZB6+7nuTm3MyYo2O
8xkPRlMHNtgm1Vbsi0u2KFIAnUm4wtv16gLHExX2MzoloT6y74tvsrYzYVUeeLHKnFUPnqp/dmG3
D6LifHNQjv5aRTJXJsMCAkBFgdLyBPJg4763uaWR4HPhpooOdeaqcr2EBdeH0O1N6WxxpLmohjgY
qiZTqv3W8/ZnH037RP35FkaqSa5rPZv1CiuSMFmYowmT/r6YbcsfrV3jmIr0etW8Pfg6/8h5eSut
8MaesuWPOqFpD7TbZIRXX/MVbe+DDnZeY9lmddJBiKZpLLvacZ7rNOhVBLl95fZ5S/Mtg5Q7ic3K
6+ssJ8E3Ar0NRdXOCH+r8DTXhPZeERlUknNoPrbDfOIyvtVOG2B/+ksyZ4sgTQMdIGQWN9nSts33
qfLpu76x8n3hYn7etRFshZ4ENEJ9sXKTrdPyrVb6gUm6i/3iWwipZx3NPbQZZ3Gj5YPfRvSuCjp7
Y7r/d4j/MjhbACkaAzXPU20yKHvrQzTr7sQbfzkV9eKlLPBdWnQNzRNPjuPHNRTrecIc/j6RafyC
skDxheF8zw/wNc/PlSvD73OPFEfo9aU5Q6NyTOGg4+VHRoP+UMghPK1DYA67Rn0LOPHSQhMQ435F
8ekAw74q6eeK7btMbPmmhcsl8Cdopwq7Jkq352q81Q/439Pnb4P+OlP/5yRVqw/DCq9pMkmwBacS
NPQByow2uihgMm06wh0mSKnqoP4G168LkFfSpoTkc+riwj8OlY+sYDAqcmC18FSClo7hA689muWF
k+eycPRQQdbkHKGT/IvtRPSIJnU0kss47g+5t+DFeK9RjeG+92myeXkKWNA/9AzlZS2H+Q5qhU2W
d92t+sUbe98WusoHWaluwHCG+lc/xRm1+wxk+BYmj+CRYk07NAhLfPrSuXFO2BhH+2qbW6RLjs6N
cYHvDfOYx3D6Uu0EmflW4yqGbwnuB+hOysPigObHr4IE++BxvoW5mgpmknlAqqyb+/dxmcNXK7+x
Y7zxIrckVxURVqOJsMxaNVXJKHp1hnvPvmZ5vkW5NJsj09Ztna2k4w9z1MwQUNnpusK3NBcwpSDO
y1hmoYoeYSYH1KTeF8NuWa6czlzXEOPKwEX+yEn/cfX8fVNwi3K1DvavREqZYeifI4KMZqTnfZa4
8Ez751aklWx8+BjJrMCdJFk0ymNtofYlILYMF0h0LyJ6IldfkW/ViIwP+mR2btB0c98uRk2WYh3J
lS/yMyuazK/3kW18S27JuvSrosFVfuwH9TAbeddpHj7vOrW27NZAljoshSuB/A6P1GiXqKHdV0pl
W3bL5nMAMYS2yAwr54NtDSwTinXXdYdtMS1uCr+AfxmqnZ7Mj+iBXFKtza5cAdtSWobDkY4gG5vp
mszHhuUiQTfY+z1jzrac1jq2Yp2xiq7IWo13gVjXg+7ZvhIzzBf+uYaWRky1LT1xHVe/e9AozFyo
jvfhazBz++fTdblAaRo2Y9fen13aqIAntnRkVyaPbQWtTNN71QSByOvgxVU6eOth7sp9XB/bSk0t
RTR4UbiIK2kakSg/+ha043iDVvj7QcS2YlNDDz0fuACLqyS8fMwJ/0bCsds5Gze3bzF6dScoZAPC
Ur3PGz4d62C91X31Oi/+P/xjW15KlHUP6ek8vKKp0j9FPi+vIKi6Q9Nyt++1brGprvVINZc0vI6z
9Q5ex5YP8dzHn/59Of33Uvm3X7Apx/J17Tgt6+jaRwOLvvleFL2f6pgm5Sq96wgbkTTkEI1zXV49
+6aHPdPgLe+X0ncvI4xmf40whKhPfgB1z7yu+SlQw/QuYjl98hGsnmD6RT96Oq7OLlzj1EIh+g4t
AbDHXuFN++8/4o35s+V1gtJ5vuuq4Bpw3T5CrIw/DE0IKZd9jw//uWyhzw10Jg+Dqz/lXzrSvPcQ
ou579Ga/8QimzGsscyW1t1xX0c1pEca3IvW3ZudmvzEihlBdNwdXqHNotH124ZqysPfeedKZXYEB
2ypcjSyAs9ZsAyQriuWrsGI5RnV5Ky33Ogv/Njs3kUFD4W1o4Ct1laiJv6u6Yr5T2DyLtLPxwFPa
9hAbCn12S5/y9ZX+7fM2mwWKn9Y1axdcp1jEB/S0LueSk+oASRN5MghTft54768P/MsHbQEt6q3V
qCbUh1htPfe+8YXq07Y33kHUvU4bqJAnCw+a94UOqH+AYyRDi5vXWLzBoYdbQfzK3bI+8O/CSvmf
ZTAXH6pqiV+Afg1N4neOYz1qCnJjnVD+gwP9a1D7ImhdPqmRFGcocE0fagiq3FnTl0NCCxNmSBt8
XJVfHJuyqc4aDTV9nQjuvHO8mOXccWI+1rwh900djlMCkzuVNLUcPhcMlpw3BueNsdmwJwYew7Xs
8vVqrIGSomfmYyT5jWTpG294C5Hx3vXIXVThVWFVnyFEoE6B9pujrvr23SAXdaNC9d/r8N/e8GbX
KJdBdSZucTRAn5jetXrqYPgBXiKZYEF0BONkPkOqoPuJ5ojgWLHyt8cqP/H0UicShZDzUC7iBpbw
xgb5fzSP33lVAW74OjTrrwGqNEmuMbS7XtcW6CFdA+0/v2dX34bfZp3Uw3hjX3/jXW15Hk6KSoU1
gndKzJw4I/uU0ilIotUXaU/jdd+E20oBwSg9lF7eMbyqiqckH88m2slrs/+j/4aig/Rw5F2xlqI/
bSTyUw+16h//Pviva+Jvs2yzxVu7QJ7Lev41qOP4U0TH+cpVqO99FTXHoSia09SK5Rr5YtqVIGVb
IrCnbgld1flXhfTr1cdUPcBTMd91pWJbFtAru6VcR+1fu9jvr9IYL+mlF7//99F6Yx1sYcClCTld
As6vZp2NSfoGEUkxCfbx3x+PNpc3jtxoc4Ag4d3WEinja0PDsvDTUkEftk8byonPkhhCJ/TdOrlw
+CWRx45NolY1Q2mAqYlATEgKFuR9slY4D9oE1nZGhc8FiouuTvvBs66EL3ooULZbm2HxqpREvPY/
jf9dgsk4o4z6p7BdXMwJygh2fVRhFRQ/IWZQITU1FzCO8JJ21co8MjnVx36J2bmAijo5DrTBYTE7
Ky8ajb7iWHIoHI95159Rxr9n1aJgRWhg6OxaE9DU12VwgHwjhOG8EgdwPKIF7tIREdzX0BZ88STN
/QNdZTklNq/KEwST/xSSrL/yV4md2o4q6Wg8fs6jOX9sijr8quPZPnWloacygir6tOZa/VmGpW+S
eg7r/KmHfMYXLQQl5xJd2vVTZAdMj2RA9KcxyaUiScW97imWVX8YNFUJ1FnwjpfKiUNvA427Lu/u
pSdLODF3bVKF9fu2Wv37GL8BgtHlOKf14OWHkFQqrZTVL1E/w56R9V10avE6nykkZtxjXOdzk+aB
CZ6gEZ8/kTySl9pqjyQWWuBptUIR+LJWM2vfA8eGR3up4y9EQdJNREXIDlyzj34h6c/cZ3/CpWqu
rZL9pyAWRZOgHYnKFPxYdQDBHRx0OwyH3h/tSYliAAIiSY5kcgRBwd4N7ad2qBk8QOoSLqd9GTN7
mcqV0aeYzIDwSzd100X1+cw/dk3bRUfSGPx7uwTzax7aN1XqolBfOhl6d3gBDb6lUYDr79qpgDBM
OyH7MyYS1nzqU16ICcpjQxUv5RHbZqPGlJhamHtP4J8mXDYuXfuCPktdUD+t0VF1yotGw0vXTr4l
h3GYmuJurGpZPpnZ9ieJ+X5fL3BAtLwdYHEXtdHBDJInAS4l5mBq3bcvUSVqegqGLqInEzMenlQw
x31+aPWKnECCJHrTPpmIWPEQdHlXfjJdF9KnRnjrGCY5IkeamtJUXYVv0tXkjOQhW00qDUpJ19A3
tj6xZZj6ExpoC/7djU6uzyQ38IWRwPbbL8wt1QRnsIazqUsYKhYuqVrnzD1jtOb3MwpT8qdcC0/e
e3LAX9UYk+AFLjaUJAteRnAqZWDCEx/6WFwmk/ciNTQHYJa0FC46qRuWWDzkJoqLrxHY2P4E0h26
PKLBPzisuiEQJZhmf8xf4AEBOS/A3uF0KrvWl78h8jWglofLmSueWo6JeBbWufDaNK2Cy1urJfIN
bWFR5R5hMOueK2GLo+pJjqJuV3QuSoZ4msLPNee8/dotsI58Eb4OELFQgeXpW6/ll9X40fxHsZI4
dFtOsoOg+0yKO64hxXDwSqXKuzEs2/E3j3vFHwRV1fi16uNZXDgPJPlYaL9FANkM0SxAZCjupyKa
2vwT/pWxz20XrDRKJk6EeZQRHewZkouhPfp6oOZDHfmzfYg8zGvIAmsSHTsWLu1n6GvZADfNusQ8
hk1GfG4rG3cPKy/G8hIrpbsvdBVMPyx+OxRe6vqO2iKBSRcP7yJIEJhffa5e+0kadJWclQdtkks9
66XIWiCX3iUsY0Tu4Ljner2bY+2mIq2CoJGHkc7+6+5qPeI+mzVsxlNru5bfM+xGS3BsZJOrayXR
UvXZ+WEIBaDQxCFLjJlyv0jQSgdsp8Zeoe9m/Cb10qP3qDnmcT4Ed2hYDuqvJl+G6FrCZvIk+zKo
z/WEvw8R8rXJj1ADFd1LzmBRVSfKq1hzQRizTPoQGEfrCxoO5WxOaywgqb7UeDGPJPRRDYTDrNXh
GQcR+ga8WMrxbmrsZH5HcPkML6xBa2QiIVxRJEMf9v2hHara+7X2jtiz9iBep5K+j9yShGVADsXg
SaJTqpvOfm9YNNNnU5vKwLocjdIFdKY82hVIU4VIIw11rOiarF6DAyoOtMx/oJN3Iu+izvPs1UCZ
Zz77uo7EvVd5TvxUDfO8jyMkjcxJhXzMv3Cvn9iDjvxufOcrTNI/jhEX3ZUo33Y0aQnz/B8+ZWN/
4atPaDYYN5skAPHf/Y6cc0uZcAeDzc8Rk4N3aiSw6YdqpOF8P3Ucl6OkdoWovtvR5vGj8Oqh/Dpj
Ibgy8aNpyD+KRebkpPKJhScWLXNxL9FAQNKOL15QHjTzOaT3yETOVW+7IJtQxZbfkTtidYfuJeep
4ZBLFiPPQnGY0J9wwqPygA/SVXV4XRzDkuY+SkFTwgzraXRkoRdU95LB9lumKxQ53K9Vd0P1XZlA
jd/HVZII17NFLR9FI6ryA29Aify2teRLc+gFCW1wCiVHPuk4jq0n7qEgp/sXpggdyouGHp6YUvSS
jt3Flt3Mi0sb53L5rYGr43iQcJDLj2j8jLVMRB22wZyEq5ZBCGFkdB37ycha4u6Z6GSemDj3I5y2
eT60fRL2Yx94R3ABoRgOJTdB458j60b7dZAQ0gnOExwRIMe5+CDlvikbdOOShtahWK6XHI1giVhM
4cIkNB4RDm1Acj7ntWiG6pyjL6DwDjKMBTFXpOctf2EO4oFTyuc47L4rbWzbJrzySnltyldRqdSX
Xq3XpBZTVKF3ybVreBBuNFGZxqhJ0rMyBF5KUKvjKriDyORSXSJiPPcnoG0YnScmSXsukXoSh2AN
+ykdIq0QMM1yKAN58pooL2oUZVxojqFy63Kuw6liX0lemuE4W+H/UWtkvN+Rdry6tDMMW0bms7Qe
pXlmZA5oElae8s9wUS5EFheMzjByC8S8XILV41cB1esF5/Wkq1PeE0c/Gl4V6zGMSR6oc8Hmitwv
A3HeT6EZvUCzzVdnAZ9adYQC9xC4NHZw6XuQJfXYQzMv0ApKkaVjoIm6KX8udGHQNa6d69AAwZc7
YntzLCYLudrWQuHQQUPgHCOM6r+hjAtwDT+ZD+Kur+Kpi5PSzHF0FFyAfEpW2CKYuwmRJXYNqaRN
YihgvggwWKZLEFVNvjkv1cjYO28N54KceES7+arDRqoX4g2QsPNhMIZwDUvXg0ZHxE1c/igI7/qL
kNHVE35zVzIITGGHjZuvUxtDnawb1koeVLQwcRd4Qy/w/wZDhoQgCyd/VEuO/ovVlaS8IrIO+Zex
x8n1BMhPs3d5u9Lqzo0CEzAEn4DCxqiCUZ/hRd7hm4jKX+0F72+uXtYwgN/poOUvFJ1wGKp8vRSw
V/wTRUNph2RyxrXPHLrc9j5qy0U9cbQlBU/LjOTu+4UDw72AU9SyTFxdBpCnrvmynGDJMDS/Y88j
wakuRiq++jay0/vAAvR+nxe6z38qfFfEO1UUreW3fIxgmQ5geC3Dp1XHqkHrZF2PFL+MhiYpaS3R
XDH4C9ZvP7jZS5GxlUvSUD8q7gTy2yc1NyCeoN/UyjOrXDRgr5gr9ZSHtiCIKGsKl0tgDTLWQEaO
TggYEQchhcdjSqXuyXvbdLKdjihM5EF7qWtVn+NI4Kgeo1zEZdrHhnAEZ2sQ/cohwca7NHTtRB9D
NwXyjs1r0CQMOtfnVfvqfaR0AZPlKsI97tSoxpcimail+sEXvWnLpFJCd48sr+rGS2wI81+cz6Rn
A14cKdT6AMXS0japapclwZ8TwFV1UNqXAQcEtj+AtHk/J8UgzYEv/dz+CvKFvISrj9u7hsxeZhCm
jyt2NNavyNf5pPiAWQv90wiyltPdIBBEJ2glW+ijN3YCxdg8DuLiPoQZoI+QwTXCHvHg+lJByGD+
UEZtPM0PXey13fPU5Et0qG1d0xcECpKilbJaxuJENA2jdzZGtHIyfWjFSx+35XQebJTf+2JE23Ac
FGeEXEWF1hNaxfoMBJt7TyvCQH1sGeZVc+zRYzx0dy5ogrZDRP2a3ys9Rx6kVZ37M0xqjH5MkFr4
NIVM/MblFJvZKV40hIYdy2d7aCE1+muBRVMqUUo8jQO0ZvK0F3nhmxSbD3fLUU1o4OnOvkUmo7sr
YOjcHXHBjytx8C3X04eyLYtpPKAiO3bFgfir4HACsD2zz0E8TOwZZrbkq+wmAVymwM1ApHwxshKf
cDOGnoitWngIwoEK3rRRqkgfEqhGIbXqB4fSNyPEu8Z4fChnTr8PPOzKNp0VUSw/MNcSL0q0QifA
l87zyXQgfDa2guX4lLuHbp4UDFvGHJGsRbmL1uw4zEXefhOyFdOxwooI3gn8CHuNu2gK6hQln/Gg
unaxiT+Ipk40CV+t6wxUcRmuu+1/OLqy7chVJPhFOgdJIKRXLbXYLtttu93Li45vtxu0IhASgq+f
8LzdOT29uArIzIjIiHH/UNjQiM8+/0rkqfgRmegdj+yUGcyu0eCbIBGL4srCJAdlpV5grHjOBsnk
zR8mTS8OKaQbgsthqSJLKybQLWsAM8Feke4zmIcJtphJARfADZW0JWnJzaBQHoER3GXjV2ophTNj
k7uN1XMq0qQ2Azl+dS6PzjxJ6NO8+SiqowP/G9h7+qmxVb2cbK/7G85Kdk/zoQAJZX1U2X1Jr1Pq
97f+yNTrxtlwlPAzKzCuAci0ZQy2yJcEdkGqeMsoPUBDzMtn2q+pA7QOyYk2RygPUWTf8h0jFloS
2NDFGAvPHV5aSNECxQqfG57X1OCFP9qQ3nVqMve4XWtcKUTpAOguwnWAtUaV2WDRfbv9wohFg3IY
BH37fKqgojbnftlFHbOwXtaUtWcuWnfXd3ig8nhX1TIpdotjADaxXHo0bBDG5bQ1cL8PpOGriUt4
8g1VnqSuQuahOu87XX6t+4pHC85idd/yuIEXVYYWYeZlmrsfxhYDxjKKxsli5A7jShrZ483YEh6q
wWauzBWiTH0KwANh5O+p3C2OHITveCjaJgJ+kuAziNqTHYjBxKTs1UfHH4RzZugaBQa2iePf06nh
qOJjbfH5iyReq2mw+h7p9gmmALr90zqLvy8jng/aRfuvUa2u0tRkz4hv67/3ad9eEbbY3vW5nvGe
6LVMI51VUx+Lxncp3FvibBINVONom2Shows2jbfa6x4tHQIx7O/N93m5tJBP99CJvGFrDGxTlopT
jtDiy7CgCYTw7gi0YtHUwrQPY7OH9ugMjVd2nyA/YikZnoazUHuGfN00tbI5WppPsK9ix39UGzTA
GG7psx5Uh/GfH8snxJPkstLIv1Asfp6V4PuAlYeAD010rBa9Js2Y6uXPvLv8fsuy9VUcS4KTn3Qg
UzIgyRKH4aSZgO92v9AL68XUwCwbB91M82XsjA+VL6w7TZEeZEl0Kz/FOHVPfZGKn8oNWZns0TQ1
qYzV+zi3hz8NU79mdx1Rw6mbbLbVMR3nVybE8m2hI/to46X7hzy3CNFSGRqzIs+/BxVF6Q1ruPJp
N3N7dYksovKA80SNxXT0AH7Y1LkDCfRh8Q7qSxYAc9W9FO25Zy0SD+kyElmFrvWXtoiFbBSJIldy
MvRxvSjFAG6tuzeAjvptrgeUr6YNrY9/rdOBulx2oyf3MeXBvifMwnK/YHvUNSPmmLXBtE5puYZC
PqaBi1saZ8OG8FY+AkSa/B9C/PQrg97glkUwe8N3hxERY+UOPAF1Mmosz80rXNTg8Wk2RJ38a7t+
WCqCHupR9MmRQVJqESXOh7A+ixgtpg39due3BIlfc5xr8Qg2bBkeA9pf0QyWiif4cs5FHQQyfPGv
R39R5Sj1H1l28Ct0fuqUZJH511piAjBP195B2yt5OaNXZRVORy+qkSC9rEogOn9KucM1cvtXkBmP
GUwARhM5dkoOxk1peFHAGHbly4Q9zj7V15Gj+jXTlOovU/KlQwc5sW8y0Wt2i4zN/xLezbLKEG2F
GQ8hxr/IQjlOMRgA0kAQgzaF41tVzZh7+xs93voDsW/tp9ImZWWcRyKpMkfRGstt3qEGPzBlVn4v
9g2XZSU/O+W2RzwK8YfR0n0a0HLPLsfyYEnIgDMZuWBvzhXZnZNC/slGy/5Dy8Z/zGTimMnEvEf3
Hu7n/2SL/q1MFur7WqBPetzDKkNFj7S4j8Wa4DG3a/IyWHRvJcH5l2XYR3GfoAORle7nZD21xxrm
k1jprq5ZrKY7HX9BIBx/WVHij5gt+s4JoMao5Vil2ITgP5DSTcdasA1C4wRLBqzaHDIIHy0jA7xC
+YKFtOf14HjZcor37zmErY1+Hujq7pg5bDPA3C6rAzmAuML7aCgaCDzsK2wS4aJP6JEzRNG0ovgW
wLVegHhgNsOjSFoAQ/moHrQlRFd89hGUuRrvhVQ6S35IsRRPITnUm4rhKlYHbltTUST+mNrqdg0b
ysGx6tcxo+GPtTBiO0i+0iby0/ySIob8d6QmflYmt939plO0f0zTYb1413XvWejSvSaYZ785mGl+
9mEYhwskdmGrzAFo75RNWNvEQsQ4/Rohh37C8tX8uHBs7TQtU9I0wCyyvZoxg4g7AVR+u+B3FHcJ
JEbzGS4IWV/TzCh8T6TTojpyYpYmy6AxriThEjMHNB+2toam3wrn8YXiz5a65HIOT2SCdrlUKBYI
80gPlCwFs8z53onefXRsXU2p/Qg+I9M0PxNqLAAU79GE09VBhbx3g+MAZ4WsJRKZQ9Olh1B3XRhx
UwdINZIrPjeRNSy1/bUrwPC52cbkmuCj+4g2B+h9RGNyK1JsJpxasqz+yodB0etcUP7TbGofnnnW
IYJ9G8KMC4HKlukrwAM5NIYDILuE6Nizim5Tft/Kw2OzBDklgLWzfY+f0Ht5iylht7LK94N0GOH6
3dWtTr/qb9KqorgIK4YftCNy+VbYWEbfuI8TX6FBV8c5Whd4tA+ex8/bPvcfgw0YpFnnAWfC0mUA
txLT+M8oOToQ2PysoontAhE2MSbdbpRQZjHT7uSoO93xp6WP9v+M3To4dA2qaDDhAVjBas8yIghK
jh9s79Oah61PcNT9Lus5Q2dgMJipU144eTZYt+Tl0LHoT9g5vwGRyLOzT7W/fgVX9n/SxZCX3YgJ
s5Bpp4eFbJN+5jIlV0CQz3J06VOMMMo7OMPhk1VeYbfSJC0H2DhPMj3P6wHJ6txt4tdSjL4vSZzu
1ymzPa2S7hDnkMDB/qdFIEFD9GrQ4Cv3sNCeYkp3x6xrdjBBzhGPlx96WZOiRtdrFLTralvO2u8D
SvKGwaxchiRvFIDKopxUjICQncrllsR5b8sVneVU0nSyL3KG4QNeFzedVTyGvzLdwAqPEgavj0uy
G9sUBdZ975jG0w+UN0d3wbp5/fIMitCskUTDcKS0rKOyPrKg9gbp8kV/GTKSZxXQ0XQ6wY5pcvVM
sq6onMAif7a6DJyHz7wqsw6ITRkThxc1pXPxyPLoqCKad3+OdBh2zBgd2U89MYojFfJAz0O8OGXJ
XPRlVCALBZMDTPhKIdVkr2FevK5n5WVejiMyDOtJQ8IGC/dluPItzZ6AW7O6H1PxmLcU5yTp+Htm
E+BVOcbcEtYX7fQuIgtf5OEoRrR6ffH/WC7aDzUD3fj1o0AEUrpiE7p0cWrP6TwHUk5rOjYHY9Ov
dpP2lLgNQ79cJ/Ase2FeNqP8b0Y2hs36CQRC5Qxa7mbrOrwESc5y8izhLv82hjDAg6tdhpdoQBzT
o84RJ4Nh3cHoQ4Ga8A1rowPoKCTKy1khZjmtcPH4XK4L3ONLUGn+RQnttxqYPupAsgH/K+1CFnsl
YuQfopDD/C+ki+tLjJdAC8ii8CHNyMm9b03aJ9U80xl63FZG4Vlnoh3ORkW7Rodsiwdo9e1zu8E8
rcnmLs/rDqI1Wx+8GEJlWi1eDmx27JWHx8IbmDXzucTcIzSlj/sLG+P+jDqPyiT0dDcBF8OSE6bG
L2Zhl0+dw5mCWZ0f2b3UTq53vuPZAkINOMNlE8V0NGPvxw8NsLsRqu1+Oprtv2AJ6/96DDZ3AOBx
6lJ/vMG9CbuCI5Z18tPQavq0YbS54mp1rvYp1WM1GywsYboZeQrrojRa32JFbXbOJjUu1y+JvK9A
DrjHmUIXcA8Cay5++yPEYOMMum88GGb6XBbj/5ggE3FyZI/fegF2THQ6vkK5kN1vLm4RMLqw9XyE
tkOHDjLm02YGp0DkRwz5TLpwEMOZxtzbIqmVZQD+duyKvOXOPSUto/XE6LBf0CCosk+8RE+h7d9C
Het+Q9rqnDRzJsL9gIS2a65T82DdxM6S5AgfBiwHH7TcI02pRqTvcVX4ogGQwkf3OvEVBQ7dXLeW
00ENYAfApQhxxKLEGfL65K/UIFXKPQI5Y7t+/7dj/6fDU78PpRJd++5HfXAcr5WrWkRmx8PjtL2x
6Oj+TbRAE8zg+M6QpUDBsnDRudtiZ60uyubD6xFJkJxYGvt+oLShGK+hA4B5UBDBOp/v2qmIX3yU
wiFRRqTZl0Q1MQFX1uONwUOXojNMc8mbNCHiLizbfHIp/vqYWHlaOwXMrxhQZCaQPOXMc3kCLLyI
0vG90/UGZO1lGApMYrDZBPVuSHtbOoWWdx8O+7H3g65bwxiqSjRO5ZIn4dR2cPgDZyXaSu1FcnF8
3t/5sW1jZQ3eEGyc8Jub+HJJfTtTcDtd9oQJDHw3SLNqHpkBCNCK9Nc6dvvJTkJ8g3Igr23GXX0s
zP3YotXXCSjnF82j8WlCXEoFmFNdJG+jd9x2yEUJPPRLoGHxeWsNadwKAAG1UJzHdBtwg7oWY0mO
QLRqmjrcyynMaOE89j0yJz/iWGP9kuUKo1u3PZoJes+8Rd9bxaC2LskKDIAY0d22dE5KQKIHRk4L
s8TDUFMi4QqeywVNaz/plx2qkDpJsUrFDs4uk2qPC41Bxs6z9w8YNvzpwI143lnUXSBJYtdxVPnJ
RlM4w3VkfLAjK5pZ939mrLJV+K1YylpM25WbGhC16lXna1UcxfPQM/LuOpXUICbJE0Dd8XHppvgP
DntaBypVlaZ729aHImA5RCJKlUpStnNom3bY+49UADNMJyIuaxfLmouw4hWPog/IzVoAmt1H7LPp
nLk2P+059Fg4F/Qvx+rhJpuQAh6se4Rkf5O8sycg0qBF2+OoU8O3M7eeR2XX7v/Bag/QTL+Fq1b0
LxruTy1c9oI1XQQkw1bg8ejBWTng9G9EEH4G7ZvUXXQU17ww0ePq9Ee2qKUZtAS7ItoCCZ+g9jCC
9KiWPadvQBbWM0Cr4Y4wLK1BdKhRyH3/mVCrLsAhs2+jsW8rH7v3kWSIZdvQA2BDaW1hzzYM93BO
zV/iseN1MMAjTlFWTOUgTZGUSvmp9JaTup3jP9grW/F57qwOhZmgX5E+482MrV1TQckyl4Vju6sk
1BMSxR6rC7UeIGvShxXPR9T9Snq4iH1IN6cHnEI5mTPaCGQ7VpsMckrPzm4ohEMWgY951r4n4mHa
1iSNTj7DahVQKWtFYLgAE9t/7KE45gvaNn+8AkrtFcgqb2jxXa47/cMGr+QTkQfXjYpzb/51Pg12
KA83sKWWq9TJLRSwU/7IO03UHT5urKuzBEoC0NxmkU8JrOLTh2CmoaZin5IfPo2DvkuGeALdmFon
9UuBlTKDsrfHqJJk1LH7XmxG6s88cpn25bx0sYGcF7+AbgOGl66E+/Qmq432Apiuj4vfmx3RQ1Oe
i0fQn0PcmH1u/7+N2DcJt/ZNuq2bSrfmJmraXfe+AqjL0VpSC+k4KiJCZqEhXVQiP7weKDivNqLZ
+NiJVr9joFzQI414bqaqG4N/J/AGN9+KLnfyBGOrmFTFqJcbQJUEcoahHZZ/O9R789vSMz+/xDD8
N1XRofAfSP9wpi87XNb+Qa2LnqoihsMm5k7QWLREWZ7np9nagE9aBKC15eABWFejiw2ohpRCMnNX
FCn1D9j3bMVPGymfP6HbIt27dywsZdjo4t67WeMwJQmop7hJvUt+gXjN4+cBIIv4J2H/92/jUGLD
Yg5C9a7eGckxzSogDFdltjitgDSF6BmtjxXNmsvorXA4JfC/pYPUBMKEjg8tYrMZQ3h2tHUzEt1s
B9zYsh3OzlUu8+14tRLkTN2tUD1FJVcQ+kJLq+wxgfYlLdn+xW6Bgq8Bn6coezhGibigNWshfUDd
t6ZBdnG0/RxYNLvPApBSnsA4zxxI6k42eLkelUZZB6aM8tSB/FuPRfxI+wiMOPxB0jy6Totc86nu
F8jN7sYEkqMBZDzCBm6FZ1N8gd7H+OtqonVSNV+nfHxcD3MUZy77fNFXxEcJtEUI3Q2/6b5NonIk
xbasmDcwTfU0wQX3uwS0lX47EImw6PpY+Za1MMtA/Dp8U+PAHhHkUWwgrRMoNAjFJ7SXrIVgYCmj
SBwPa5zydLrHTIppt5wTmKX9ZZ4xtp7SPesC5D9SAbK4x2KvUOZ0dDswsI2IbLxp8GHjHxBYc/ix
4sFi//rYEhCTWTe6jlwI1kDphF6BQysHbmvAz17bZOryuAlxNs+YnaSNLBxMQxwBbThP+DLFeMV7
ggEOMXcqCT+J2PlSp6vNu+EFZIF36jEnCZ9IDfcRHf7LYpEdHyPf5ACG22fjfwcQgU2fujQV8rTk
3aGXak1Y0DcRQGDDbzrDVvEBeGA6h6/d+ZclIGsQBPxudQU+VGAygp0kwVJoj/2EEs6JyT/g/QNv
cPvGfK9z680NqvRxvsUMo5k6oZbyHMm/G8N84lO8E/ikp3H5D5e5pzdik06X2qWOnuLeStz+ARGt
1R6vOfxHbPFPSNJ97Oh/DgueS7J8rZCcWUzivFARxpc2W1GuA0GMFR6TrL+C3JrY65B3W/vkyLjb
W7RAnXoHowqkp7WrmWpo1lmDpHmG3mTX+V9Z9ENRHmmvcUUF2gq0jNpG7xPebNXg5x+3poM0esT+
fJ42cUbC9thSADofTIRs+Q3FV/JXp0fIAS2AQAWs7XL6wEBSY+YAtZGe28xAcBWrYnzJl65AgtiR
kSyr95EkBnYCdPwpIbLZngqMF74CMcr1TSpED598ivvbLAVI4DLdjrAklZaQFL87ZV3aFDE51hLz
Q3jySrmgyh0LHqHqe+CvzxFUL+wEihnBLH3qmUdDcuh7nejtqNp2bOUFnnESrKT0yMvB5cE2p0qO
Fy0iR38Ql5HjgyDeOq79hoEc4Oju348k3g2aY9g2/trjQp2tg2ItFRm/FqkF7MegLa2SYUTAT54Q
XCUAGT0ueseBYBdI0agK1LFQKwUVQMmC5LDQxwFI3tqBASVaxmiEA30/Pq8019nTim4XTYu02wG2
sJ/uhqHj4Zphx/0K+Xr2hxUHkQ0EG+RnkvH9VeCbhfWg0x6erVMGNSgn5sVAI8D/ZsDm/2tb3JbL
McxuruGDAGSQE7SCVw72nd5BlLB/ox31APmnOUfYEiP7oxuifrjvB6nQbaTT9kGXIj0eyVEsv8Hl
HX+nlk9DVSytpKXaKAWrJ7AnEkG9Wrmi3fOq33s5oXAgSQUwI/5zQycMqglflii7EI23ZcyzZhbT
fmY5P3p4zTvAEOTrIqukABviF/NbOhuwcwU6HbViXwQHFJoM78m6q88RROFfOCCr8Boo0799hLWD
bz2ikNp7Y4YIHsM+2otTC4bcNBBOhqUu5nVCY+JSOT8yDzu0au4Aopyw89VHLxn0HVj2CoP5D5Tc
l874C65fy+NQGxD9Qy6g7AZBTAsmRvRp5boNCjjm00IhwitPBxRURtonALjY9Sqhdx3Wf8iWEnEj
IWVBs0WKrRjqmfkpPkeLiZKfRLVKv+NWcfe1/wCAy2kEiD4VgLFNiS9u4p9rsQz/dbHSMc5Q2OQJ
PpxLdg8NGUp1t2LvKysGzasQxckFAqV+xW4lgAW7quXbniUa4KaBVKF7Fomi4gVAVfYCCHYQf7MV
MwXZ+v2ngnfjN6yYHnMVZ3gfsDK1rXj7o22MXgTerm+0PQSvON9Z3mSHHCA75Tqi3b0bl3T8MdBl
xnMpZMQuDgMYvxQ5IKMTzwCPnKDw6rZaEAeJyuRz7O4woaHx4WNP/KvGrx6mRN4MxbvE6Zz7tUH6
AOw2UiF08jYdAHeP85hMIa0HLO49C4sUgYZClYRzFSY3VRIhtYBnXVJAuFLCGJ6rJ+kH2f4e2diz
BwBCe5tX2dLmtASIFHST6oyzWy7QGj8hm8pcJ9WlFCS00XiXtr5Y72zu3duyBo2wYZassiz0BNZB
geI8T34TVz7hpb/sflsdwhgh4APBgXfofvEr0s8hHyXDq0JVgqh9ph4/nlgAVP5kYVO0ccVC8c/Y
3W5qFzr8FFkHB9Rsa+fX4nD8jRRZ8SPROMkV4txI9M8fi8R/s7n9TGxqfudk5+p0gMHaS9kuh2jG
AOi4itCWZX8SvH2RLLcCLiMvuctYaPZJrvqdYrM/Oo3wNmn/zmgz+I+wsP2bEcl4H6HVeVmXXEOD
Mhh8X2PLPDiGbeMliWi/AjjmfsWp38ZZy2eq55E87TF0qA9ja6OHZYKiBZVz9o8LQuYTqLP7YXjU
VoJTgfITC1eTHMeG8UjCB2C0gYEtj0X6NkM3d1WxzcTzPBlZOUwJ5YJhei8dy4qLmaHv3OdI/0R8
0FqUo0jk0xLDeueZ4VWUdeit+oXJREAAoCm6LgUQZ74N02iQOYZEoxG6paGXFcnpgUdsTgrYwqRH
gjcql+FX5mNVQba8bl9y+eR5XFcivk17b9RrjkDP/mrkqL96f1yVMvgU8JLfU/ZyZLaD9jqBwO8s
0f1PtuStD9C+AKt8xURSqEabZH+kycxuYmn1tUC/AKFFESXpCxQtB60xbK3rexgTyCu5y6bxrVta
MjedOKDYicHBABF07SoeCdIRnoaYzAwMw7AOJ+HaKb/My866B4j4egDEu7btP1AKvf2li3FRby0y
olmJRsriGwjTemsByNITNPA2B/S4b/jF1Sp9NhDKSxQicEyXQtndXUcoe1/6LRmS05Is7ViDGvbi
OQ4tqG4ZQYz5OIEMg8HMFGM2L1OVEPcSog3HfhmEtdiSQOVjNxDc+CHmLoFQscetwqY8W7NyboPV
txSW+dOFDkEGECwWWk5g5OG8qmg6jdD4XLXDU1H22LfYKzSq9nFF5vWdyWHJMyslvhV8VXd2T5Cu
W0QZ1ECRh3rKgGthDUO66U2A/6rUFiFJU5s2TX+io/BZxSOq0isNLPzrF9yiNxfG7jYeif69YuVE
lL1CwlmFcd35m7VFBn0FSoetQMRC+bd4Evf3G9gh10w6Wq8OLof4Z2rFn1n7ZYUbben26Mel+88U
2XLmhyXYT7LpQS6Q8DNzKlzgcBcMaJKr+QvluQOW2QLHaWU4UwSa7p95wRiv6O7iudo6O18hQzAv
WkVUot/01Bc1UyhdFWRgTj7vW4AKATfRYlTj5B+kE1M1WZUMDf5yTUE36Cy9T3W0FNd10massQ6G
fLt2wAz+B6d6+y2Ctw10XlhHoFmrTLPEE2Z7Ok7JfkrEuqAhjI4npvf81It+8NW+bbAEszEeq1pp
Ys86rOovOqyh2dngHhiNpxM2Jrf6QHv3sAngmgo7B79doXocyGWAEVJYVE1XOz3HfbtM57HzwxOo
keki42N60lGXNnjLEnCOh99PBr1Q2RehuLCl98/4lO3WoCUcF6hJMmIrTLhQl6aLOG0CfMG3BcXG
4AtE1PMrOZARRItlqyGpgJnrITaIVakpoOhWAzeABYNDvVhXCk5EmRtlQfxiCz2S772JbUzPDltE
yU9j+g6hA70bH5KVsNdEZvmPFso3UWHHqN3LPAJJzLG8upZm6pPPA+qoUJJidzfJlLuM6QARzBRA
0M7mCzaAe/o9DNRzgc/epH9SNWTqBHIVuwOgt8ep2mdY019FgH5iihOxXEjLihQtQQLHKiLoA74x
tAGHaSGsGmINX2NCH1skH+N6LTSyJ4btnKdDenvDH/ITsi0Ym8CIILxi9xBLrUNuhrhq5UYugUFt
1IhxiFRloJcLcGVCrcjDKq7CRUe5YPy6QD6+vqrBpC0wpWz3LzyfATQEOPOpcjA88o8QzEIXjqYv
+p7tKehwZ/avWh/UOU5Ybs8guvzRzCiJ5JOQ7SulAUqnoQIwAY2hS9Mx1BZzrn8CLgyxGh4WzZYm
CvHk4DYdo1YELPao80FmGtUa7Kh8AbmE3KQtKjBYlCD3NBrLnhRRcdf2sjUQ+4yYjgoojtg9txsY
Uo8CfcEzCGGWnZcWA6ZT+zPmefpRLGuGlSO6ywPB0VS8ZxC33REe6WcGNy/a0GBU/Ih2c2vrWEEi
/4N0QwRYkER5w92BbhmHNr9onAn0bWiwZcUwPoIWi5EXVmOpa/PlxDNlnsPsZAsw74g1kO9VtFB0
QFv7ik5l3/B7O4GVjFHNb7Ap5dGdWzDxNWsR6++UqqPGgyLekB+B1hbGeh3a7y4UGSLaQEnJEjpt
PASAE/GKE5AAj3DHQ9MFVn5v8B3HHwSDSSM3ytgJpRJaBQHZEDivAZ10adwA5YnzUNjedjSsWYVq
eqwPMKPX/SmGCMQ/x5teY5AmiL85fb3DyL0BLUnyko1QMVTYJYllI0KfZc/uwG54uWTLkT0VE+Ph
CUI+6a7QRXwlFxDcqluPqzrd7Zyt9OLF0mH2I4ej50K1sfxMsHIAv8CoA9QhQbi6kgxt/qtQOc2e
kbK7UlzqSCbYNFKjqDNJEFm3He2QVRaPwlyZxWLNpNTQvulv3qL24ukXI0RYFdwayVytKCAgI7bW
Qs1Z+RRi24di04ZBRAswO/qO/+9OrwfWjhGMm+YPk1GqvcUmHdvGzYd4T7dZfmA9DHA3lczx2hjP
AN8WlObbO9hYOt9PjoP0AUwJ2SbkrBq67FSvp4Vggi53rEwlwFWhAagHqOMBFq3r9wRLO8tpWnlH
znPO908hl+Iks7AuF5tiXigRjOpPHKpPAXZm2x61stt0CrvPzcsctiGC6KUTCIpo5WJksxfz8CcC
ib8+zlLka0Np4c8Zj5wvnRplVPZfWwbolydx8m3XYXkEy8pVdmT5X+jM6Itul+5BKg4GNJcJJtvc
dRCbhGD9yaCVOCpsyZDlDbwtPvpIcAIUHnbPfSnGPW0vm1qm9jGNAvna9rRzCkE5gVrsRmFQOP9S
bu2e5nnmHiHBGXtjC+JHMaOTvH9IGLYmb24FOfEpBo49rzBL/mq+ZFwg6MAh31Eg2tMp6VkAHRUd
4YaDFKOTHly4rCtrn8cAaeXrhIH9maLoQkOAvbq6ZesRHpK+G/gpB839G80WPPWSGa9oV0LnHH4Q
ywrzP87ObDly5cqyv1J236GCA3AMbSU9BGJmBOf5BcbMZGKeHKPj63uFpK6S2FWtNprdl7wkg8EA
HO7n7L3XIQuocF772h5p9Q+ps8qtRXLj1O1bF7TVWqH8fLqxqTmqwLPbG+OUvCRTVz2ymhEuZWTt
B1Ten20ql4d5lu7Jqrrlh06zYgsTKTt5pucyUQNPA+oDBsNUZT8BXTRVWFhSE7qW88nAmNeFg2pn
VL9YvZYEGihNm8G7LkmGskOwdwqjKkkm5rTIPatv3oLUNZDTiuUZE+N8s6A+HgrDIztYRkG6yUDZ
XxlznV6LYqQyXiKD7pfXgsahFLM8HObxsG2FNe6wjvTv+MqMmylJUdhxYl4RLG2DDYG26hfWKDMk
MUO3vpuMRz+Z1H2tm/kDKvd8EoRVbmdvPubcSDvOSu2DObbsXaanhh3m8/joj0odasPCXW3knDHB
f5kbIcef9CVI43RJdsIVRgrMmgXDWwL5hnG4geIzB5eNscSUw/TX+rDE0txbU6XPHk9hDCdl/VLH
mGoNrsjPZEzr31XhEmaZe+NxxjV0D89gOuXjPBwcTCAn287Ur1zbxoFm33TgpahsOFYnZ9/Ng1M8
Xhx9XSQKnISCmKfiXFyMjVrzJPNpPIoqRgwz9QbNFBUSQ7akPTbjuQkytElS9KRg4sFt7mEyzSMW
MN9oV5Se5Z1lYXCUk1FtrD6dXsuxpOVKcysJ1npUyb5L5p6yGGZ9qDKKvtF20nXjlRZbqonplMG0
HcwbSYc7jAvmtNPyUgMeQK+Nz53RYkVQUV2EZi4+utwzDgyoiI6RP3tvs+HYNOV8eUYD6X/ozBgw
bZjZ8yQ8VJdhsk4ILNPBGJfhiiBMtY4C5W9iAI3HZjDStZEx9hxZFBCrb86rnpPvJX0odjbFKyzS
eUtA6sPDX7vvl2DcU8zaH37b9FfdIus7moZ0X+2OszbkutBovLFAbjEdHnmpscMbmxNNMIPtTAgT
oGe0/FwESbOMMPiL21fqR0yC5g5pnMDzhFDZGMW4Y0hbzw7JbYT7WA1rGlhWF+rKW565fzGttLX/
FKFv5WtrNOPfOq+MDUIANSua9bVgzSHeDpHZcyo1q3OncylCaTviITZkOyPNm+VRx3lDIZ3N1pkq
zDw2CJ5sNuCYMTGj2jB0gbnz9Nnlc6JVH+btEKcrRowRkfYnThDW0q1za8AERFdFP/TG0PhbJ9fF
i+86dGFpwW2oh/DKeWOX3eIJo6tDo8A46CYo97WNBsiYPoJDPKOrFSf/fE3mbvjpVm76Sj6jQ/Tw
JkBjTn5u4qS8Dzrt1nelQ4ogSZrytauYU7sKNLSWVdI7PgUOuWgSdQWOIqvPr5vcxsKFsWxXyCw7
DmVE25vJ9zMa4KyPaeOYVyS01c5Aeyk3nH3zx5lDIf4/Um6EMYwChZFBZNJq7Jeyzt8r323JHfcD
G+HgZkwFAJKCMOnaVigmzNX7TCtMuslgoUCT2l5zqhjXLj0F7ENDuXMyLT8sTHnXHVmSteVX7LRc
VpddZKIEStAmQk7FechdNj+bmMyGFdIY+TuXqUAHac6YyduOCj0xqnQ74YYg147e4B3JQ9p39eSq
u3hZ9L4VZT6iLicDrqZW/GYEb3kkom7i5y8NfIeBQwGGKasNPls6q/FKX6J/obAZR2s5Q36GgNN7
V4i7mSSaT2m4x6KucTfhLcpWHHaqaDURSttzFPTPbaKiDc1g7CSqscOSIQE/yLUhJOME6zdm1/ZP
ERlM8QLKILibhcaoEbfpUGQr157IABJGGbZe2YtDqbDqEPkctnqMyXwlbRkN4Wj23rEtYqh8dVBX
81HAJuBo1otq13ezgI5rNsutdDm050EzjmvPLZaXyE2isEzgsu5ycDzvce12nxwq5F5TUm0XWZgb
4jP1o7X44nGxR/HZ1KRX5OBH7EsLkt9kF/F7okYrwd5jOaekrPoNNFhsxvRzZL6Cf8gvjSdwsEFq
iCOOi4k+ZG+89wFhPBrMXv7UTqVzKPvU+KDF4FR7TQL6inAZkNi8TA+T2aqzjI0Kk2dQt6fcGLk3
mCF0nWj+tkBytmVF0ZKCUpuQYeqmYEX3a/7tuGm3IXEgeU+mfJwg76crJG90Ody7DzDAorOJeeU6
tptqR7utIY/U6m1P+8BZGfHYJBvwe/XDWLcUa1lBKybJ7Ppap1X9o0qN6tYIXGMvvXZ5bHF/kf+k
GbWEfTA0GVmXjE6l6wZba8iLu2WZ7C1DtiXNhzr4dMknATBYzIsZm0HBPRQjRqP2wa2t/PSUR3p6
vlhiri2U/SfPc8bXIuH0QZ5q+aVEh1m8H6kdVhSwxZEWmg5tNXRHA///3SVkSOzF4KYI28Acz3NX
EqbpreVnYtr2vYfV+hDZfnmbWcvww1b2ZBPecPOapz1SA05fuqxg1nJEAIq6jgiE4EHoeEO0deZo
vMbJB+QQrFqVhU6X0czGHOHijIr9+skfycxu2Gn0TdwPWbXpmCf44JpsEzn51h/z4GAtmgOE6GuT
LFb2kUYCnUloXOIBvZPfJk7DjaOGYvlMQZFtu94Z/Bt/FPiKeqMYTiomd3FkcpL53HW0qTaJNFss
gH3jZYckxmNS0xSO+3wddRkenDQDjbcjee2XD6BWArHpdFKfcQobT1ZDE3obVE6bbGsPBTvM8TvG
W8JE8leTRG690y1JmVXis38DQ7JK8zkXrit2itlsVqgLLgJAjXFclIvrryKVPQ9GdOz0OAdt2LAN
wK3TUkQ6pOCb2hMuO824wEARp6KdlI2SzE8yaGpQQtJbZzDsjH4ANpt5q/peHgxPt9Z7iSAf9kUk
xns2Qa9/nCY/Tg5LbU3OHWi1ZV7lrcHKpZizrzz9V3t5F+kbrF9+cSojo4DmxkE6665l12Yzw34x
Y2whdWAJn1Xq+GujaUej3trSbdeY0C2G6CjPbBq+Na71YK514pnTG+b8i1xIpWsQOWpqH6wJkJhT
AX/Pfq7Qk4JHtNm85slY5PqlSejApufG7Ww8DVU7iY1ZghLUu27R1LvIsrk8Q0uxppDuTos3MsCU
P97PfU4ZlLuYX8rIdJo5zKTTqTMymu+TNimlivGRebjvVjKu1HLVDIFd3S8K592N6ZqYv0Pihou6
tX3qdlzOUgaPZmWqfjWPzjCf6LbpD1kHmEFW5GSGbZ2gcwYrFWFn40DtSXdcDdiE6r3jimltdQaC
fbl04iEgNX92Z598Bg3C2SYiUXtPNCP9F10u7g6xsD3aFA93arbvEmvO9l5F52xQnhO2nnR+tIjf
7zEJluPQOs5GOx5tgQZXFVK7Fm+c8wz2Dqg1KdHLW1EKDpISt6H0FXaUqXfLjSxzzs9WFg3YiILi
rJPGf2SLCHZO07NLpTkbseV3u5SowCv0GZ4ereTYsyolHSUPGMfRseb5N9YGEWbqYpPpospC/naL
22r0k9ulMTwGOtTV1i3wt3ddVkiaqVHhrLElWbd6MfSZTmCORfeSN1wxDr57U5GHVShpZPJhdw1x
8Cqdt8vc63Vcus3z3Jr4/51xfsEho55cy0DLKWQl3oPWnvaBPeHH4eAzPEI87MjIp2oOkVNm7o16
mq4vI3Zfa5tkYUhBGWzt3NdXaTsUz07RTO85uCIVJqwKG42dX7XAMjgtnsKCKMryuWfFrSVD4hir
nQ/eHSlV8dNIGd5D2tJ5XKy0POeml8WrspmHl1Lj+yasU+8kVfbJp27ddy1m6ZUm4/PaMJfsvp20
wv1P3bx1eBxQ1REQZy5vkjyaRh2/V8kkOLV3g7POBaNoi8AWD43ZjcZm9uFWqtgggFPZ7U2e5jxs
NHSDN2fOyN6k7hI/tH7XHjGGL+uxmt1flmHSOaB15ofsH9i1284+Tghr505Y1qvtFPNt5eFQNokN
nZQlLYF/vY8wrZDPuIsVAVXykNlmcFUGdsWKbwPe4nXnLd1vspckLm04GEoTaCV26uNj6OP4ym1A
xq3sxJhfaTWo655WF23galjDu8ieewITT/Eo3DX0Qr1147gkYI7T1lwpXyq1KQzLLddEQbvrFP6N
e00egfkyNNpoy99bU2+9Z5Mpa9wG2IbWROeVudVGvYQin8VjmaMHTtwn89b07GZ8Q0F1xd7CkNRs
gUv0r7T3Xgne4fm0iR22K8bgEdWSXuKv86p2x41JaZhdm30j43NyKVHCKGvbdaezagnHqKEFVCVl
s61sHOa7YVHTDiA0XegBPuLFJBEE764fG8nWCCZCG7Wlx4vu69TLXphjh90P+sl1A65w71SJv61N
rIrHyOiJPmOzugfDQ4RH2w0HgMBLx+XY15W9DTqKvDE1FPIYPS4KjH7gET1wrhp8yEdlX+Z7NV18
lBf8xlaVhUvnK3DyIeS5NqxH9Id9003jj1STN5llj08KRc4W3NQBrbYWtAZjGUZmfxp1i9/UzqYf
OFrAVln0gzhQ4Da6IHWzNhSczTCZe7kmyBolCuSJygRd2Ar3Y8mZyBgVGFZAQcu+bUbcxJRKR94X
PtBRX0IWJhFmuqTNJvKi4uBiJz6CTpqu7IRc7JzgtuzMmf3AokDgDmtqBsTjA8LjHAWz/IkhcOrI
oPbt00h781fBdvQjYYLHprTs8kYtQfuiKH83s550SJu52lWmR5ozzxqjWusiNh4yGTSfurTKDVZ7
FMjRUHVoeTThvcW/jJGgMeSQhI1a5Eaj+lXCRXlaIg81XPZuy7FkwfgcSazkeSLUJvFHzF6RZeB3
cl87BnEixvriGqZhjh09k7sOgWTLfhTddp7WT0HtVOg1WfZEO9Z/HEqSZVhH0rLcjh2fHwYRpLUU
Z8B9A1uNlU5q63OieNkanYODj6Tuz0XmCw41v25CD8MklaGgj4ypHGWqUnEWjtloHE2E57WaTI7A
eDEEI8ItRi0zqF6tfQvP7c60MXEdkCUJv1izbaT00WvULdQGZa5HDyvbYRSq3EOCLe7slO4RbK8s
pBIglxI0WA9nI+Z0OwCx+hgWC/dUgHUkZQbvPust2DQLasgNm7N+Yc6FujdaEA7kDSneKtEQKwvs
bN7B7QzElrJoiQ95VsmEO1uJMx3ZizsE1eYk2feeYVf0atsMXdKjebrlqzn5y+WsuUBcXGJl1XcY
XvyTDNI+e46b3oaTY2ehKmp7r2yn8d6cultKnjsE6cI0rZv94pJapwyFaDBJBlfkSz3M9xlmZm+d
lKa1rO3FVN1eVtgiceUJnzZtYvYOqkXRPRZ6yMptf4H47Pp2gZUHxc6Ld65ZjQs1iFuUT0wYGLOw
S2N1MboFWfyzmKKUO7lqFfqkBwkrehg16BQz1LpJKQzsqqSG1sFcOpCZaLn+HNOsLX/3pYdVBoUs
Lw768urH1temsad9YZRrYhIznVHfV0SjeqAw6uQGrrDeQQB4HkvPq2RzH1Rm4iShQx9iPBbONHk7
5gwHJcNX+UTChG3WDZNeeJfhOJOn9jA8qnvkyeBeNWJ87KdmtjbK0zjYOOTO5dnoy2G6ohGZ3VVM
iXxZRlcXIYPhp3Rru+UUbQvoT/u6cZqrtMoRNeiloWLCdRHHmaUZJnnrP6e9IsblUAX+TJloHh3t
miP7WwZlyyVuBMsX86vWHxoxpGXw0NR9kKCASzgO1G1XUgWRt0PFkdGmxf99jnORfswk/B5sQzsv
PQUFrhM8ZCQTZJI6xwFSiV4p8DBwxSgf/Qckual9yKI6xGFFD7fkYdT4wVUEsGPjZwORUZ+s07wB
XEhEBs9Wf1+jiWytfjGvNaSPM+q8xF6FdajfkUgM4lVB//IJV1DGNpDHEeeSZPrdIDrv6HnINCwH
ORyySMhhNU2A8iA2pL8Gl34nKpk/fSDtZA9gGqabgLZ/vm4l3Tf+WKdZa6uW+0jYebVCK2+eB+h+
u9FL3KsygsdSMFTz99Cg4uxiMU08pg007ZLXuw5637N2xdJ31wK3/LyZXaxnWWB12SaJKNHQzTOC
4QE5iioo7a2Pl1wesXjxvTyNanMNLdRr8Jlg/lj5i5HheqNBvbP7Sq6HlmAEkCcOryxtG6ROU/KI
CtqZsEuP4PYjWQigrcATzDvVeiaq86IPc46kh1YQ072kdF/B7R4/Wq+ZQFXkfTAdhkB7W0X5tpUq
q27wEwKywiZWHOuMWVEo5NN1Uebt0Y2i5LqqswhDWm8/eaUh8mNWlLARBjS+a79vg52dBQDBDPko
zFofnMiRyNtRHhxzTiagmPS097K5c2+rNgq6M2I/Bxk4IZln1etWz7DZAiPxmF+0EFhqm+iWpN1y
1h0Lsx/8ett1ogS1h/EHlFF5JPftUN9VJDQSKE3nFDUVBbx3xTvgfc7GUZqUn1Fyyb8ls3qPnb4I
gwsRKqzawnujDhAbZKBlDYmju6GbpHGgiciMQ2H0g9jEdkZLk1Fi+WnCirurLXCMZiu71xlChHnI
2Ew5Sw7NemiE3DvToBriGUXvr2svN6AZFe6G+NNLIUlzu6J9Ka1GXAvIabB/lmlXBYt8HFKz+8mI
dXWrXDhJrI36wVkW+yFJQOuxbZq06pjr5KWrlmbpzrPyjPdZYGtBqPSVxIBe/oQJoq/sbp42UlDq
rFhMgqeqti36a2YEck9DubnGDTt6ISZs/1iO7YyKAVuUo58/q8fAmsstxyFaDU0+dT9q2F4n7V5A
Tv2kH6SAAx12DTva6PXjrsuX5tDNTvCwGJV7AzVGPlDQGyc0RedKEPuhkc6Fro5mT3u3pRGU70CO
eCaEz7y4qkihiHCuPC89OUXRfLRKib2DcYySM55RkeB57QiusvNrRfKbkcrDakn7aZ/EfXTlV9G0
9nno/ZQMFHj03WqmJVKB/7DRC9cMle3DpBzZkSdNfDnLgr3F9DPig1FBYgra/VsnWyIuLWm7lcR4
v0NkYPVFptfojUNvJ977dd4+esrKn0xIBitSn8bWMhoyrx2whrXCVNasxm5MD3VHrH6pzO4epqg8
+eKvjqLJasm5GzwpMTZY1LW9WV1nvt3j0JS0zKKFzEWSjUCpGESDCduJ+qs5w35SNXZwLGAXPSm6
7GplIV/fxI0rTvPgTa9da/7Si52+Clck916f5Deum7Tr2KL2M/Oh2GPjcc+YDbotM+ZcuOJ+1Owb
BJEdEhrnVoCFl+cWuiZO4fg9SqDmbXrqavCuGSkkbKgX3ZRFiU/jzRRavkzdYGyN2cnOtBegCoih
2Hg2PuW49keohuDEfrHxej9dg9SN5k69oakhyEPJYbpODKU/BmOOr4alzzZQVQRBsZqmRruHbZxz
yixT8MLOobDgteltwDyRDCJJyiCBH1lWW80pY7NKiO5Nsu0Y7EQepVhB2Csna6UMT0bXZpLX9A8K
ZkkN9ziSUycLYQeViASUPTwOWc6BX2KMBq3H6sI+V95SRS0S6FGU9KRMqZ6X7hqNKC94ElhUBTfs
r6AAVrVbYEg+40VhlO52gccTc/qFzr71F6yh9wZ+zPrz/w0Y/h/4xW4ABfofpo318YRjzWM2txVZ
1wH+4xb4w/de+gtIGuhJ6U26sY58OG9tNx8rZf4L5Pr/9K7tf37XFGnCK4pKHMkTk5/cdUX/vRFW
lvtlPoAhsHLluZJHWhx3nbO4q86cmm+Czb/MBI2NiEahyq1j3A031Lov7HP/gg7/P30kXzDROsJF
iIfVOlL7QDaIH4ycdMS3ruTX8fbuZGKsssgU1WX0w+n1u8et/s3X/oLmR5LDFGZ7Ay0RCFd2LQ6p
8c1BLf/XTHubDLOFRHRMCKCs7dSy4TX56nsXU37B8ZM18TNpwg3hqEgiMN/iFPzeCAx5YYH/w6os
2waKSSobSmvYeq92pv/Fp315gf8G7i6/rEklajMxM685uhiVDDpODLzmGNhvU2jL3xxKJL+sTsej
L4mlj18i8t92U94QnF9/7078sjrnfPCzTlTNsQj891zVtxgif3/vpb+uzdbu85I+yZE99cakhKvH
743Gkl+W5twOCvU11UeTqQ3+fCt1/r0pDF+H2g+QUsEKxPoYMwB07YjLKKIgnr53g3+da+81wmzp
k88se9++wVrUHrAnD9+7lM6XMUFJhxG/84fp6E7jVSfinVlnd9+6lM6XlcmVXFqFA/RYcdZg1tlb
5/Xf/MS/rEzfhpbZi248Rl3ebnClyY3Xauubn/iX5ZmOAjQETrej0Fl0rWZKV2Y8pN/bNZ0v6zKH
dNJKG2N3d4EqNIP7GUXym+/8y8LM6HqoSYFXlgk2mcCoqQ1KJ/8Xj63L3//fPLacL2tTGWXDYXLp
QbB6PekF2rVRIr55Sb8sTz/okhzEb8mwJI9kS3xSTv3xrRvx64x7I+78fIxVe8RzRB6lyL1VK6Df
fe/Vv2ydTjxLeO1g/nmAQ1Qx4qdszqbvbUH2l+XJ2NnFkvnQHCMhLtlNj8NsDnfse2/9ywr1Bb6r
xavrY1wtPlSZ8RrBqg6/9+Jf1mgFMCwT1MtHklP5CozOVpAI/+aLf1miQ9Gl5TCyuaVm8QgKiSqy
Gv7VrGv51wnu/82dbn9Zo+QdTVtnkg+GQPmjZWS72hmekdzBCzYMJRXCqC/ufu/QeMtxrhEgumo5
ST8oly3wlfiZ9G9+yCSymRd1AbXOpVdOoYOnofslZ+xg+B2Hy3gGFeILuYvUlIQATbBeGQSxlcbA
O2DJldqSx1YzC2Eaf3ozvQSivitqf/92qoL8pjCx+mLznK+JLqVHD/LaKkmMQzE4D6kKbjLGuQ3T
+DLrhEbVkmNCpdRbKn5t41XG9OhXVb7tXTPe4EELtrkKLm3h5i4ni7Up4kFgnk/Gg8BNK/HzMGhA
X82zF28X6rzuiWkZe7tQU70iA2n8gpftMcJEjtiFQFePDn50Mdm7BkPKidh2Tccpg7qcpDdBG0U3
wGM3ZtyNb5m2iAP37lozSXlD+OVK+Op1wdtwcIbixqjGbku73qA+r+ePOeBk4JpXJV2G1owaby8M
6FUEkOkP+ekFi+2JEQrKPOJWNroZ02GFW4tge0WazVmVSXRK4wF3c30lmuJA4Vo9zH4U7aQBKd4l
83EN548cqMYPO4LPdKzbUdq3oy+nLUVgScLam4k+9sEcVshRG+SfIXSzoHjJUjyIaW/sBH6q2xwa
HMDC6yaAOVzW2dNSlH7I6azSW8TgPXCfx8bQE90R8sacN9dB4ed6DYz81iGyFuKghgymZr0HssHc
hzzxTyBMJyw5+mQQTCYoKkMRR1Hoc/Vbw5YeOqw77yIwvHvXFiRyKm+LWbF7pqWId2dEEWVAxiAI
+NHnfgTcnBL2hVQXQgEyt+6EsBgSQye46Vrqyrc7b0bJdlpw5Gjavc3kgqbV/SkK+uuam/FCct74
AUzLna84ZQGdmmRYjnpPj+k0xdXT1OudyP2h2tRoLa4TuMV9h63lpKV5zsC2bjrQ2mHiBeT7BJzZ
ESjzFVHAPuxb80lgn9qaIOO50TJa7tIv8yPCk7/zCKG4PrF4J94xXWKHdnsxQfh8oM3wO0DKXpce
8AKPHtRhID+4blE5V7Hrl4x/WYBoD+bn4ix3fc+Mttsg9jqY/50CxCXmE3qvBn5esYSRVy0sZyuh
57NmciDgIN0uhImRyhAb+9E+xnMhX51hIDKsfPMBhot7klON3gnouXyZQCPxIThTiPoZ6AdIT2dJ
X8N6iuqBqSD1Ibdd85TCP6bp05nbwQpuWyNDbJmyE/y7Ncyvg2tjggnmcdtdjBlkQcWmlWo1OHnG
JdB656cxMCngHsBFuKfDSw6OwNh8l4PN2pZTeuxz+4oW+w8vHv1rkVmgznrFytZLs7wuaVHAEElT
uWNOhhXWE9PlxzY5lqbt/mYUiIbHAg+akSwBaQtXeumybcfUPkkLkX9tDbO5BW5+lmlg+WtA/bg4
l9HbYEGKjHWlm8vJ6j1JmAADEqgIJeL+p4gqIwNu1D6nqZnvRVchERKOPo1L9Fyk7iVMuYzljUPr
Z2uV9RHDCmsDUnUwXPpYtYPFloTJCsgUj5nI2RPJ+SBNLJ4DgyKOfAfjkxHJ27UB3Q/DLF5z/j2a
NxIqzGaetIFppbk4AT1lGBuf6NhTQrRw43fKW/u5AizlxYprkZBE1alZnTpd3OBCi87MOLkxeIQ3
FU1A2zZIMmA4Y/DOBI+Px4GAt/8m3GZf5WrPDWbcxOTbtpGXQAiP0AJmTI21KrHSyBbkHKlYlnPU
Lr+aChdh3tn5A25HC+vtFL/SnwIf5s6pEapqMM5mjU84nIYeNb0I6uGngXVEwaCq2sdIDZ/YPI0r
SJE4izXXEn1kOMYGAEfNJV23vbfcc6pYthg5mmWNYR6HI1LYz9FRFNSjy/RCg7iWWZKX007xLnSv
GQA85kRNG2sTLDhBkkBVzDdQt/1EbDXvGUxpO32MK0vNXBqndgNA+sE7fcV4b/Zt+lKYdl8fR8MZ
ddjjVz1l0xh4oR30b6rDNW2D3T+O5YT5NO98jU7j9h8DuJ6wCvoFE5MjHwnv46fqiesiLJdrYEDk
LyF6k5UC2CSED5sGCNo+wNqxW/I6Po3FdBilUEdS8wkkgta5zT2zXNsu7WMjMA8dE6M2tgS9Huoy
vqXxyDivxRkm/EqZnWxdJuSMdeB6VwaM/fbdY45PmM8q3snGA34XqMcxKcSLyTXFBVuSTQTeUjuN
bJ4gnS3D2ke9tNd+ZnmvxRggobWm6V+35bKHXq73jsQpNzMsZddmaAMA1POPOE9wekBFrZBG7d9A
aPz7WiGL9kX6yzbR4PCgivp10JV51YxB/Dqqvty0pOHXBU9kqCx14mUrDjVFmKRDT0gqhRKTFWK8
MQY8A0NUwnLzet9GS7IeyTOKQ4y39rdmTNaT1zb6xshKtNpKlvjnnVlsAovIpl32aEqgMW+yflxu
HXOh8kDv4okWAxgtMJ1sm67wMma+4HZCtLXmNizNQrFn1TbJhUCQKCmbqruKkxm4G2PMhruJiPBj
TbP8RN6neiJaOGx6acfPmLgbTghDM/VbZmjpPe6iuT7mgplZprATyWy2Dj1uSCoeQllRr6aG6tlY
HOJOTmJgOQg2adQyecLV9nqqnfMEVhq5nRBPPhVPThdNDPaI7hBUDEHUTxU7i62Ugx1kJ3vgN+BD
wuCWtk8RJ7EQ52V1q+OMK1d6xt8myP77z/l/xZ/17d9Om91f/oN//6yxsRBC6r/88y+7z/r6o/zs
/uPyU//5Xf/8M395rEv++/ot//QTvO7ff+/6o//4p39sKqRffTd8Kn3/2Q1F/9dX5x1evvP/94v/
9vnXV3nUzeef/yCFUvWXV4vTuvrj7186/PrzH0JQOP77P77+3794+Rv//Meh+lVXn11Kcfe3l/vP
n/n86Hp+3BF/MkVg27gSJWBAQbN8+rx8JZB/skzHwpHpOaZlOzalGNMY+uTPf8g/ub5pg3IGIysc
G+fNH//W1cPlS4Yw/xQwt8YMfMH8a8+iUfF/3tw/XZ7/ulz/Vg3lbZ1WfffnP2zvUgb/V9HgukRS
hM0L+Z7tMxHja7+ztAXB9TZzzw60lo7DvxEohqO15BwMVAWyBkzHYkeCiukwC2dIBxu4VjtZTuiV
jtttkKYNBshGI8CXtGcE4DqffZCeEBbwRrmday+h4ccDYCiH5baNEydCFO66hMhEF//AvlgHpCk7
2a3yGiMENnrCQN7Bt6cm6xZO+rlhvA9BbTY/vNGmF+tJbG6rKU2Yn+Tri546M7YieSjgMvchgw3s
kt/sp7gxLn//QhYWquDj5e8wV4ab9x3nVEw//kPsR4ySG+1M/MD8xWit89gDfrmK55rIVTIVHU6i
IDfdXUnU+24IiKRnG7qVFt8jcZlBdoanA2KBkCzYGQtdliF7RHAqF5Zfg7n6LLDvGg/SHiyPcQC4
n9Zma15+JE9dXV4pvLmknQllCHdHqMax3iaPoRV3vE3+D22XzIFHyQy0tZMj952VxY+/Tr3f+Ffg
XGPngd5G8DZ0BsnY3G3GFEku8Jh9FHkD7Bimg+TT8AmzStdn4CcUF6HdIBQdiGrY5JU4S5kb0wA+
tHFyrHZ3duk67Y+kZe7Xja2x152jqRDMzk6XSLwMSsYvrUP8+DYxO8SIPplsEpHZDK4qMtmtPxUR
EgAQ/OOqhcOQXblerKdDOo18qiWzZTl+MPct+8TPaTpnYlhVt5tAh8+7nFat+9YCzDIeGEjmtj8q
CZLtRmZFFeymmit5hfZOcnvCbl9i184nXDX4uJ6TGJTUgbwidq06bwzmHuS5BfIxrRl292qLgZwj
mYBGXksTrusntHaudRX/b8rObLltZMuiX4SIBBLIBF45kxIlUbJkyy8Iyy5jnmd8fS+IN/raqg47
+sXhcKlEEEPi5Dl7ry1UwlupbuQt9lo7/sZ5DudLE6r2/cI2wsNzitbYfuncZtEV6ypLkbnauMCA
HeYTN1qS2NHCl1WiLJg4Y767t1LlhYfc8hHs+pOnPVimLfYLJ/RnblCIVdwx7J444wB8GrC0FoqA
h4DxeYjQs8jDjZPyLKzaUXv3E9yB/CYJoPqsTFw2t5GwmB2K3mYUD4M+9Q4dUUE5TiEUFKvBjY32
qCon6I6Qlvi2vRvzeT1Xu30sXYes5bype3NjkM/yOfOTotvnNpgekvXwyoliKJjoj7iLDnhje/N2
SEJeqCaEkGaRwfBnFAFMeImdvLV/TCIo74BaOsn5etAYJLl9OyWxLOlw5O8pfmrx4nYW+PsBcTjB
KqVRXnxTcBWEmkdjM/pjhKhNtSMnrgd79Q9xa5yfAFtBfoM8z69eizqJx8tEOrO/xVqUGIecmaE6
qXgajK9NEkY/EJuwZ1x89/EjKDOsTvCUsKJQheZT7twEwKHGCx9lOZAbMHZta2EgrwtLCeASwhjg
K5DrI+Z2a8Lf5aPB2rukF1OCJEMBcmKIDXKJCqry+eX6TZPRzsYL2xpZvZUyWO5/ZbZEsE4teLsg
bsRXgBCzdWsazjDsIf5zqsBH892hPHBlYhIKos2U277cY0XhhLmTTULS2PbNcx14gAsdocj8IZAj
udFRSvqKLnJWIhdLWHekQyCTMyk2xXhCAtB6n4qgzsOttvAKHUmS7C8C5ioBCoyRAU84RKVcTHPW
nJ1mCmxiLxMPLUuElEPt544FeWf4s8kTGJHVeOzIHvN58HvSzQh3QOTcGXP3EA3dD5z8RfgYEeI1
n7peIOzAHlQ1B8+JKRfTroJOab3HxqU8kGfTm43qcUJ9GiImlKG5byZibfhMy/wWRBgzyOkisWC8
sNPnk3PERO3RGNkXPNkDAUDgfTOO+5RHbC5P5B6EOZF0Q0FllucB2S0rJ5sA/7P5rYzwZSShU+2S
kOyvu177MZ6W3tBkJy2FchA8wLTpevphzEXYSuAa5YMlKNmbPM6aPIMLBpAKkXNiOLcBzlK1x6jF
9ekNNdYAmCxn3JL+iN6cXaliQz8kklUAPR9/QmxFRkO+ymRV+4a0R3T9ASvD1g7ximcwvwxIlGW+
u/54RY5Qg956eb6meuLuMAc/TZ+icV5CSt7/nVwMPG3aN6MACeeYepccSkyAXcdp5+eYAYyzKRf0
xt00Eq1zgQ2EDTCRAG+hTkb8PlaQdsQayRiSON4N3R6e0sCtvMrYdAKI7sXrvKB7pWbS2T3CX/4z
IsysuDfx3rqYi3Gu+gdE/C7bPyihXJ/rw98nZc+rr3j/jdVccmNe/960ZW88TbzVeaUmElEybh0k
6VGhkvLWZEoUnq/LFXzcZbXw3GR+uT4mQe/zCh5V4wzTboIwyy1L9BdKbGggehFLF0E/ZH8dMy0T
iP8WR67yLIb5GhaYa7se2sKlePplpjpCkq+D3opOgx2krNImvNKbLBtCPNXGHLgXRBzWxcp06txh
zYQVVwHZG7+IzNHx2VQaotG4rOftJioRILNRtlhDueXRf8/EbsyX629mfqiyczBUPH9d53E2Awcr
HmWBJVoCp+oR8tzL3Ju8adgXVgmGkWgB1xOktQl6x3otLZoua5lyFnakI7XJOs2dWh9t0cuz6NLA
PFueAQFmjdKvMp4gTY4D32VJLwgCgxPeeK7fHjGtCBNGDvGHv9TF/yk9fy01zWUm8vvJROQrtWe6
nnCF+CgbQVcK9oG37El46G22RhWZNHchE7fWPWZWyB9xF5hig3l88Nd0yWcgn9eVFNiCq/4ypLCs
ZRzx3wNSrmU7tqTfg++HRD8hPuhYcnwhwLB0egPMN5JAvocyeU4DfBePNvC+GeyPowhJK/EMwtmh
2QVOijbAsvtK7JdI1LXcBFx38mmypqe0NAt4QInsW7aL9DS5WD3rh4aCogtYpmXsLQikwQzP8+R3
pM3Udtu9lRY8B0KZQSlR1LTFKvOI7z6xNMxPdsErKu71j7KwazKCoNJKL9tOeCIR6yePYzR/cXrW
lJbXKN17/Gr0Ntd569yZRfEZABlLD/Iv30G7Svx1kUUPLJPrUSfWqgGiSQOqvUsr4wJO8CIZZQ8N
YrC2neiHklgixtg9S2CE28yz4H8prOvk9QAgdrzdMHfjoqlm73GIhdmMGCzEo+/rfI9J0T75vLnW
+DX8dY4LP10x2Lr0rX2cs56sB/VVlcNLU2QjqJ9x2rqB+Wja/RmaNpmhTO4o1VUMDFZjnQF+uQpN
vKqOqTsTzo8Tqc2Ajvwh9fO+/S50gdg1VCG8zms9CirWbZ+ysrqrmRkosBSHfEzPo9YPOrcPgQRe
kaNbg4+6joia2pfl9AYw6Ubhxl1FnvsPZIJvTY6FuGoQr0LriDa0zW3EqkwdAkl8IoGJmF5DVF1m
3z6Lahg3qYWgXiYPYV8/GXP0kIbFDzm5gNErjachlZ/qsMfRzu4KstQNAU4nd6geDOSIhKN1J4sI
rfXYx99DWe1HYCdtGuc78ovJeGqqO6qOuwi6LQpj/RCM01dlqKdxjpob3CzoQAOQoOw05EvSNf/g
TT/Nyna3E87PrZU6Lwwuf6IPbMh4634EQf1soYVcdxKp4DgOPy1/viiSY1ekmF4kFumk87ZhWvhP
ZUS1b0xfNGmkq7LsesAs8wngMKFjFflZW8OzonSP3DDN10NF/jir9Z1JuBbSkZvGET+ksnrymcHB
uDFJHWk7nINuRqQcnwG3YrfH0LnRoCVA9DvuvtH6W2yb/5BQdKkS+eQk/pdp4CzRBPUhS0Sm3g5W
3u9ACa+FgbR5PaAtDDeDXUVv6CatiJsc4suqw3rY7CuonZRttqJi99Oo9W+LClA44zBn0vdp7ePI
8FGc34Lab8ilB4BEJgqDzIMkenHaGlkS/yhbiwDyOnCgO1C/52R0k7fXfoWpE5+zgEkLXdAW9u+f
l065TPD+u1K5ClSU4+GaNrWwPSJAPwwQS0i5GUI7EiHNQPePg4n0dS0KN5BbIn4LdwW8JDOBtXC2
2pXANm3tQ4KMknNcurJ/xAbhq1OMPDOI1kWEsXOVUIbaB6cx8fYG9eJet52K0jVgJuSvNLal4Jbm
kVlu/Ba4GLTlFGh5rfrFC9ySArlyObvDDg8xOJ08I6lyW+epsQjJmiC565jBwZaCf9hQpYP6IvXM
BX7+lzPjLoPZX0+NYuEW0qaLYTkezKwPU+EZ0JKNDNrfT20Zzi+4ekEcmBAtPguGIt2R2A92UBVI
U/tAPlYc3LHy8S9i6iiCVaKobLohynxWBZqWKMClWpDyaXvOe69ED8fJCzBNjCGLZcSqDR9ndOf0
WL0X+Y4vB+fQEWr/z9SAYXuDr2HLbeH47uVasRZzSUVnv+/kosHk82YcsmAZbOi4j7iYGyS9E3F+
W4fk3tdCRNRM9uByeEnnU6MDTOHvBek58wudZ4qDZIny2eUtmSNvVNr8iw2cbXxDGTr0NpikJA94
0URJZ++q3mJzoceK7WQ0tpTQ09AtZUS8mC4AdTUVlcrI7yiHBuAYrdVeVG94NDUfgXExu8EdHs0v
vtu5VAzCb9y71NRs+TFEcI2nAsjfPp8GdiLXj2kjm8Nr45CKJI7ZfA7Qahp+CLoF+2asX0XzSoJc
VTAgzlSDnDbnFLky44KRm7x8t7ILoUEQ5Ell4oUeFU+Vz8tpaOex+4c2GcfVFWhtX32r5X8bypDt
F4CWpXQMQyoZkmM9i8y6UGf5zfWT57KMcXCFxMwiMMcIzSddN0/X2xUoGV8Lz1rcnDJEyVWynsCq
imjtBK2F46LVFAGDrjij14JrSEMOjQCikA5IEk0tIM9lHwgSnkzQanEeX1jvNAxH4pGaBRIB2AP0
qd2O/T3ZuRVcWCuPSdtpFXPicphI+cL7Vyw3s0XAkdg4jjSpCoKEevRnxgB4eoavqfAtaRoQR+VH
nBc9O+z+Kgen6FkkEIgbgmSKVH/GgOLTyQPtPILJMHqaTCWwOhLWkk7dSkMq+B2S4qzZSryoVs/U
KGPTh7ycswPDtyDLygk4rS4UqOb1eqZ6O+df/DAhdrbL+qX3QD/tNWLC276Frl7mig2gnbSFwgCt
YOaCVNbE78qLhsO9FpvKRDOCdyynDt97mZlzgw9NyJvVHS05P1ZK1xAp0ygbyGWBoIppklbHQWRd
0B5pcDQ0Q4qpb6otbwCe6kZNPDC6zMrXYBxIDtFahA/XuwVum3bv2J6W35fwuPq+rdqB4EKQDP1T
TuHcvNoGFks2l2kMjd2CSdnezKPl1zz+hubYe0OYxo88ZlicWHUSvWClxZdUlQKSDQnXyj8MvsJm
7eO2EkdTGl1+0r1qZnThWe1saSIN0T5PZx7A/6yQvSW5egyT03QVEgSeHUpmcdYnUGg8E+V7m2DM
64SnocGernA+LauH9uvlAbnew/T2+PLBQHbgBUtjwMahI4rGfslMhtR175sPQY0LfKXdOJw+DTn3
0iVIA8oKRtNyUps2CdJnNUMYuWAg6hW034Qb9k2znYExwZTe/ml2LofNjtHBbJNPJ/AqBLmxPfFa
KPspV7V+X2xpIKcMY5dxS+5CJ99fT54dhTCaIxjMI2tDxX6/sMk/Zj/SLy2IMdMhZcEcGgfA6hH4
p8RhsaqnUvp31jyO+jKMdFfIObRxcY4+b8twHUN8Hr/Ojq0L7OkFDfbP2fuapWtH1ZRl1JrDSg6K
FQcPizHfSX6v5L1olfPLdXeRvLcBo64z3TP7/uL7VCmrOAuKTocfd7uN75tjf4Drttytg4WscVXa
HsrSdWIyaj4oHgeHfEMDzvaqNJPGblZm00xIMlLQ+segJj1iD/W0E7c6qQ2m/X1XjXtWCtXslYIK
cVNKnRUHb2pn8Nw4NCqmQiCBVnVl9VQ52pb15rrmpB3ck38MZ3EbXlvCvla+YIBdEa/n2nrCq86r
4Cuzjak8FilpZD8ICMOYtWpoL42HDkkcoTessekpIDm6OtTgJcVqbO1s2Cc9M3boPONcbwpXFMTR
zuwZSCbTkzy0njtnN+x7c6IKkjLP+lvbwi+xlzbPws3k+LzhqCG5U4m+iLujZVcxb4moWqZbZixK
WiYGUXh7YXgjPimMKywiPjiS/HNPbBHlqijqVyICGBFAfjLYXAzcPEtTpO9pkbfxuMY6hoggiPsS
vCAtI5INAVvy0MZTU277SjDtoFpZVgMVYax/4z5+f03yh2ubZEX5U55ZbygQlsdoWePHC9swWXyO
IsPp9kA4Mx6jAQiZFWzS3jX0JcXA7+d3kJppYMNNnosHelGVJsfk/Vr48/IuSxjjDquqyCnPd0Dn
2NuuaBEk7k8tBmC2a9mmQKLi95U1NM0sRkbSZZaznkxQWryXuBPkjqgYTiFsXtada5lyLSGc9+X+
2hYdBHwNSBudEnc+fNj+gtYnjXdZ5ST2I7qZyt5Xbl2f/1x1Wb/3RbTrCnbTOEpRe2hTs6GnKPul
L8KGiwqrbcddEvXaPsSmx/a8APgznHO7nKhTRSAVTuz3bb0noMK9zbPyg70xRBZRT1Qg/q5IeG7X
jRpD/WjYefelmfyWvHAysvyDIq+v3RtBzlutn8lFfMbSQ4lbegSb38Gan9y/SFytRfv431Jy+VZa
SOZB1AWMiOgM/P6tRB3VLfKWYXetNPB0u8OGKPtYEDOVxtUrDzivxGiKxvCxj9NYUxaUpv8tTimm
xlWfpAbrmaVMT0FWj9BAzgrf6k2rB56J8L2vr3VDpchrHce/7t2+up0iekzM10PK9bAUuffYD4lZ
Hcx5nuGdGJ0ZfC6bpmjueXf1w96xDW7iP1/RD80ZvrtpWsJyJZ0uU9rmR1V4O7uFafYGmA47p1BM
EuHpE2xHMTDgb5H+QjzD3+trl12DqRNa6UPTW5lLqpS23b9seP51JZTr2mCiGIAKB1nOB3mt7sAy
BmWNfAyTVvEiySeUKKls9h4QCjmOMKW6PJJxbBBKEIFD/otS0/y9N+Ty+aYAwkFTinPB0P/DvYC/
MsQ964/HLjcs59tgOH75CmWJ+5xqLKQEUYVxzLpCFdspnIULrAjuFNX04Bz7ENrGqvEmEvpodWZ7
0Vn9hoJQDjcF0Fz7bJAI9bdd4vLQ/ff2XQ7Zcah+yIUG5iQRd/1++2pgXEQPJgH98IlOq5d3FOSx
8sCluToUrJ8CtmSVtpxX/M7hQ8SwsPnLiWOE/a/D0JamsuYITJwxH89coheS2miKoxNPzP9MhSxj
A2igbY7FxEb2sYb3qgDW5WIyV2blkgw82prNZUmH2z40Mm2s+3hmk0B3+30TW0a9Nzz7rbssGpHg
TyNCxgKqnB0+vwRAHfdEkedVdHZyN4Qk/P6zSA5pNI4eLoS3XHSq2jFt1x6zTl6Yp2v9hSqFOxqm
Dp+QJ4ESxw6sCaADb5LL1q8tHyT8cuuJ86+NfRxaSfGdxX144CR01oM/kUKxvR5nUCII2QVuG4zP
Jn11f9fIbAyeGINQhkmoH59HW3UjW6yqLG4yK7K752lExLm9foWgYfbwjCk2j38KuPYxKTmK3IKT
hEg70KeBocvLIGich9oejfQbuVBRt6hHmvBsNDHZle+PaeDQfHwsFYpKKg1lQ1Blsrsvo7qxp3We
ZeQUiIR8jXNDa8tYOyk5DxgraWMSraKcZVf3vnRbAKSt+7IzOY9x78/13kNNYlLt+6N44LayaqbC
cWfd1woy/nMQRECSV0MN2vx8XfbM0fCcL0G4LOSGV/VYG23um1uvVxAhCqqIibIgQsFMMJYT8f85
XsclmZqBu8HIsW1DGM8S9SUbalC+cmkm3Mc6ALYM6JDf7eUVCwP2Ww6S7D0DmEnv8TMu0Zo1gHXi
cHcMXkS69rHj+rt8mHiMa4Nuzv31/7VcRMCPkgiqhGanxf1nCYfLR1AcN8r1Ukpl2vYBChq3GiRU
bhcKIb/+4gGQErvMbGn9b0l5BmGagOoqD8X7WQPkzcGZblTGPweM5AbcPRIut2ajsvhnG5Qi5t7k
22862+MnK6KYi2Y9M4NMy72gm/UoCGiIttqmzjmHARRZWqVW7O1nL7P1PqL/mdw0kZt3J9dVXfNk
ZlpMn9wR2/HrQC4OKKg8paeZVTbUShH78slPmxHZNVqMY95UAAjjwFGAw98PORgZOe0IEjf0Qfrc
f0DVchNtU12TcnmWsa7lC8hKMsS3XLAuPIdeI7tj0vaex9izBEbzU1WR73zJzdEajgmgiPwcCoXE
hbRxzfZlzmOee6BNvb4PwshnX5hTcG1MXXr4b3IntZY7YKwPfqW7as8Y24ijVZQDPjag6LDXGMeI
QIyOsfgTGSCcXmJ4uAPIvxt0zYYX7eSbk9L/PMCJXC4mt5rPFBB2tVqFwuGKzxwT6RCOV4H9JjiI
rJotvDJCwvEDeO1nti88CtJ24/Zvcv33N+rvyzX4PscyFSMmDybmxzeM55CJNdjyOKMQfnNJqqrp
jOoWGmir1zT/aSOi8uNP/NgV4ci6H7/EMic8A5xL3+3Y5sGHQOERLYN0Gv9FwO31nOMGGjcjAAZv
tczFwZtKnpvH3Gj95BG9eFKt57IZ031Fdlx/T6xQWm2Yts4ddFLT+w5FsdV7WbdNSHwHYG/CNUZ8
9KtiQDK3SivoYRvApPa0EZA1/LWRpLT4gbqMSO6RNDbiLgyRwG6hNLvJY5ovEjq0xmV+LOlSTbeE
OYzqVE7+WEIIcKxVQEJmtWYv1JtrRtDqLgXKq/4ygHJ+ryp4QSLNczjRdAsF47yP0zwyRyERoKo6
Xk8uT2BlrXArfKcv2iPHRTPyViUpkPzE0O4zZL7g0ZeIbVYx+0hzTYJY3aAOKI09UqnBXBc9qtJN
sfxDG4WF/VD0s0b4l3segl0YTUAAiF5ZkVNSwCUeQxmsyYSU0amxGRlGS3QEoAESNIbiHIR9ODzG
6EsfVaEhaWg6FfWGO7R9CvreZQLjdGgANClHZ+b73aX3K49YjkZER6ufnN1Yi5yNcW7hoTLYIxIi
QWpcBlwf9xMsizr7pPKQ6QN1/Vyv6qkjUHoMneoMpoaMWIgn/prakG4aHuaoXvvz6Hcb2t12cUL/
07+5qdcddU0e1J/Lz39VW57pWFweoZhn2vqjVysLlraq6p1jMRrjayTmZKAtYDLzKX2IiHuTlwAq
Y9qXDUK8/1XrPVyft1+nkupja93jgnsIuxGDK+F4H/Vv8OJllo0Z/DTexsQZewPzIC8MeFt59RJp
END1dA8ddmOCATwX1hA48PJbWSqWhmtDFaMAXQ7ZgtBYdGJ29WJTeGAAEDlUV6dj0zAWPr8xGxz8
vkEZIMHqopqQgiKKAgI9yFenpeNNYrzxws6cPiOlrYd1goyLjkOZxKp/slwj+uTTuSGK+b3BiZqK
3xwjOKUzZVYLmDv1g+w2EW3C1jWC0zNehqamUwqsnq+Cj2bpjo0oWy5NokGCKvpgP8IG5cMa+JjA
ulKY85PVTd5rpTqz3QC6Gk4T8sU7k2jK4qdJo3mJOp/H72yJ54CMlZnzANcLZReRcxa0PyqEmqAQ
v77FDDaxqsF2BXI8ON701WVK8uXPl9D8V8lJjc7U1dGC/GPqzo8lZysrUqHqknkUAIzmlU4HGyRl
DBzYdSuX1A1/b5N6zr9TtpE+YnaU41h7GiQNS2aI2mubUe3RYVL7k8BwPCqkf/gzCOuhmB4iQFEu
EaVlyaCstNLmcxpn8P6h8cl4Z0dJ4d16QuV6G5eLANuA9tWvaBcwCr2KFwojdjDBDHyPFbtJ27/3
ylEGT6CPCWqFuMuk2dMJ+X0Uqk1x6MeCDK/QlbTVrtpCVIc0BFnG6/JtrmSGg5c0wIOQPk+9nxak
vNtwfnq6tcTY3onUFuo45jF5qwAfJ26w61Ah6iszYgY7zcOna2efGAQ5HD3kH/f46/A2AdMjHK0g
KqCGb7n045G1u+E686PsB7dX562cd+VSPqNeL1aOgYwaJJesVobFQkisSt2pLa0i2r7Elc/fuJto
AtnVXCFjdBVIqd6K6TLreUSaFtHvToj6lFyloBn4+1Whde1BQ0urfsZyQGSh+lEdgZQntGTKJrzo
2u7yffo+XKDVSeHKgQUAGJGBDSMZbdVyZZEl+YgGRTOsjX5EkU96I/PweMmPtgjw63VQkZLChLvZ
kfOhjsZcW/HeDR24dLYZTOGtP1V09f9y48rf+yiLvgRJjmD9sV3met7HXTer4QiyPR1OXTUVt4PH
vf1QzhVOk4lsBzIyrT51eT2GU94dQN+33RcTZJ60dh6CNesJcnxpHa5iSfS7NINWWey9eo4x9C+2
FdrqWYrWHneUEeK+gyoZrclpmZuD9OggIc7EZHqZAzMt7q9TGRQmdXc7auUxBMOzh8C1AzjNcnId
89hD5ZMNW/upd9PRcvvS6hFVXGNYybSjfIrFOpgg+Xwv0lxBZ3KNJe3EXZoamfYqrrqU6BuAKO6o
uYMcK1EZdfxy4HcrIC359KMtBdyxAbCVAW28BA+9pn9qyOO1mcwsgf6jXlzJu+sOoxklDwZ+CyYS
DbnvPw12czHBxHpCgIgukUHaIOglK4ewGS6oU0dsOSNydQUFarYBrKmnfYgsi+8J+jkH7pvPRKsb
thPl2yQgQAE9fSnEMRhjIqk9y0hOGCYmY3cdyA28vbybiBhMYDNXfZ0R0tHeE5fl82jkzrIiE5rd
9ifZsEN+YbwxgHlGoMJwyVQg+Vw0khB7BNTPG1JGIfPClUntrSVBgK3dgCd4bRSgdLZ9Y1b2beTU
GRvoidhmFIBGeuhjALn0Z8sZxLeG+4wGmibVsXJwjcXoUNNdQjBOeHRJ2yk21+Y3boZ83szICS+w
zbN2H81KFiDwScxawdKeLlNV58Al5zZnEZ+akNUqJpYSl0vryb1wJ9oM2N3IPnRNP7IPqYji52kA
MQVyfKBHPTjdjMyzHkACkpg25GciEfL0azQ7XfQUl04GUyhjjH3Pvqq///ND9qGrtzxjwM9oJi3v
Bbk8bb+3RSiwCGZejP0+vUT3lBZNdXFEoD8Z71JlowSHRyxnmxqvrQtBHkgsMTpckxJZqIKuJYG8
IeLDYmaYHX6aGXUs829uTjbSTbnJsR1lD2Kcigd2IG5/vPZsS4vg0rVb+s7Gj3N1sekh7UgwK7J9
wcct+Hcmh7VLAtrTn7+y/NCCQWKF+kZrhna2rfW/OkENdFV2VgaovPehc1yA5z8FfKHu3oaGRBqH
4eCgZGWnY04zIeJ6e0P6dU6TLNlaDOLcNSkNHfkK78pP1MJxegdX3SkvJWj5p0TVvE6QElLT6ATU
MkFwXkMaDTu28k12NFVO10U569FHnSVQRITmcz6O6MQd8S2TDHtvrpJxhd9yvp+xxVS7OvIj66lN
la9uMskJ/Nvd8KFJxqmR9MioMx2K3OWG+P1uqEanbY0k1DeVNIxsz+Bb7uepcYmPCgb8PQcz6hPz
/jpyh2hoaqi4YY9ruZ7A/zWgkNHExyAmNzbj2ZaH2oUP+Wp09BRuteG5JzHKPAOLHWMjpmVog7Se
eoAe9/RYZnNT42HCHdHTOcTcY+byhlZmH9xOurJOwhQtSZVBNhicTKD7+i/9ucW98kuXkEavolrC
6CHgQbLHfW8E/9K6b3XZJCiMnX0xadpwEzOYpcuEYodCTfCOYbJWla+zVQBj5JHK2vO1FQRLXRgn
wCFmMfyl3fvvg6JlSAnOBWGigJf2w144znjPaLOO9lftO9EVFHBx5rKsA0OjL+465ECiTM/a4LuP
1ICZ6wyw4ye+mwbLM+YJltc/P0Xm7zsDzpTGuKNNdEnsz5GBLpuWX8+UQbyPaSbRvk68sP3ekSVS
/6iYYSKFzrw02DNSHee1ZDsgHnzZ6/jg27PMbzMyOO09OLqcospeqv/6/bb5y/H9rqdcjs9ylKu4
iZnAsJv9cCubvSmGeAySvcg8u/nUaoox3A8FbH5UYk7poThQVvOJ/aID5jcgAkdfKuWJ6UY7owbR
+/86II7Eo9Pv4EiyqGQYC304YT4vwa7P5omoq4quC5MTS+7zxq+jx46piwmRHHn8WauwZ9BL9dXc
9CqNoBKw+4z+cjQfHvTlYKRla1dJU2Ft+sjkUr5Diofyxl00wEfdIo7orWYjWYB3ViPNO6B2yOBo
HMvpEDGyyR+RwHcMdv98UqwPa7FyUCeR/qS1aUmeOdf6/S7qSndWWVA5uyHLSTjwCdvD/wzgyCIw
mWChiZVjrzryQ+4xoA41qIWwyBuk5NgF55v2XXnhi4ZCGjnqskt839fosWTLSWYcmzu/meVdp8qp
OwM4h/GPB7/LnzJtSUjPhM84051HMH35hp8gL/+ypJr/qmLppXieqdi4L+1zhiYfvmLvB0bQpuEp
jvBhngVjx4YJdofyYmKbgi59DJhuYjaGFW0r3VZ37BEQOvDwpuN6sit5X6ZsZtYFMYyUKoBPWiJe
oEGsZzPznYPllY65YX8wFGCw53t76VyeYtpG8d7JasxAhIyL4jNWMO+udwoELwPTBdIOeFP6qL88
gmeC2qw/O32uCITGrhom+xS44/PU0AM8WbnXlbcgKZ/BzBMqyZiuAq3PJfjM8JJeD04NPdy2Kpxu
oC/TlfPmkG4V7eym3daEBfQHmJnjsMIuFT8RlON5BAhXtbuxHMHXIVa+DJAAcIBxW+OOZU/QdlBm
PQ4Qw4WVI2fEgLGubLThpGzRaQuIvNoF0tfsq3AFKOcFG93s3/UA+GmVxtw8R/jrPXJFV7i0FDpA
xrugoPPjJxHxGENAzXJTV2PXQV0WFDcWgUb6WETekqpYFPGG3PMYE2ob0ubqjKqFQGuJRU819ARq
YCZC4ZpWPd5TwAnhd9fK4jsya6b0ofbS2draIvVm5pwpyq3ITy8m7FquvgSIszLnzGUVQiz241ox
5EQVDweDf503QjDHv1xbJ9c9JooMN9oSAI5rCrmnJgNajmlwvgrJ8krN1a2SBLReB+GBYtyFcjx1
qjdWgw4PljWzR/e98qe0ksDYgi3omyMR1HArbKIk7hudNXRBOjXsCvgQOGyNHCAs2vrhwQAN36+j
Ht7+CmB3P+z8Nu+Ggz/RuToXuNc3kp56hti0mp7b3AjoC9Ipmf72hv73uk6JohEzShsZJwXc749T
lNiGBZY62RfLsnbH4hIOx3ZgLHVfwQslIUUgjv92NWVU/AgqgQI45xEM6LJR+/MC9n+8BqnFiEnA
pir18rb5/XAAmJAWVJjxPnrvRUyIRctdOeT0wTxc92uBO6whG5GRkMZQztu0elNXMZpvclRdILmd
rk2Q2bUxRP75AD+KEWjkKhebrcnLmqrmXyWdM8uSOri3Tu77bqMk/UvTdAjVmr1VW24rDF7O4VpN
8FTTBwuRIrzL0SJ07K4TPToTWU4HuxoZemdM150jM3zt70q2Up/8LBzpkzqyrQ8Dyq3kEltVmTyl
qVt8zQM/Cv7iTJC/3wE0qhVjASwJGE6UQ7n2wXZSe3rKGEur/5y7WTD2/2wTCLvLGHR0mJcCJz9H
oV8Q4cf4wD2FlR6Hc0+oPeR2Ji/L6z6FcYJC8lOJfB8zOQSbxNjpgH3tvV21BglqXl+if3wvrYRR
ps+drkT+NZmycW2FM1XqgNqyuEHfj6dTWCbYbvbuNA6/o0GU5T+BK8gIvz6Nf76oHypCilSpHbah
7H+XtwuahN/vOmFMtLiMHpZC7TLE4yWGIzWTA+PBUBWMjhw5Gs6XMYy5ocJeBcVzwIDIfNMp29if
Vz3y/+uYloLLZs9Al9r2UBv/q0plW4cUQOTpPunavFqz2DB0DptB3OdxRPZDQaO4OYG84C19tXEx
47QeMsfr/UezsGlb/PmIPjhYliNCDE7ZzBAJvQT3/u9nSftdiJg3rPZTDfd968UuEklkgzM0ANGF
K4gcvIrTNgpuU8yEFP3v+zkCQvp0bxeAOAKcIVm6A/IzkRTO3ghB5HuzNEvY+LZNHC0RJUDi6SS2
aMmmWBBqWppVtA7I3CQy2x4VYVZJq41VIrg/903rhySapHW+/cvX/f25WDQFWnL+HVM6kpLqYy3F
MGs2HXQ1oFAXi2xiiKWnLlBWnm1rxL4si7mKTtPosS8jOLFDGO+DdDiWbT0w+nwXBs4WUv47JGMM
vHOzdm7Kyqc6UTOp0QAggsCjCcOmvPiJ6TCpt1ZCTHb6l1V1Mff/sg1bNmEOa6lSXDu6O9zhv185
iBscammzW0RYP17yZBHbzigqcJq/dzN9FzfSdiCEFZkbzLZF6jd69teC5Ibsrcudt6vY8jpY/x/G
zmvJTmXLol9EBN68bm/KO1XVCyGLSzwJJF/fg42i+6gUoeqXG7f7niOxMZkr15pzTBXSVF3LcHaH
xKG6SmkMhMSxgWvekMudXSVJmz0S90lriMoHQjuKSKTMElXtbUydY2x9YoH9tRFUqGhbbGHrRaDW
ei3S0vxi5q0NRz/SqazUTRV6zrvhQI68En1kxCcKBSg1Ng6zYPPvx/73raKVETg0SDmM6Rxg/7xV
OT8qhAugnRhG8clrrHrtlv0YrhEBbelN43aIR1SVSg6yw0Xs8e8L+PCZzQ8LY4HO3kJfktPWx+Op
2VQKW3crznVk5uNR0ch8bSOf2GCLeBp1S2QLH4vho4Dcd0bI8kmRnPUHK+1p8UgPrMnvPqQgEzim
SemN5eG3tE/YRngu68o0Np3RUMVolycficmQ16ZCDbDqGplFB3rZtok22RleMNsYYi8umtuljffJ
L/7rnjPxsAKWdIZxvCofdyBriO12BFlzWn5Ca/MiflOe8mOSItsRGUiahjHqorRJ7pdzyeJJsC4Y
gwWZUF2MD/rIZBiqUNndpTqhUQ+oZNvoXHYKlFjE6QiC+FjmkohDV8kd59e2eoPXUnvPZZ5OPd35
zCqZgw5adIVd1xPbwRsovpjZjuX+3z98bjT8dygf2JAReNGYJEHZ8IIPtRdSPNpGvAwntFtBD7yc
Wer1ZOaoPVhhqGz+/df9dToM4JXp8+BxFm5ha/rQnEwLy1Z26YiZJcMyIGL4ideLydclIzebMRVG
gjC8ImB4X4QVuyCuFEP+XHyj5RTgKrVdp/g+kORn7MfLuK/obT7arDNwp8M1nHkXS6tcNzOWTBu1
g7/lS9fDs0xKKqI8jtmdTEBpn5Vnf71JbJo0JxhyQAXyqZr+/HpjvbdZafweEwkJxJvSJGAm7tkv
94lO1OdrVMSNcfByaSFFsW36Bv++xR/qVz5eZoL0qehLBKAmvI+3mHWY91jZI9+YjazFi0MEQs4Y
zoIzzeY/25Rgji1aaE2sR5rdiKRjJ7itIAlm975HtXZC5EnhQZQC//2Ty/vYp+DyEDjSYGBd0enI
fdjCw7DBc2MZ2olgYx5EH+JOOvtZw5Kh48EqCZOtIlJ7w3TY4G7gkJw7enqzeBzxZyGIDic7P+Uc
A8cr4vtYypVKJuPg60U63TTI8PWTymbP8PKs//0D/ipWA2/uJBq+Qa8NO8XHxXFUow9/T8ZnK3KE
2LSmFukMiGcASC50Y9g1ELWtm2pAyH2k5lUdc0p7iGk3Atj/sRgHIpH15HQ7IjzlWdk4d78XwcsR
T0M2pj0ucj1GYGKiJO8wUyaa3zV7VHLcNzZpGspaaTnn1kpI4CYuIElvAclo3m753ROMC/fUtaP3
yVc8v8J/LBr0k/3A4klSF3p0Df98xc08Qb3jU0mkmLtRmheVKLaGObdBVoteTPZabt8jDzTaTxas
v14f9Au2hX7IAwX0dwUo8crWUwPHKS1Le/jVJY3obtmVdfZCixe7XbfZyEeVRAlA7Vjwny325Slx
PgFVX/RK/3cXLrUormhE4VDdXdpd80Lwn3ZpatL7H6CI7IHU5USgXma/uZkiiY/LciyP5BTl42+r
l6v7LHfLeLdHnYXRoJYlTB+GuskmDzhYb5FBjkRQm3MI/FjTLa88Rc8ryMsgOxa5W0Q7DVkS8s/L
1xIBhkMASfcin9Ag8Gn/KJn49J99sH820PFiejQ4Ly1OzgEGT/3P30nON0kigT5Bjoxt6DGu4MtK
aoKWj9ie6uT995zeVT71AWIk76GzS23a6Rxhoo2H7+rrvz9B968eI5oF0E20UO156/oobGpqdAlx
m3p7NaR8dkvHUy87L7oLtcrNnkuRpxm4woGU521fWbFDCY2JJkwEIYCdLawDPaIewW3JNCNcLfLZ
/rLeOX3toyW9aHNpe8+m/DqSyFQXJfZYjBHUjEU7F404YA7TxPB21ZNnQ5ds1tCQj3xxj3oXnS4J
b5zobDXr3Ze/aKlhO5nwojYAaMH3XPyki5vQjZgXn7qcpfg0IEWfA61VF6xBG+khqdGzdLPpR4Wq
b8BIPD47l39h0Rn2rSQ+0wmJg74CAiLTh9JMfRqTaQxqsqhIcryeRMKWoDPCjDdaaHARztijDV2+
3Vjj/P+swMNRjzsxwRrnRpI3dFVhYQ53roUreSfIoP9sa7g8tv/7onjTfFS9l/KL4nPeZ/580/A+
ggdAJbSvlOiLp7Iaid6xM2L3XlxdsY9rF1HCsoIuHiu3JiXPQDGIrmLb1QP/0CTAHt0TNdnEZ1B7
gVgPlxohbzC27UbQmP0m60f0ZQx1s+YpnvmC5yakeffJcdUwueD//iC4D1TyOndQd2bDwYcfJCvT
RYYV1vChZx3ubPHIrzqyYfGxKXckLlGrw27X5mmXrMrRquhAFGMX75DRFd2+9Emi3kyNzSvw7y/o
g9yfxcu3dXs2fVCOsR9+PI7ZCWV2NzXpoQutMX0YNMzoNHtJ7cJ8iEj1jNwrIGq9bq3unTc0GTAs
qUrcKKxl4mlsTJV+rRuZ+9sUQapHSXuRtMdNXb5oEQvZXs46y88Wo4/1KjMgsIXsOnMXwAX79Ocr
QnvTq7ShKE6Bq+AWExAmTgCu0qeWnVc8ezb0Insoh3g7BUWSHEAhEaHNHsD0x6zSpHhYXvIKsIj5
wGo33KJCdj4rwv7apRjv6NSBOiMQm7nohzJ3QEhD11BBqEboM91k8HfT4xA0M9ShNn4EkQaZNZpb
DgdZMc0/IJRg0fnkIc+l1B+vn23jiwD6MTtc2KQ+XAU+cAphaFxQDSzqP6C0bR/cCVQZ94QE4bod
0mjwkOeVX2MTMeQa0LCJbgAeifNt6CtOXSjy4Kvtoa4Bhvv35Zl/Xx7AuFmYil7c4gv5UAkOnSGG
zPeDk5Un1jb3yWM6+4NJnp+ntW2zUxcJYWd6U7tCbj3cNJDDvJVw3Q4PShM6wVVkR4F5lSd1NR7h
qoTxsS08Q49WiYRWv7UbZnTXQVHhRiOtrp21UTi7p6vJtAZ7R3SV8J5UFsrPgnH+OgQ4yC8ovhni
6jyEjyJLy83RhHi4X8SFOrDMB0cwLxihJ+lrt/TvWHYFAgFnW6pBk59UJ9bHXZsK23QxUDMVBKoI
0efPD8WKdJRHWtieFlhXUHtUoxFYPVrWKZzSdQ39JdwAUWjViVxou1pzFqncs9NzMNgiChgFNSUi
RmJ94UZvrDE3LEZBs3BzWTJLMvnmsVXfJbtFe2nIftbSEgy1l7VUCNwadANFPhklQHJbAyoiTV/s
lqJ/sZWTBYl3+dKgXhSM/37L7D97aLz0tAbwB3EYQwaB5etDsZpWRgGKhqO0NsGPvinAGkdXNfn2
2Y47AG43zB2/f3dsjhP3fYqIScAOTVLtR13UwN6F1jM/i90mc+41jGpQkS7Cq+DiXyMsDb043eM0
UWtzHAN1KHR9DqQpqODdsnTewg4fsm46WrxyaUcxAu1tE9qysOme5P0cR4TYOgDp5GkeVHq+iHTX
2qV61VnEqfkwnpqboZF3vdF6TEYcTS82Gjzy7JpzLWoahzjfeLPs5/++e3/vYKiJdM7/AINQElH0
//kaVT5Wbhf0/NmtyR67thMh8yuspk12NGDgwmqTwUNLc9+AvluHT3UHFXRdoAQrr/rcLg6wnDmR
rj65rI/bAA+Vo0fAsJuO4sxR+vOyMuUw7ba88GxpHkaIlnKiJJ4dJwEp9Xli8NhS2X2DZSei+4KS
EDRcWllPlhypeezIk5R+Xph53TVPJrd3jBk58Pq107GV/fti/1Zcc6m6gUtu5nXANP7wKfbJ2GeN
yuqrIRxl+kI2ee8BJOsL+mmsv5l7xWbLZS3ipaWtNM1fBcsxZzz3gjRcToMLMSIDZ5D+liotWl5j
cc1ekE2aZaRqDwDca5Dtx5m4gZPZNOt+GMPwIOMEUrIVRPW0RiMdwvq12Zf2kYPGb12SW7oICOO6
lP3R4eqqqxaPeLzTZwzYvLn26ueg19mwmhvYPwsOSXIzmT7ucj1swivLbaE70FxgtYU/3w3Hsoy0
bk0LN+mOKptctSc5QE9WSL4rtI66PQyrtBggVJiaF2dU6Xkrdq6GqWttEdTNOZOkp3Wf8hGu7CjW
9GuT2aWZr0y9biUId5OcpgUyAuWNe5OkDv2Efz9HOCtzdfHfDZWZA1wa9nQkiAYT5vm1/M+Rr+1G
1UmpRUfuri/Ix86NsjeAgOgii9b2TL56cGmIuqecyoI3aan7htSjZA4uVlJeQx714vkbTItKm0Ik
HEgWlJjKtIih7K9qajgA5Az6v2WI19EZBpX/aFtGXaPHrK23DGaPz98397ayyeqzI2u9hNN6KWWy
UDfCxzEFMX2z0MbKS58p6O3qPaGocrcUJ5ncLNcSuwF6EVCi2IeWjWpyiEU+1LBgnVcUJfZNq0+R
x5FovqwEkU3/kJldXm2I37CTrR/DedxMTkCLYxight8vLWsWK5YoG19f/xBezkDApzlmeJ4DYtgL
XUv7hexfOVsyNlXyCG0D1OhyOVnmqvDZJXqPs0aWM3gKA1DfzRw6ydUuZy0lY25AqFnY9DLbGw9T
ZNfBANaIUPUXvJ5j9uBpI1xDveiQf20dF8Lur6Wxufh+vdr0hm0z8YN3rQ6g/lWXvl38yuJZmr08
sqUAbxx4Amh5Ghd9cjZ2wSlIqeJOfa+Fw1Nej+FzXdVc2yI9LyBIMmmokZtuifUccW0WJCp6L5w2
/Ola9Hoi3vUuhzzT2BOJASpKflYRScZ3ZM+79s7RtVfkEUFwXM6dtV3xsugXlNzsUO/ODmHf8Igu
PczlOIrCnYOoE1ccNtrE1rVrRJchTBjg+lzNsoYMGi4+5MYdLawYKfQPzBN9vg+sobcObgHKlUxX
9M2gzL0azoAFC+AYlHVbf+tMdE4PAGjZ5nIr9kAooq/jpy1uzryIVX6Ysk7vXxYbYM+HoXZDORYt
+MyLhTHl/OzsvET6yWPUdD7qKR0i4nVt1yUNSVEx4Xw104ET6uLtJMu2VxCG0f0eRdjN/Nah59pc
84tAs3c0irTaupNpPgrfhu4vJ3s1gjHHvmR7O8JMNqLrbLQS4U02wIxr8sD6GZlaDHreirdDpc1C
B9jwE5X4tsi0+EyKSnWF5WNad2bEo8lsiMAVtNtOOB0IvC4b76h4fOY/ThsdIYZEZIo14Y2TeD8n
/EO73G86PCrjQ9YP9rcy1TCB1a3/OEWjRNETjKfaccNzHJFhqZEKAzdDJ7U+bZjpTfl0Q4803tWt
J++rlvARXVeKAkErS7mGsOBdc1BrNpJMdmuo5HbkDzuJIuk3XSB1OJyTNFZBJOL3Ns2nE9Ha4E3I
itgWym6ujXiKXXrolf1q9on+DfDFsM4ZEKx16iIMF1p8XQ21fWjrzjora7QJmuBTRqo9FC/SVuro
1PUTFpAGKBYorQ3goPQMk0GdSygdlHctwVzAr/eqCPMNYCx7S5y6uWuwXZqrRJfvA82Pdasr/z4k
QOPVRlt0ZERjRCsOwXIdKshL0pKEgRjMm9pGI1IZKU24n6PWMnLWt/Ek4i2oi2GDoynQdzSQ9YPe
GBhjAyWsDc1bc4M/zP7OIuwYqwbY2UkzU7njHNvea50ZHwOLc6ouRp1kAvNLnZfRrR9XmA0s5Hks
t1elltzlk6zO9CPGbZgqsEReYk+Pqp+Kna6YiG/i0sXlid9WbhsOEgnW3mcdg9QaEBMx4YYWfZuG
TKy1wUBxUI4/9VCMgPXoUaZ+8RU/s642BDB1/iMA+hgpfuh8yTwSbx0jtmYrKqsN97m1N9WYTyvi
o+8mrCSrCDIQp5rC3ARR6qO4Gq1pL1XZuVsIRWmzUWNes+xQ964bjkJPRm4C8zOzKdiVUWVh9Z98
uulJsI4dOpWyE2CUE9Y3clGADVpI7fopbg5wErx3R2shMxl5QEK99rOx9OjUpo67Dr1aXRcaqe6m
ZmvvZWanz4hzoAr3dXdVMpL9kmrSq1ZKmMXZDs0InJj8mneYeCKr9PcFtKgNdEK/XnWdRCnssfKC
DpD5qjITTa6nMtQ3nt949yUHnmETo+56SOUYrdG5ceeFGWxx6xgR7a2g+GkQwfFjSOz7NDPCH3nq
ESZYYS3Bnjy+ckApNHQyQ7AtDWeovkg9M7+EU8B4iFEqQaZwlZ48ow+ugBegTO60hxAswjbkQL8h
qltiD/FuNc8sGGhCR8npl2g6ZrKKoRIGN2cXQdQmXNktj77QshvMkvUescD0CgDfwe0Z6Num96Zn
zI3iTIotATC621Aojza6Ok1cVW4Iw5x4k4PnTkNIftTc1kZGTkBEIQT/o9d19a888qLbLrDdjWHU
zSmP3Bc7qa07i4pElPCZbNoeW2QJw9qX2bQWXqiIflaPkC3CN4agIw8b94bKjPaxhJF4F+K7gp2t
ortY6Xd2nTVrKWRzTIcK4BGRfuDCscW2WgSEopjIdhFm1u57v0w2leofqbbje6tzf/q9GlmP+uDo
hI46WAgUDqHMknjFLuats1SM75lX7CiF26shSey1WY7GV5fcN3PVyaFfQyYQazwm0RNR06z2Ttkk
q27IzRcyhIybqNb75yJIm+eAnfohtyKBqRC15A3SGGpE0ru+N6Io9iD8GX7xGQBL9DIaRgHEFheJ
n++U1tpJevVlzJxhxSvpinWlHP/JjN1oF4ZhtJ5YTqiyovQ9iLrpy1TRgZ81q2IboAzgjcL2+kpu
Jx0vO2cp7GJvVU4amVhoZHZ+UQ2P0vWvfbz+Rwvb+R0Epe7WGdCWdROtXF5u69YB17Aa+7jaw91V
FMWN15Ot7AQvWQL8MWha80WmDfU3Ne13SQTpsS/L8odspY8rqCnB85ljs2u8olhXukxuYBPZa1dT
/o7apFtzgK1XVhL3ZNUPoltHdv41b/T8Kq1B1a38MNCuNNXYq6ynEy5oRu7NeIDhMWcYjWPV30iM
glBP4+C6iOLoi901ASg87oj0Uv0tQ2G1roN42vM1qPcs7bN+jWHd22b0GPQVXzJKmVx43wdh3tCY
Kd4KpVsQtAaj2bgNPc415aW9zqUEoGg7AVHoWZ8SF5YbX50ooq4LNXcrBhMnEpV+g1bYl62+Iv7I
GlaOp8181FjeZpboXmtVl/dC4C3dgihIIprJWbfLxsh/BErnb8tKHoqwtPckk9dfdBgmTmT1W6Fy
bz34I11QowrWheEgeCpY2Nkmq3t2x/Zgd4HaYJ8vrzJq0RW5STAkjSzfsemIXWmJXZC78dqO4eSM
zsRcoDPw4nMc2nOfbjSYf08GYtluFTI8utGqBEEOh0GmOnrtrdI6H/e57N6cVsq9xJ55NA3gHUUQ
Wyc3h56bxdXbyBKz1wc1bRLHBXrsdk57MvLxHYW7e01NcaMG1gUVDdoObeKxig1ghLVH6Uz5uUbr
2x66fsi/cpJBqqrSm5DibD4KloDTdZK+CdveDbTHN5QA3sZyo/atLkNxA1FXX9N0Etdl32o3vJcN
lU83ylXnMnYdsS+zx5nJbOMa2l/YyIu976mJkIsonLtI2PmVRUR8lOpf3Fx7cc3sXZaSFigoO1gY
Q1M9S5GS0+b1fbyFOl98JU6mOFC7+vd2VrpPiIcTOKRZsytqEa0ib+REEJfDLXNIeuqjn3zHruvs
g9AAYpY4s09H0XDyjSI8sjEWN5zER5T6My2SaJyrMpY3UHJ15DQ5vS8ra28E7a6zL6L0Ieh6wuY8
KUzSF5vgsQ/aRh3Svk+udTsimIhTPYKR1kL47OKImaOPAIxTTLjOiYjBZu6yFXKCtzBSXo6GcWzs
3tgr6Juwn+3kwUjc+gZaZrVVdf2WQDLb1DWG9Q6e4bqqA/3OdJV+35Zus9LqJr9t4K+dwH/WfCIs
IxaUkWcWm+k6BcO6avvozcA5vxrxOGE7Ld9doI6rFtjdGiSv4I1WUJA5RrZ1mO/grMl15ADQ5OCF
ldLHWLnryKUXK+RP/TFJK2rP1J8eGbbm3w230d6KXOcH4Pc5I3ZNniyIWzlOUlgKqcEJocA+fZBE
GLyGlUr2Evn5ezDW2fXg1P3VlACjhCdS7Dy4LPtaFDleoQLD5hoOm76FV+fSffOjZj/kcHWrJLwG
bUjtx0n5ucbQd52PjPZ4HNqsG8oRvGcOdoIwddiHh1NvA97V6pL31EtuB0dV72OBpRMAT/5amLFD
sU3dkNVDdkcjBEquxbfiEUNF5y7DgtCbZ1fF1WmaOnawTlw7nKVeyJZoT7pmEYiGKeBbDZBjxUbs
3PRxShyIlrRfUVKJN82OzZDPodHQ3ukB0OFIrSaHC65HS8vmeEZAwkL3HhQCxxvsuyMaF80/uoPv
XzUSDXxpmTA78mY6m+SarapEeCvds5qzKUDvY4+EzJsa7lkFRbAh1vK7DrXxwS1sHWWrKcMNXFW1
CYYyAguKc+/ZwG97SnXN2ITN5Oz8yesxG1e4nenKb4Ype20SL2ZM3VbniEUMOnpVdJvO7HiGVh88
52YPZCQB36Xx+XUnA3/zFlUAzLdp1Ks7+tnpU2Z6EJgA1K+RLlQ+ptLY3o2pVLe4E/orPW7sPaia
Sr5NxIZtQrNmE/VSsc0JNdtUmHZPdlzW8UMmc4cEx77eRHn7Qoqbv3cTj/5nF/+o6qh7FmOefsV3
E2zayIaHmPvmmi5VcvSGXNuiHZHJSoUVw19P0q7yKtjfk3DVdqK9fIptX2G2zkTx5GRVwJzzgv1p
LZ29z0xcRjF5z1v7ELQebm3ZowW/LW1hB2dU1W6HFSEDARb10iyJ75unzzgLk3DfBFlQ3AyXIZiO
8yK/G7Kp1ncVJIsc1ayvDxuEq1G/jUM859thSq3gkMEeCzjyCCPZdHZCSpzkjCSeFjTO0tGd6Ntp
52Q2fq1IAkn9Hck88wvfxsrQnzRaf8+G2ZKW52qNVjxj+VP9akww3W6LUferl3xQ2lXb2xypawIX
mR4HJR2VhtHu+EzzhHaAlThlvdflFBwnQlyifWJ1sXuLeTawTmFGz+Xopan4YXKPtk3LpHyDaiXR
z5E1cs8WqlDEm2LuTTyYxc0yvk78DC5rVtUES8yaWTpH6ImZfHQpUvlTaRVkqQ1xEhWP3QjS51Zr
JVezTMwXTbMXjS4HjDgdtVvZdoLZOxiBAjpI2Vus5zUcnV10AV+xe3dvweQ34TlR+fwoL00Y4bc9
AErfqCtuciHG1wWfM17aR9OFrzYK/38bJKMTU8hpDePzq55d1T64ueI1kFherRPUgN69XdBJAWQq
81bUJl65NaEIMze8S13t7A6Nlz9Wk+41V75Rke0awgF0djp0u+LZAV0x0egH9bFpvQRpQcMZiJH/
5REtT71zPe7QqoJ7m+9IJaHTtMyS0IrQnEtSXX2d9YDpzQw/Hs8JdQ1zsrGV/JNm79Ir0hLV1j/z
mL5RRQU9tlfjPMw4WFHgkAyojTjXmGLwpy2MsZK0Iwe/vZwFDAs86JMO6tzp/rN/Cr7DZbSvW3Tv
gUv+2T9tjKrUJE3D3yhpTMmZcR0RZ9nvkeYDS21Bt1ZQhPHRXPU2/YZrtvT2e+LV9XTI0iT3ti1/
BYHLi8GckllnXhPQdmTgLJBD3BLhFuoHYFd+vB8IVGp3//4Rfw+UsB+iX8YeYqLP9d0Ps4fGHCzp
ZaFxGjQSQ45Tl1XlnvEarqAaKMWX0cd876x0No7uOKi84fhimtN1Uw2StamcGp/WeTZzuHHPy6u8
J5JsFVtFJnet0qITOGZ/2laO70OnoeB5XzgR/Dg66j3dlHhDExJtZmuzqqidA36T9ERM8q8Lsba4
eJAD/H2oIXTg1Lcu/YAnkzlxSW6Cqkr4/R2pMFtejZYTAU3td03EKvyRtaRNvqph6NrbNstLbf3v
u/dBnchEAM0BqT3MR23MBUAV/3wFoqZmMJGbBFxeGuGQiFr3PogiRmZLs3Shqy1vZGDkWYWd33Ae
iAmy3njcyZyXQc9znRCT9Zl284MsAiOKw7RrHtnOY3s0WR8a/LLWYoJkVU+tWEKf12XjP4zuWLVn
lhlzZEQjM7Is0f0fDfDbP7XRxoDQdPj3ABboghwYisJNJj1nYrDIYkCfVA5yB3BBlEAuLK3UPpkv
4U76+FkFvjU7I9DVc2sZOv95T1vU+/1YJFS4F9T0ZBhpcVWXIk2v5JiBeSayOKcUXuCiS0JVg2hi
eqFxOGcPWZTeYGEsJmjXozJ1+VLzfZHJFZkJ662b+ow9Cw+WTb2ClDSqG5lj2REgKi22Tvo0E5LE
6ZLe43ht5R7FEBn2zSKOXjzkS/NZy13icIIIh8feRlQG+TrBIp3YK6sXUf8TC7mRPJAAZ8m3srdl
f8r7vE63+oTxZNVfAEALgaFsBwt6fxgNBJ65FwKOw/CHwB5r0hQ/1qFc/w3FEVU+X61kzGDfGeQp
1N8bO9bltY4wBFZ4SEY2Z8qKF8qFQo2DE9dF175nvqdhHnLLBO8+flDmGE1j++/ZWM6uvAkP9X5h
zCxA9wXuXhWDO2fiFZLFRyYYKc9M8rA71AuZ3pmt3bHnQ2iOgtn04JOSB9/YL7XqCUl+RwjmBRdg
sktqR6LVYms9iRAkfUwJFm+wfTHsWXxMKuSkssnaVqUzj5k/WesZYO0X78cSCWAvPrlFobjY05ar
hr7Gcy8zLM4lZ8EZYYwv1zZvzAq5wHZhOS8PyyJTkxu9zL4BZLXVseUtF2sQ2uZ4QP2DmWq1kEAy
N63aNzKsRK5WyshxGjIPH/m9WUI6xj4daIADTbzEV4wpO91dwubm74yLJA2ryvxSLkwqhCD59MKB
MIBYgIxTS35aVYg9q5gUzoO1b5m0yIQ3iWJc6c4wMY0vmpQkJf53I+OFkkNLHsfMc1+86aRNcycz
Yn0xEFkpReRK6rRUbjvbi4NbKx4CvMSXlDq3oZo96WQgltuKNc3dEzyYgYRPHMn7hO+dY8qK/D4K
2BWE5vn/UhdPy+IRU02KqGyxfFaXhz9D4/iHfqvWGRja60YMrX+MohzCJLA5GCf0Q5y4K3ZdiYkp
W0HwC0DZt1rWxrCfZwyvKTLG1RO4H/5ijRohg9DhlvmbT8PVvF/ExPFyHzXce/xToqx5AHLWpGGw
qEbukAnoRz+N7D/O9SLutIXnw9/SpWK2AwieJYLSdf43FCpQv8eDa9rTusFnnZ7sWtJXi7WKVlnu
mlq9y0kb8PaGZDh4GKPO11ad5tXienn9F+KvG8DFIV6QfKjoh5lLe3rgg+nE3m075RFEnFTBtk00
1d4PWLzpBaXQIo+l0Ym2XWkQPstvZZQ36V4rm56Tu2nKGQaPCJqrVVk1cX+h+9nNY8DI+iGzoiS/
jjG+UrbP2QtLDkPWSuMl07XE+xbGNdrcIa8M8wEWokfTJ0KrIveYPkdtpYBtW+c64/tcK0ubLOh9
nuq3rhl00Zqbm0wHnEQ86K5Tpb/B9i2T40JBG0KspOc6zpS8l4TzrXCX6hw2e9+dtvmMAN15GFPM
3fIttIFTzKfijPXBcmnXSA9twQqcN11eVoN5kZ2FAe7FcrcoIAEwcPWQiGS9DhrM7DfL/98GZEqF
AYuKz5bSyYgeW1/2YJVSgk2rVVo5Zr4uYL1Od2SMko2Gm3skSQ4mbPWKVjM1nhaNy/Lnld7MUiPm
LfTfGkv1iCs1wt3umcEZ057OMSLKxRizmDFy0SMnnl+VbjwuBlTLR2p2TNO0y9dZKEzylydaTm9Y
Pwk+DDo5hc9BY0Yd4ogouq6RhG1cpDjEdxpBpjZLgGTlWnQsWkH7nP6H7WqwNee4tvmHTi+kyQTl
ocB/Ypx04CoDvZnG7K7IZmVtLEUDSYvMQ7LG2aj7LywRfnD8/c1eIg+W/77w3OOsBYTkd+aYP/Ns
6nCHnG5MtlE1BNppWWhFl02/Rtwm1UYrgdZuqSA0eW4bunib30qNjNnbueSk6q+W+k3o6EFWoBga
4Lj0ICjpfBxZfGcIC2bmfjrM/CbRm2hf/cjrWenKi6FgIQxNpTkHXEZUhJwv+rA/O1VrzZ/pJbOu
90puqJd6/NupPbEpolec3QiIAVGB6VMaeCxbjDRO6cVT6PoDXDjFzc/Plo4E99EvCAm9XhhTZEvy
RywfcVcOmn/dmF7nHlQ1sW8GgpXx1Fe1NTKsMsGJ1TRHKOS/cDRli15ywZiXTPwIqedkVzCyDyEX
l44v77pLLCOpMLa4dnMIPd3WuYjlcz9xuROOUNyJqqLo2qeVNtbValnefLp7fOq133ZsW2HCcr7c
HAJH+FBSjwxr6uw5+2ZQWdI99SFpZav0Ikz5pKr9KEgHboDjxoMST3ARPaYPZ4KupIVrpKUAPUrx
sc21kAXCzrM8ZhhhNKzvQOtMeUsPYZS/KENm8O1YxBRXoDF4+lSMfYkbx285pYHgg6p8OVj/+zq9
j9c52/oo8z1OFC4Ow4+6VL0pMyRVVnNaMi9HGoMkBpGLIfes+JV7Sg2nuS8jC8EfsWYSWKui+bQn
EBh/jUwJSFiKApIBsFVnnCGaDbDoPNp5WTClG42c0XirXfI94dXGw74jhl3tosnszEPZNC1AY72z
ij2SqXBnpa6e7ckKVeRYlZHun0p48AFfNCb4PU4uxIalq5fhsIpaCS9Jb4sMoLN02TvEmNK4yLBQ
PKd5FfJK18JOAwLVi37fVr4sHtKIyhkxjg2/IiFsYNyKPgt4q1QCOXzbEClVETTkoZGVLuyLl8Xz
P6MnSDBaYmuXslYBaSZJ6LKKVF04L6qL0GPMJXXBEttYGL5mb6SBXHpLPuzUbsjOrOu9qbdst4yM
eUdHb86OrBdUwOKUvBih6kt94VP5gRC4hM0IBt5ImWy4iWtEbVJ9IgL/KFJFm04ZiVTENGHO8ub+
eWzA/ZmbloiLk20UMxNpwVAbaRMk28S0knxtxaJQt11T07f5/5y3PqAMOG95nk0IAeJ438QV9tF2
2aSG3mjgx49MuCDQ4oIvOoBZk6Ixd9GyMI7ClojUsecCF31NQqKefYgntusfM0z0pb00TwQWbf+V
BWRAypoOBrG1Z0ZtMLrqIJn0fYYLoL1uBe/zemnTLetujQhE2Z8cc2dh/x+NDs9Hc2sRWW7T5viL
wVZQnbkWI7JjjaIsu0b4hrPfheftntqGPuRzeAF2//vr/osh4LD+cIYnqg17DL7NDw9UVrTp+jGl
s0cWRfJQ1XyMxJsbUftc9bpT7xap2eIgWVaZTLSsjGlb/Q9n57YcN4516VeZqHv28AAC5MRffZGZ
TOpgyZYtl+26YdgumQcQJAgSJMGnn5Vy/dUSbDk7ENHRES5JSCaIjcPG2t9Sw2s1UbP++etn+uEN
xwEeCsdqVH1Croqgfj7IZi+ZNbamDZSuDVRJ3ysQgZHzlgwGb+oOlk0drN2w9Xig/ISm2q+o2eHH
Hpa54ceSodr3WzrySdx8z4uVj4B8w4BzxdkKfJB9H3GQQDXkav97wgVn4qRwQnYEytMZcERMs7/+
WoEtQI0RjUhjoQFUIwC4Zx25J0xkkQedb/7ddYAyT376fsgYHo+R0yzleNUzXod/J2UapNuBxR2R
Gr5GYUTyuoGqz1yZCgVYuVmxj9whkY6p4cyT2jk3PCniG9sd6MogXrQHhYIqxIdPU5+LfhMim3CE
hCVeAjPZTx4QQBW0kth5H4DB7VmOFOzcZp6Y/fGugC9euZMzCa5HyBkZHm9qo3xsIRBhvA17mBrB
tPs1TLxxeIIeA2VhIY/P1gyn9jdAnXCMiSpGwiiMwSGxCu0GNVXTFlXD9WKU+AsHuWZ9V+MCoTnA
MWT4+J31niQDHXL6qIDFcWKjr5BzK+eb9dGZePE9ApVa0Q7NpQ9bPqhbHjGZ39EDQFUgVRdhOwRv
66THNwBOB8a3q5Q+wVU2ag0upxqbo0uYsA3tew9/mwOPF5rbYp5Rx9H4HzcZL9CJS0+jqWKZmmmP
RGS37pMJc+xBDXDOegdaL5HjLgxKPtV71M1huzVK3aXXSbQCjB1GpoyOAdA7HEe0cgViY45iTNA4
A1/WRTkkecxNSzWMIJZqOXzf9YzNihQDKKTY6aDIC7sJ6N3i4UsNx590D3ZlPN4km4keRCHqNIsi
3cH0ugUXJYP3IZTj35MBfsHhw4dtFjbyC74oVt5HoXv/KE6OJFAA1wr+6N2nBqIEEKi+ozX8Bis1
Csbx/ziPdhtq35Dg1NdDCNftnU7nars4Wfx9YDNR6Q60IRg4RMZHegmLzmy+YH+uJEy4Fa0+aByp
P866WPrj9+2mSrzK22Ma8IdrWk6pB5nF0vg8I9Omq7ffn7MYJRbzLaJtk6+eh4J5OZtxvajX5nTy
HQ3urTrI0NZev6bKhGP2GGP/9+v6/8qH/s33iX389//g31/BekAGuZqsf/77vhf43/+c/uaf33n+
F/++qb+qfuy/Tb/8rfyhv/0sHkb7l561jE//++kOn6fPz/6RdVM9mTv9oMzbh1G30+NT4HucfvO/
/eH/eXhs5d7Ih99/+9pr2F6jtbLuu9/+/tHlX7//Fpyyu//Ax0/t//3D0xf4/bfL7q/68w+///B5
nH7/LWX/IkCgo/wHfPoTpR7rwvJw+glN/oV/I8oBJ0fNhn/6CVzMpur336L4X9hao2IN4GdUtTz+
0djDQwF/9S/MxviPqA8DvOFU9PHb/37vZ+/vP+/zKST9+TbZe6RA4BohPtWSPNF3w9EV1nXtyrIp
rlrY9G3GfKhCut4+6Ya/P+6/aN6mHzcMItZlBTMbVXJKvV3o5pf3JXxfvv26/ee7j38en1gTJewy
OZReBc1QQgckjoRY73Sx0CCFgHOBCKGQGqbi3H3Is63Ofz7MWgFHLPgNQKY0W0dM3rvEj0pk+QxN
zuwgTu38Zyv1n/ZPX/LJuwByxId9tIGWMZDkJoAAVbxb/Manr0wydWvusQ2iCGEG+fbXvffCy7eh
6sDjyBmqIZrNbcrWKyhDCr0nIwomvk8Xz2aLp6//+Xr2n290+uAn3yhBKh0kcWiMFw5p/BUKGItw
L/kYVuDGV014E2iu+R5C6w6JMODMA5x3umpWF05f0K6dTLomlj2EkblkxUmzsqUPEibIw5m97yNR
9WdvzNp+SiawNxsh59cl7u/3yHbkOIh+kzyC3AI11MsMFZlh3qselwOAM4QgIENUUAKxd6b67aVX
GD7v4bY0Age0BT2M6vF9pPpvLAbs2Kn77LNKj4lgScwUgzYxso9+DxefAnn4M3TJlx7dmnrapKnp
GMExk0d1/eBjHXnVefCzPfNyXmg+Oo3JJ2Ov95ZYDlUcZ+3E5j8CSLtAatiY28T2CH960joy2I2U
4RBnSIRsW+avHgAHVPb9OZrvS49vTTYhxGWJaRtMNj0BMchQupIdOHftOfbSC1PnI7fmyTfAIXOJ
G7B2ctFCGvUWjgqD/iMC28m/mrwqZXcgk0T00mkkRdbUBstGUBhHmKiAxcjom7Eeq+kPARbZN7f2
rVvMMfG1v6zwFN/6QMALnXgoz675qM4MpueHoH8mskcc95POSqHxbjVcZAF7R9r7uOBeHwLKxUDE
MtQVSR0/xppPIoJUM6ozWA5ZeDhdQCoC1cfWBe2ayXpaVre4fqS9Pvk2Qz+D8L+KJJdQxt8jK1y9
7hhN73/9Ll7qK+v8i3rRJIAcIM1DD4njdlQsQtWy6YcPPMat6pmueik+rNmjQmIdd5UyyRUEYpee
2PzXsJNR5yhuLzRvpw37osZhB4V7UKUOIa7ZmpV8olsvzyyMLzVv7VtQDtnjdpsi4dfiDUxtCeSn
RmHnmUP7S81bk4euo860pklyMs4c78AkuNVB7QnUdr9+xy99gBXPPPXiAdcySQ69wtBdyiDuUFPW
sG154/YBVkCz0ERj4KFWJQUt5g+GJPGbtS4H4/j8VqAxcyqgASYil1C31xc4bK/pruJQZLqF2GOS
6EmIAV030ClULOdjKcnlCElhsoMAVp1bm08j5SdbD7vI25RNibs+vOIB6hZ1aErgg94IDzZsVyjy
B+MfQGbTfQT1MfpTd+XSnZnJX9rzhFbgtWsJNR+KNHJc1bbyqgJHA87nG27pURc5LbB03XUToG6w
gaZSQIYOpfuBkiXq383+RLVbBwfW8m5A6GEJB8tSME8fonphkF6jJOLXw89KMP4z4duoo3ie1noI
hzSP/E312RYUM25pim1rLyTApuZ1CVuhb8jtLeKCbEkX366AZ3U3IUAkzceEI4d25lFeCLXACrUW
mc0AyTKWQ+C15CUE9u2uxL3iX7/+pi81bwWaDhSFeX1J8lKuySfY4UrUvnrCbZ4LTp/6JAyQb+4a
pCfSHKIb/+SHnqCcC7ZYZjwzDF4Ig0fx1ZMPGOvBwGFHJfkERk8I32el/C+rDE62aiHKLJGz0RJV
0xuV5VcpNmDy3PotfP7NoqVr8ZYVzaE3F3onhxB4WKMJCjbcPsBaRjey8UFTxTINNVgGhVZ5AEjR
O7i1bkUxLVKg44Z1y0ddTvnWodCKoqDrzCTxwqCyURw08CtvxV4SDvG4UwkBKTwUpg/dBpV/GgtP
3jmOJbiAr/stD3Fu3PlV8KEDR8ntvT4WxD9pHP48HQGRfMtLZqYbbTof6+dQBY1j+1Y4V4A0yEiZ
LfcKkV6G88oPBYg2udNr9a1ojuQcy4mj9akIyX6JgNAbRVA7PrsVzUkHD6AZMLrcQynpnkdQ9lOY
AbsNeD96/loh2FdwMRy3HN5l7XFMu3I/x2Q7/rpnTj3wk/XSt+K1K8D12gJvyRcvfsC5kM9HAh1r
l08LOwfreGnYWyELf5C5a3ix5BECF7U0fZMFpOdu52XfClnYOkRk2eiSQ3NCL+GKqw8NPKyceh+o
0ue9H0yA3iVbo0/+LOS6bgW7kWvr9OihfZ+BlbTgPIimfABVDQqZOBz3rFqREP/1y/15x4Pv+vzh
4wJ3ZN4JqyBBHLjiUzm90kXROgUVqODPW0d+1IOGpZmOSpfL+C5aINZ4HauEVo59b0UthyERyiRC
aOZLve25jD+Z1HRnBv5LfXP6708mtLjxOMyCijkDVg9KhFHDEDVFAaZbz1tBG6F0Cpq5ZEbPe59U
iA1Yl66F42u1YhbCNuV5I/370Uk4hLt4xlWQ26Pb0RonhU6qYD6VQZ80dWh9dO8YK1oBmJBwYEbr
K7wu9jrhekdpeNZiGC/vx9kM7hTPX2pF4qQH+gmtk/BhgPXnsaxLt9RTmFjrK4dcM6lLNA6NmshR
V4pLNk5Xp71BmFixuk6AGLWGz1k8QeOyBnO4C2QxOS1RIMA97xiUfkB2Ffk666A92aHO5gESnsBt
xNha+XFTEA9Xi84Er4CuIPEnbx7P2Qm9EKeJFad+EUNjCFOsjKGC8jCu9efxVN7iNNYf9fRPJoEB
ctoGO2GdNSh1grodvGkNRZtj6+HzTmdR48GFBqbeLNXBzYjrkTcgurdnSIgvdYwVp6tGbTt4bzrf
Alw27rYOWM2DN3nJ6DhmrFAN4Qki4CQ154acUPxeJGMIYcPpq1PfMytWA2BToIEVWFmLsQVCZwwO
I2+M02YYx8vnfa9VAb2IiXU+pdGf0CrfjSS6c3twO1IhsBfGePCLrLxbTI+fTAiKl1vbVpymNQqb
AgiPoYyvEpQJxvc9L3q3F8qs9RRiYk+lCUrKvRqiA6jHX7Fw8B2f3IpTXN9CfrcmXgYR8l+1CT6E
8TmK6gsj3RauAIFaelivTY5mR7ALwhHUGjNGpdvUy6w4heOxrjgB+gyMJf8jgUYJxCFwxN12GswK
VOiRQtSU9hq6G7Ud+pV9gR6/cOx2K0iLpB7YXCudx0aZvRASj87P3by+0PE2NjSF0z3E+XBGxa18
epNA5H3TeoX84DTWqRWikIFOalI1hmMFkkkklo8o/3F7pdSK0Y30KVwauM5VPEe7IFk/QWj1xu25
rRglC1kX2H/iuZvxnmhzgxqYM85OL3W4FaH9AtjIFJVThvJQb+8BtQzBolt+IHxkaT9Z7AK4oDJI
6byM+ulrYdinRJnWbWp5JB8+aRvFGDNmc/QJVKRQDfdHiI/cZnLbzpBI2EGvSHpn/TYDmAUST+y2
gtr1m2C8oFIG5ik5bApfJT0q8AHuchsjVljW7bRWWuOhpXiP0k5o0P9waji2Vs0WpBu5cbxEUvEv
ak3vko26zVOxFY96AOnVLHTKzYiKj81MYd7oaDy4PbgVkVEHukgD8z1wu3DXH3b8Ii3Sj25tWxHJ
W/jzgr/rZXGN3a3n08+oOHZc2GIrJjGwhwGghimvagpf9ZF4hzRls1vgxKeZ4EngoCCdQaI3wxmT
vlM9oDeOOwmbqVyVFTh6lZlynUBtsUQjKn0Heu/W4daKueCC3IDoNmZBJeEMh8t3lIFNjiPFWi9h
XuVzoPjHLGnjN5GWX2tizqFYT936kwPiD7ouEht/SNIxUyJ6E6PtVc+ObduirmCpIbNfA6SNw8h/
pZOyuRrISt16xZZ0VSOZW+xnTxaqG91tfvO+pdUZTP0LvUKs2AR3iiwc5ab5Gpmp2fukgOcECn6D
2m1qIVaAykWQAnc1gMsS+dlb5g+4fHjvNBRtsdYM4LOiAEtlWpfxYQBbDL7UIXPbR5BTjz0JT1XN
DPnoFQ++rm90f6qRHBwjlETP224EA0KmisY84dFNC8FhhiKJ0LHHrQjVAI/QVM9T7sv2jgBKAXCY
2ybFlj+p2OsgThZjfiom2S8iUPuANN/cXqe1cBrcKIyJmMCSa+mnclyvaha/c2raVj6taip4Enoq
N8DNowqWDccT49Rtm2Irn/p46YDVReu4QtoO3dbfsmh0u5eH2dDzoYJS3ZED36XyHvoUMJm08q69
2Tdv3XrGCs/Fgwp7IBpvdDZ/jdjBrWPyxa1pa/WcsPBUkvZjzmn5FjL6S18It3Foi4/mAkiZpiUK
wIuhyualDA8wKv/q9txWcMJHqRjVCqZhWklYLJlbkZzbdp6++k/WIFtmtHjIB88STO5KzLHeKUab
m4FKQBhPprp7t+e3FtEYJJiOg02Qt3X0Z1uRDwA93bs1bYUo3KZR+cEKhfifx4sZdSyo0iVuV3Uo
Rns+1EuguWoVhXhwEnwQM4q1iSf/cHry0NrhVigZ5Qq21Xkc1mRBnYA2ZAd+d8XdFulHO8UnywWB
b3SiYS4ArLl3V4vwvh4cz+K2g0xbxwMOzGi6MOnd5Nevi4i6XUM9+ls9eWqgBQoBn2tA4gsR5l4S
TndBudROUlzUpT1/oSFDwdlcYyQW/gYIhBpyGEO5KbqAlHneOLySPOCiKpV3s/R3/syOw1I6Zodt
sdKkiAZ+C12O6fF6NuF1G69uMWTLlNKlRNU6KoFyVpTdjm3mOlWAoroNcytAU4wSfw25ysGkf3OC
Fyt/cntuW16katxOgNsy5CNNPtSBumv54HaIs6VFxYoq6VI2KodV1QDP5nKBNZJI3OZDW/I+RQ3o
0n064N6mGvYAItxpL3XbgtpSJN/HOauD1X1e1hEIfwsSFZn2PerYMdYS2jQoW5wbg7hJDTAnmtK3
be1vjm/UCs8Z5OYCYrghh59muA9GcouV1PH23JYhaQ9FdPEKntzYp6jlxFxrTuiSJJ25Ww7Hvv0f
kMdKPC1kHqkm+RM4/BXQSTFfuERSYN/+T0CjmQ3I4RyljqhYw330zjMey1xaR7Hu88kL2l8/LdcO
46as4HfQIfEHCDcZHO9AHkV8T+Z1w2EDrUQh88Qb+QDbDym+6ZQtjgfeRynkk/YBEfcJ8BeogKzM
eAB2GjhOGIi6nWBssRRjK9Czsy9Bc6PhHvBctYdjuuPcboulphbqwTHqZD4SdsKMwPTlMzdAhLrN
wbZeaq0VVcuKvukrEEbqSbxf28Btvfat7ToKbgG4ZBr93iXywowAfi5tXzmNefiyPh+VczSf7N0W
mTdFvH0AcaG8ICyR3LFjrPkmwhwfhwavNe2KYTwyDe/oXVz0YIU4RZWtl8JFIu87OaPno3G5VCp5
D6qP472CLZdiXIQQMCuZMzK9q0uQifj0zu25rR17WZglattyyFmX/tn1S7CrYCjm1Ck/VE4r4+GO
vsVEFs+wj4gDeQUgzZnhyE77ih8PND8YHQ+wNYplEvY5iOsnErboGgQsq1eOiui05KBvGgDQxdhe
AhLnndhZ1RDfo8SNDW8ATRgBaGKCXnDcS/YXDe8I3bG2RjIeHjeJD7osaQb1fhlCeAD4Zuj4576q
vGFPsbEMAQNCrj1jUq/60AbIku0pbqnXSzD8EhDMUahMLou+ASAg8JFN+OhB2WuOAXDNgFqzFW0u
bT1txxLo8hHVduGmjyKEUd9hnEXU/bkyQoo3E/hCzZcRNPAhT7YwnXO14vse5LTFWePPcbLvUHsP
Drdhpb4Ai7VMX9EELEeYaWzhO4hVlt0cUnUp61Ftud+ncDwBJ2wmh1mRMs5muOQghd1WM9mXANX1
2M+mqdknqo7YTvRw6L5ewHtNL9somEi+obeXfRzx+XLbPHHLW5ytcyhAGyDE4b+0vWtBomFOuxCw
Qp5PC0qU8zzLuc95Uuo/VDJsyKF2yeQ2QG1xzdDVE+TzKTAKJ0h8HDav4EjjVhQT2NoaYIwAjEoA
5zS9hA1J7y8oDx/82m1zCSvs530TdHWweVEjcxi2xmsWjifUN4Nr1XBwmRsCW2EziWEpvGrqc9wP
fFskuYq98Vy15mni/Un02gIbqRc1D4b1eQVLIbKbRga/vwg+xN/cnt06os3xsEWzDmXeDiDy7lg/
RLjaTMDPchw64fPeX2TXBv4KEEPkB2Sn2dJkdV27bgGtdytWAhtdHfU5jeHShoUXxgNR6vboqbXW
RqQwOEC1Mgfb96Eg/F3Bard4Ta11dsYN5NqGeO5Ywysnba9A7XdKigc2LiieocgKkDnNIZddd4WX
ghjXBr1jn1ivU/llRDkuq/MyBOln5cM3mCHdO43F1FpjG5R1zx0DrEUbLW9ROVhfwClQOO2cgtQ6
d1cUfkZdSMe8VJy8AoCqQVm1nj45PbvtdCjhHNdsJZZw3NGoPRRl8AXwFj93a9169gW2UnAK6OBh
3rftFcB68bSjgL656fvhVvE8SMemKyFk6jEcO82uYFbg/4kzrXFKBQe22ovB3mgTYJHnSGWtlwUp
dM78ibnNvszKvgONpdP6FKXAToNMvQzlTk9CuI13Zk0wgQpWveKcnAN5FT1UUJs/bEILN+Un7JKf
d3wcRl1TNVzmMWWzdwk2fbD3i2WJz9wdvlD4FjyS5p6cAlEPWhQUpLV8a4NI3Uteg19XsC6Uh2Xs
vXtUhN16XgpID3ZxPN2XKQ50RwBq497t7VPrKy4MtJJOwGSkVqv3RTRL9FV5WAWcIsOWzYwNbH1A
YRM5tkC3bN6u26E8Q7Z4Yem1VTOwfAPOE749+biG1VXQqmQH8sriFtK2cGaBFUIy80jkEU/6cgc7
2eGqYrqrnFJqQAk+H1moX6a+brDtX8xQJXtPNOB+iKqT7dGp521dHtjxG45bp50JzP4KePGVKPcz
g5l8x29gLQcbqN6oBA67PIqCmp9cHBayaziZHdf3xxPTk9iAZS6GZYgPMDqEWnzTH1A08dWpd2xx
XjsJA4+/rculgm3PWkbftil2fHBbmwdP2GAEWE3ks0+O8Pa6CsPxzHHxpUFvzaYCgMxyAbgln8g8
7rlHcMOzbG/dOsWaTKeqVWWwzF1eANie6SosdyKuHbfKtmCMpGsPnp4vchZ3DZyukgtOAuO2DlBr
BVayK8sirTvAqavl1agE2TNw1e5+3TGnufAnu3xbN5Yu3MxwC0EmcyMDtj7+WKZZ6wcwIKHY3Xbf
fv0xL7xcW0OWGFrAqrnsYSASTXJXxVNzescg8bqtxTbhXsBhZ5jTGrNxHL7Tk/+2DM5Ztr/07NbY
Af1hSnz4QaHkN44PtUIqH+6ZndvrtWVkHaZfj0MVmAVMFW9n48l3XRW7VTPhNPt8Lm7rLtB+OLan
ySC5kyKK86mOE8dOt2Z6ieyCXwDIhstwZCX6IbnzSFk7dkz4/NHBhOyMNnULhQAQTnsUHw6ftha+
NI7tW5M8iDFFISfV5puCYVPHbwSrPriNditkYUuC22pUCKJotS9AJR31/LBE4BI7NW8LymrkEbqq
OHW7TArcbQAeLGis3fY1tqCsDwFq3BQevigrpJ2CEG6/fHWcKm1JWUo3ZuIR+bdgmQJz6GroEfZN
1zWz2yHUlpQlICNL7GzbPKioOcByw3/To57vrVvXW1tKQ2uc9JfBO5RBufZwzQr82zCUsT7z9NEL
87EtLKMkCldKNYYO1bF4PQRBpy9qPg/qiIOYDo8x/DzHA1w51h6mjDgVvJIMxoCfwiCCST0Nt0tG
PBMDnF5oILwMfHFfiy5ew70YBlPDSBHQ4i99YWp97CR2mXsdN+vXSBByPcN68MrACPIYFXpBE4BU
gPUv4Gd7XwWob7njJ5DEfVcncjzgwEY2/BT2oZUP5edtIytvO+C3x/oGJmX97LajsQVx0DUO4akg
OSuLoLmd4aP1KqxhTeAYTuHziab3eNwTf+Z5uPoPNBzuwMN94zZcrDkGZ00Dm+uF59EGnW0bksuw
H8+RLk7rz0+W7kcboiebSNjMCwCkV54PEjCNSzVu7XJIDVQPhwVbVbhOp7St3LIMtkguGNKYkjnm
uSfhtEn40h432ZbvnfrJFsnBV0jjjBjxfO5JdYCZ1QeYVJzrpxdCyhbJBT54olxpDvarrt9BVU3g
4Vyun1d4p5zJ8Lz0EdYWwQdavAwl8LbjGnF6qKZBDfVuVki2X9YLKtrOHKpf2IrYMJm18Qc9Rn16
mASpV3gNLO+l4vzcweqFEfU4KT0ZUVA/lHqmbZmV9cT5UcdrAPGZ12a12GCiB8G4Y/bU1uiVFVIz
hWrxTrrQg46OfsA857g+Rta2xAPPBHmGjucBbsymaIGhR3Bm/n/pRVtzBYsgFd1Q4nvg5cCmy7Qd
42OfpLiapyWsRpzEC8EJcPpUXRyjbbhaMA8UEIAEUUpffkwH5lY5G0TW7mQ06VDXMJ7JGYunIyTd
ya6oAsfTv63Tg108jpw6qPKaJATmhkYckrR2S4zYQj2fygDGvW1xCOb6Cr6WMIOhbn1uS/QM/B3H
fkLT20ayIoVVTR26JVxsiZ4BCK0eU14cwPq+ZrF3PVDHJKEt0YNq0WcYK8VBNstw1YzjlHtx9M5p
VrYVekXMqhl+NhjsAMRnUsIB2qQtObq1bkWpn3JVxLDXyVkNY1GIaj8MpXFjzwa2RK+krPRmuOzk
rQnbo06n7sIfWjela2Cr9Dyz4qQlVJ3XTTMcZJW88pj6mxn9IgT2hTneltJVcLuGSwW8W7t5wN1t
nzeqd1vEbSmdqda1FCU2Uu0En8FOdz5cw+IzU+NLz23lb2BiOm2o8MMoh93cDqqxPbDgjnOWLaWD
haIZ50nCLzgRcPeAS9CwK1QHR0WnwfhI83+y8qXCoOaCxykKrXo4zCdtoa77lddudZCBDfbStCs6
NkTpQSwb7q7uoAI48+SPTfxkG2hr6QjdcOME2/UcDqfRfO3XIkaBUQnY5j1ISX0Oo3g4UrFhFnFG
kU9e9sMEq20gLCU1x0Gn/pDBKqMMPwsWh3NeJFHN3DLwtpINVuQBuBuwqwNqciov68hPdFaNfOzc
MhC2lK2r64kmQcUOq6ooZhDT6G5fwSMgcjt72Fo2NXG9wXFUZ7qvZCYSshxkStxSnraUDXuqOJKR
0Flw4n7BABuV2oQ56asDW8kmQdMfiwmNzxpw5XYkw65vQzedXGDr2EilUQ2vO52FTSD3EazGd8hI
fHGKRlvI1vMk8f2omLI5rMQu8TwUcK3Ed1t4bCFbCa2pTzy4SPVQ1uxgx1netiya/nB79tP0+GQm
IYuUUUCHKfNSpN8J38qsNrFjx1hrZq2WoMdF7JQBIhm+gf0x/0L9jbntU2wRGywFl2HS85h1HW33
QEuDCEMKN+rJDz4vbTpFW5TEY1azVR3jYgIA3OOOYg9b7xstYbS1fBqzaBEVFFfTPcqr1zNz7M+X
Nt+W++plADKLmTEzLNh23OcKhuJumwnfhn3FXFMvGtDrmwCuZZnMN19VbrWEP5jpepsUQ9FGOitR
PQPT9wq2zrAJ3LuMdd8mfW0ogyjqGTsfJsMvsIB5J6rQrbzatyUwlUBKuZdEZ7Wv/N0qwyIrCsjo
fv3kPz/H+bYKpg34EPI+So60aOP5TaVFLY6Ghi1MW5XEKvjrj3lp4FjxWsxRQYIGXwIOQd5hDuNy
363aTRHjw9Hi2VQj4RM/TRStl2VXHxLIYfZpb/5ye3TrDMobTAfQM6pMrtLsa1jsHkZROC18vq2I
SWHgNIk4VtnM9XwUMBDdgTC8Oa18vi1JNCKidFOLgpXR1h6Dkb/fgiZ2e6W2IHGrBIG3ohwy2Iez
vYDFHJxKlZt03rcViR0zbGJJIeGw5Kl9s8luF0njRm7ybT1iQUirgobKrJ6GChayot3DPN2NKvij
NXZgkHJWZXJsmm6732Bv/kcDr74zEftCKNlyxCJalkBDrJzFKkA9ymnDIcPgXI7wpdatQCVBgHS1
SdMj8ZA6n72vMB27dwqkxIpSjuNjAYMLBmevCFbg8waZ7ARXdSc9n2/Lv4K2j/rNV+kxlqKDELFZ
afWKBm2XuMVqYqWLJDxhsYuX6TGFM2OThlet77YT823xF0Bcw2RCNC0Ilr/TxXznpoz1beUXDBTq
omJDetxO6CO+BGRPqmRx2xDYyq/Gb2E4ZnoCM/fiolPyDUzX3ca5LfvyY6hbIiHIgULw03TeK9LV
d04j8QfJFzBClYo6cgipFkFOZIu662oR+r1b+6fgerL17WQwNK3u2ZH0wQrGORnJ1alU7xxP8JRJ
+PGk69vCInieSdjnFhQu0t54McFZTdyOzC/LDHWqrLgsxbZUN9NW/BeH60cCyM8+1ApfZsKim5uh
xbF1hdvzPmhr+BJnnCPq2mNVnAyRh17AT+bkwoy1fW2M6thl30paiSMO1g0Xu3bjs7msCuMVn6No
geyu86Gt5ruogY3lssMmRw6vOA0SeTOPxRLQy9UjbOA7tbWlV+/8KK2jcqcmJrER6ileHew4h778
LFUldLAjnNXiMto4cM8HgwM9Kw9mmBe15yaCHx4Qcstc72IODx5gvk29jt0ugGUpJbvUgN3OLwLJ
Kdj0AknFCcZytWo1HnBkffdehgIHmYY1yTchBf6z0gOZDxS682in0UN8P89LWOcwrl3husRhZdh9
7pFVZXq3KpwG4GOb0LL61NWEp19FqeHEg0LOrVdiB9pXYz6e1GIXchNm3XWARo37ZanHgB8YCieL
bMOVTZh5cFce90WCkZbuZ7qYWBzCeYv96wCefemxjvUmUFs19OYCGP9uz6ic6U3j6zo5+HW0RPuK
0QG7sEQkh0QAgLtbh5IOHfSbTV+VhynFeZ/tkSFZS9igq6FTbAeDc4a6kbnOC8KwbcRcQoW+wtvq
q3qnEuzsdmkAN/sD/OnCP4dJwD/QbCv7qmv46h2l6mN+uykAOP+ohpCx22gqoujVVlSJLg/thhoV
ckwXHYCIsFGm2xtUaCR4X7KuJR4OjsxpqY8+qMbYjQm/3/iFgYHo8mVIRN2X+35GtvaSodgxvQ9W
to5m33YETmJl4p0wkK1uu8VDFcsGmSIIOgxG35nBu+z7yzBGIi28pLxLqh2nPD1SXnX7nq6LUMim
GG+cTzvLebz29cizRWGOuqV9qZv7dQ3LLsFw6EN9bKJ4XPd9WZEQlNjKtAeca6rkExwOu/46XTcc
/KrY1ysMl+WEbPsuTeDDjR3UNEVRtIcLXNTcwXBb0SMAK3y97sIlQNrZn8BW23DNPM0l6p98M9IJ
kkIKyJrf6i9h66FmRs2MyHcsFkFyqIoxbr7g7JO0CBpB+vkwNnE/3nLtl/Qe8qxBHBvDUCaU9n4f
X22xF/JXQbXw7a+6a3tNDkTBrvt2QNBWWScrE15KETTDh8oTiR9ieoMPerxjAva7t/408eALaYoi
MbuiTEWZL8s8x1e+qkn/sVmoifdg3vuoRi8XmJUD7RzT9msxLSUvd3zgyZcYTsDyA6rLtwqW5DXW
Lujde3MDHeuY4I97j3ztGzVvlyKUxtzzzQ+CvawQSV8bgmF+UfJwu51Svzz64ZA0rxOlGc38pJbV
24FX6/ZmgdA99HATDW5AcjiRiOnluExd943jaqW6bugQmbzvm7bIhzAN1LUeUhbuGxKR8FNC4Wb7
V7Dw4hYl5N4V7nm2r5D4C7iRx+WhBCDIO6z1lixXMHmYtwvAg6KPbVqT9CBbVAveMQPD4NugLOrg
cunhWJx5Q9WsF6lR8EhmdOX+B58WvHhbDWkp99JMHpiIjQ+H110q/j9nV7YcN45lf6Wj3tkD7kDE
dD+QzFRmakstlm29MLzI3EASxEIQ/Po56e6ZqMq2rAlFVVSFLYliksDFXc6SqPkwryqW14qsmuxD
kQj+Ac4a5XhrYG1ab0ndjWmhl3ZG7LQxlfUW+GlfXk9sTr5xaAIMeYmWob2tFyIRSupxsZskHrWs
CoJx0nzZtRA43paVEaAZeOlcPdZUsWjfCyGSTJeeTL7WNWtFXg3wnW0zOvglgTlQFC57xXt4pWob
EK/Qagj8bOCrFZ9DzXAHRUwqH3KG8MjMG69SMmsXTw2b4STJAxNyhO+byYKYtomFtM8BcTaB/1kF
L8YcVhDJNdKl6gUmpRAvbnkd9Dksg+Pxo5vCOIbAUd9D8iwLu3Vt9laDafro4E8ny6yedLog3q/C
jmPWahzTNkPHe1bfOl/r6h4mnOwSZm8Sp0IHyRp2z3Gp09sU2shNzBLMIzeDDfoYjq9iiC8481m3
mecq5C6rfE3XS7uoCq2LBf5PbEdKh0QRdLa63it4oXnZKpvGe0jiTgZFHSXGKxSZfVakbl3bJ0nW
sN3NerXswvSjVxaTDUp3FcJi60h81TYPaB8FrssazjXbQjq+0gfWoYy5ceiL0W3UNTj0dFnGE1DH
Ub1c9RVpu3xcpa/zSMjUA3lBqrKxoNCtyr/XpOtBDRoirY/NQlIYkGOw296MkLtrpmx2EWxuIC6e
TVYyf++HTOnbWE3e8CVoFsqvEh4qLLSh7nn9PeR0xXLoodumNmNFm3mLT7a0m7jvIvUh6ea6PKiq
acM92KgJvzYygDPWBjGJJwUMjcLyZYVeMoTNVd3GOzU2VQWkLegoWCgUYkqHutVO7ETbh0CwBkC0
ko0SsD7MZu2G4GHwGD3MPWdPNOjQ8IVMelw+Rn7NvR+A2j+cYN47SKkEbqudTB8A/1x+jGoitvA9
HID53A7dDwGW1xPcmF28g/UwlvDMps7tfDt87GTUFpBDbu5R1UAjaSUeDAm5XPs0Z0uApd8TGDbc
wMV+zoVCsnbsAsz1tpX2gsK2TRFA1fMuSYfZXvM1cFHRNK2KH3o2UW9bj57I62WEfzDQ3FgGveU5
MfGqnmUboCyj8Gs3uUYteN1q8D6PdQQ1xQIwp/LS4i+u14pXBbzrI/QWgi5cijaS7lMnZaXzHhQf
dwVJwPBLLeWSRW1yXfcd2c9KeeEFKP0iPPlxBzuW0uhh9XuIwdQMu/6R+NiLGQu8GeuBx3kQ4Nwn
rG2GAlFHTTerZ+hmpmzIDSmvROv1H6DZO9+mcPuFDS/vw6KZxm8rqafM9WXzDG+V9iqyDmrnVmEk
sutgPBsh49DL6Aoi41B/nPwK9FEkWmsM+UINxUFo9XVYB9lovegxgFdMUDRW+MM3OoeI9x44TJei
VcBOtwANV5cs1Mv8A/ga3WQMY9C1IF4wx5c01evyPR16u61mDehyVkOg/5ZOOqnzafFqcVdzBMPn
cOzLTCoPHuh53zkDRZWyiviYdTIV1WENfC0LYI60ubAq6a9tj2Twx6DTY6jX3i+G1q96PKoatHTO
vKk8BkKUyxbAyGG4B2ZNtw8QIEiuatKU80U/OeduUiggiEIumJzvI0jlzFlvAhtk4TJN9SczyIo8
N3U437ZhMB2FlGudWUiwqxlDiHVJvo1+M/kPGo6J3qcQozDvY5QgkkK2SesYLNqIJ7HL00bOQV4J
ONAe6maV+TSZFP3uxJgyT9d43lJt2vYCxckqri1AK0eGwzaV2Wx7QK2q+CZg/ZC7FJaGsgQsD/Hb
ZF5rSsCPa5MHck03S8KaveubvLTD5x6WX1m6NHZvgaNrx+Ej0Hgud+EY5UEddQnETSzsEuTIOI4v
ELpoWxKItBlXVDwSyOzhxJ4tM/OvmkF7roAnNdnFFvhbV2IoGg2J3sD12ss5l1PWhDHEF2QyfEDW
+5x08a3xYczga2zRyJ2Q2H2wIP9MPlUNu55Dlo+Tj53h++Si7vg85GvbYnrkkejB7+20hwlYJzO/
hc93FwmWG1D9jopwevDadJA5qcYb1Bl6vgh4Gicz3hnppxtRTzWUMnxIwW4Fa/l4HfbCejgroFJw
yZIqLNpx0ss29ptovvUHIiHojMk6e4zoYOvtzGG9dJyCOvxEFWyDChWV6C3RxtPJjRtEmW6JbG1w
i4FmONwrnay3ccS5fyH4OHpLpk7tiyFCxAX0HxhIejH7ArXJOlTsskTIFHDijqLq6AB98vIlwe69
V6udoO0BXnVgc8hkll2eMr8Rt51CDxMPr+LTJnTgbfMtuLj+hpbhMBSSlIHI/abm/nUEB3U4BSfq
lFxTQHfrKmd0joOiNxPxDS4CzvjQ63TTUg5prmztQRF8FKDyhk+VSsYrORik9XldtV7ut5AexNKl
y5ylNkGQCAz0KXZVYgWSynQhqAUrjUkuJEmkhcdSGMEyvsHNkDszYmPmsFCfis7VZrjoFpwnn2Mi
7bwNYNnuwwNHQlzPj5qQFi7l9Tc2x1WmQn/dGmqWT8NQ1gFKnrhs1Y0BWg8RTyKlbw5hIyxm/6W7
pe5kvLvKNbxUlHZkQ+GctCB9Q6pbyDUK4yfLZ6/ad8kQ60fDS3++HyTszTGbm4Jnx0s75zFMzgvR
1R/YYkw2C+/FdaATjZj0ZHJp612tBcRRIvD6keyF+bpqJrIUBfkE2G/3oCUJdkEX2Au4erON7dPw
sgsZ+8iRUOWLa79WELK+9dHSOtZ+kFSwKdAPsZ0P44iT4UBt5b77ovWfpiGm9S5oatAL1lat7Hry
AnkkFvrDkL+Pr6EcajKaOCiRGLJeIG2Zniq0nORx9gQA5npJc+MBclF68ROlg8rcSK8xhoTGAExx
Q5kpUl0ixM17J2nwAdG92nRBm3RZ3y8a4BiYnQSwj88rCweIosPWwfMxFjGjbHaNSasNFgYMw5LK
HdaEfqe00ndREEWHhHRYcCGXeUOSOx7L/oO/8uWWJqK9q4hQQDoZ3nVTtpCGWZVVqN/c1sGw0O2S
OaieEn8RB906yop2mJK8X826bAfZxgcHQG70wXo0fai4DWE0EOgh9XZln86WZyX2CoXwg6vJ90aX
Tn+I4yRx2dz0CwU42Z+tK5qTmM6eu2WFEBCVvhPwip4mhVW2NOHYFlUy+95h9iPwrMHYt+Qga79k
N8pblN7OUK4gT2vCgyRnLpr1pYlEXD2jFusnmGYEXrATjWiiq3aZOfyFq2FGaPWFpE+h4YLcTqEJ
xQbiHW6Ano9K6v3ozYx/9rAzYcIWuyZuCqLaWmcmblBcMW3SJpccWbfNytALQ5652Jnm20LjcLqa
l3Fev8JmzSLBrzWNcXpzbORYZC24WO0GulBlcCEpb9q7xUc3azMOUdhvdYrAV6BGr9L9dAKUbqa0
D8Jb8JXa+BKI8NAvfLbEbO+Dkbb8aHCK9rdGaSpI7lg11wc1qZAkGWRmKPK/tQ24u0OzJw3Q1wEI
eb1UiitEonpIkUOJHlv/oUP7xX7u4o7tIzi9o+XT2/Szr8LOe+4BGUDjZxlj+G5irFLnWB3I/LPS
zB0cYKRZirmvJP2YQKVCP1FbE/pJqYkFbRGnk4dkpRxib35I7NouVeYFQRoiyylln7My5MGNWuni
fkQQsODfZQOi4Ia2MK+8d7xeGCQ04lEe4Voed8tmmKFXfMEaLxiPCfYnYjAJ5SlBgD1SivZ3PUAx
YteGpLa7sKs70hfRKhc5ZjxJkgrGBiMqapQv7ZQ7JKlIrJH3aHvXaqSI9oJ1VSefuPLGeTu2nmZ7
pZiJ8cZWZmUxBXyZnzsWg0+a1B1Tz9p207wVFem9nHXGv2ymqkzyCdAOfeXaNqrwStIG9FaFuVEu
xTyhwpoSiAw9mTViFNoTU3k1VsF0YcuF3k9h4LTKdLyu4tZxzjMJh9gMfLvKhHDMo+24dZYifalg
qmv2a6jQcqiZSTOlLfLnTBtt1V3q27T+McOsh27WjpC6SCzkvMasUnBN2a1JH3918GZs2iwcPVYe
YDAeJVGu+Np6KK4c8S6WFSv4Ig1iPz1onCztF7Y2deEGCJ/cjoGSm8abVgOUgFd6exRroc4JOuOI
ilRPZQ7BsPBDOGtAHmdbV2LP6tPxhKelfegVj2OT4wwU/VOMoRTZtnU96EJ4cWM38wJqDtoYHqiL
a1r7zQ1tLUELqHHdDZgNZs/LJhmwI0tzGAlad9csqHSwR77Nn2lbj/Zm6Kw66CkdeF1Q55Y8jhE4
0FysymcIuaAYqXpE06aV3bXWhIEcAREvu+cprXOxOjjtgM9Edk0qQ3496VDxa1kadWmEGNsvgVxo
txlpJx/RRgk3vRciC8P9JHTv1jSSOV8i+xRDXudFBgkhWQ1BmQaLGIlOxm3ab0MYnZt8Qq065hSj
+hlmj3TBvAJxUyEdlUvODXogOaSX2JKDw+WqzK+xeCfXBTwXgH4BdA7FnOB6ZINGw1B7K+sPqZ3j
+tNi52m9WiMcdh8gXDMGV33SmEblOpxFczlSAMMgCrgsBUna0cCtPLoN4PxezGO6tJDkKGHYPCCp
SO/8OkQ7plSo87MEZo6HtS29BYjWia9FhyE6soRSgxb3rRxgNrMPOrQQsxKyJ/Rl1Gir4ShD4QKz
yYUAQ7FqhLdrj7JRP2DcFsgrCyED5L0WLqU3kYFGU06pFPa2xzT0a7Sisn0eqljXH+uxAluu00Jw
AAH76LEPGKobePaiCOhgkoIeEMwgEftm8bFu0PVAj1ltO2WcnyFGLGWTrehFx0WXJnXNL51N0TjJ
QDDzn6USQ5iPaK3Mt05Uq70jYvLST7acBnNr5oY1B1ozlDSb3pRds5+revFrxNsg/tFZ5LTPnats
P29WJiCT3Y3T+gGTgx7otxktpn7JFhzxcre0ymJnB9NTENbhFkMe/xLqCjhIaAyN82ywiUk/YD9Y
vmG1rlG0UH9Yriw1Q/fZ9ujGZKhhTXTte0EyvIiWsa7oxlIGj16w9vONI7Sdb8oRFm93FC3V4Gcj
ydwIFYbDj3hQLN0tfsVJHkVQyr7CQVbhsK6WOLBFmaQLFTlMsgDMzVcf6JeHGbJG5JBAoolcYmGl
3cEkYSTg2UeW4ZoJNFizRIQWQueili8kDpv6JljLAYCiknTDDorzXnAE4TFNxhz2TavF4GZwYgvj
RSu3gKiJPsc4JDZfB9srD86Gq6Z7j6MF8onwfkIBkSBzLHzJRIvaBflsf2PQ+OtyMBe0MhnUfPzg
kiRBjKw91t6wawCQmL/awDGFT5WU+sJWDbWFjIXoNjwM6VQEsJLRXTbJ3tVbJFIcFUEE7TGgJvnJ
1ws2Z2PR1g1bDqXGrDEHwaNicQEJBaIgiF72GERjhjlWh2RewhWhWYtohzg5Ysw+4QjL0ED1uwxM
z7Utpn4wfBstxp9e0ibuuIcUyY90CKNayOD8EF3PQcTqMNrSKp97HIdR7nHJLpJABG7Zdz4N6ZOR
sGC5Oq25ReCDN1Eb5a2/hONtnDZ8+ejh0zAvq1HsjWZ7kqFGfj/TdY5uzKk0uSy9sVtwxgDoumat
K6vq1vW+Qk4mTZiQGTMl9JnSHEOS2OqMqJ4N3xqHkA1Qnkt78iL17E1bA3UJ5IXY5qj9YTMzyoNi
o6G3cd3OFU5E2q7fuxpjhOe2tWO3japo8FAHTyIc4HKcyOYuQlaDowFehVG8FQjt00stotjSTPsM
Mss2jQx99NFTa+Dbgsa9/sqgw9o9Cc+M3nGsMKm5m1k7KXDeHeVBns4TBInBdxOS7+seAysskkiE
W5kiv0s2MEA00yWoe1Vs8xXDn7GHkqNMm7QgcaLppRUYAV0hiaDJVWeiSD0MvO3kIa1CO+49Axfy
55AQlOfJsCSgy4y9ZzKeBta7Ggnkde48o0zzyVthKJgzJADDxpmeyptGaVBI+pik8+PKgUXMKVGY
zjQhHyBSJCtPf6OJEuVjiN5QHgwwJmjn9eCtMMaWRQhRP763ogpdhjSjXXM/XbTZuXFg4U6iPW4v
eJes5MmvdRwfmg4jvFyQHpP7DYjARKK2G9ChR99eLbG3nWQQmDxM+tbLsOeuE6FOraghhsDClvjA
RE/bxvMxqEkGzGZcxuGNRjM3LSIuZJ3G0U4vhq07ES0eGaDFFljDsi6sYHKG4stvr2JfKvUUK8ih
v6RVZPorgqZ2uuVxbdiDtZipFLxCew+0QiDJjs0w8OSyrPjQPViKB3PpAtqpAzHwwkGjAtByeIW7
NT62Ju2rw9JK1n1APosuEjqGiWsmdBRoj1ZzBHG1huQGm1l4OdQjEicKDPBSyrYdcHwn7eH0M+T7
iPJzxqD+2G96zHCU2ae9lXiwOm2FPC4SDw3DTqwE2IUHKXMPIR47aEssrrv1A8YeaGzN2Mlbtq7p
FWqFxLsMvBIdxCwhkJ0LTvM3GlyQNknERdemU3y18hGUaT9wo/5sG8PQuusMxCe2Gg7Trs58ix4s
hpMB0FJkUnSGup3s1XM/RzQ4jlAIUcH2pNHqo3RbYtimU7myuc1Zb21XuF6erOC0Sm5iWUbDPgIF
1+6mQZiwqGYnhqtAQWAmW8qO+PtoFXF45Snf97YYK+qm4LRiyKvFpAQ6Y2HfhF+WFM7sl+Vatcs9
GsqRRqe8LuX6PRzisPoqupHwPQnBTtyTxrrpGkR/qR85VKTrD+MQR8uVH3nK/XBT3IqrZjZ9ullN
TNH7YBhPZ5jRGYxDGqWAz5t0dG1Ir2yuHbw+9xK30BZmDYIuB5w9wZg7ik6I2JluGcDIN3yGme8H
YrtKXUu9+sMhhVMdMgJ0vEvQE5h2cFtXadR+RdPEQ+cppp5Q6A4iBcvVgHXebzBH6tBoQAg91TH2
lIkwT85h7jzPl9gmdJJgOIj49OyYQJleZWjasluVztyDQkCTNt/N6WT8nhr02UD/jqv9NDIkIQSR
jj+EUgba5FGFzr3MDI+gwWBDWDulaIWSIgxiD4CYsJrKm6BOtd0ifkK9cOZDM7/odhHL1bimffwR
WUASLVk7tebg0ItcPtK0F/Mtjusq3CnkKVkPnZQpg31PtRRDiN48DluMHI/Iill6UDW4ATeYavSg
qMOwYEXpPnWoymNYTUax/mKMN9EMXJ3Aop0pOjQs5FTfA9jgV8U8w0b5vgUWEQciXDGgtshmWrKn
VBAGbPhAMIFCh6uU06izBhS6KBspJv9hjmm1NC8olCu0w1CQEv0F1djaeFmigX1osxjhVa9ZxUfw
MzLIygtbbRcQOmHnMyxRUn8GJxpN6cxY2M5MFz1qjabN7QTFb3tAIbzEfiHDGuCL4n0YlzNYZOKi
oR8HxTeEfWqjx2R+FyidnCvCxDycF4XafBM29xQ1TxO/j3pCzvVgRqi9sbJJ0y1OKYJSlc3kWiFY
vmUp/4rQEznXhEHBHWgguZB3e9gEUz02+rK33ggNNQVUC9phcws5/ZRNwXFRaBDlsMH1SI6uLGqO
37+W5NfQoHNft2pBj63xZLod4QLKiwZkkGuA7qYc6RImdpi20TcY+q+AkJLTHfwJ5CQn5VQUhskW
RPopfdBuLE0hKqSZYF2jEkMHvPY4ksLFDW+wi18BJ57rWLXAVSGYB/E2ofCy0JBr2UzoaL3xgV67
+hlqS8AJT6U1i4G46L920n+yVJTvA7OdC1khS556UZXxFmMu5OvS7RvDw3de/AyZpX1fD6NJ4i06
XRsAHtFe9dHf+P2Ceu2pnO3zcsEMI2ZNsq2Ip3CkziXqbhy+77v6GaYy6EQIVA2eCyo1aNpqBnfG
dXz4/cVfWaHnkj6JxKBGLC2WS52y4Lsamt7mJHEB/Hho0ItMGKCYdyAHxeJdtnbkXN6nppVNoXUS
b2EjGn+MJqluWh/dmd9/oJ8svF9g8M7FfdLWhcnsqmjbU1ajz8UGZ9HCxT8vztfJU4TEF38zRP6Q
XDSifWzX5tHHSot3pWpMjVKhqjdwNfy+zGEtgkynyIj+dXf/9RfCpvrnf+PP30bhZFPV+uyP/3wc
e/z736ef+b/v+etP/PPiZbz50r+o82/6y8/guv/+vcUX/eUvf9ggLdbuzrxId/+iDNc/r1+9jKfv
/P9+8W8vP6/y6MTLP/74hp6uPl0NGnLDH//+0v77P/74STz/rz9f/99fPH2Af/xxA3fP+m+Xo3z5
8h8/9fJF6dMFyN8hMoFVlhBQ2diJyGVffn4liP7up/DKZinIF2lwCqPD6Xr/+CMK/05AVIFmexD4
PvNPPlJqNKcvhenfkxQYSBYFuGKK//7xv3d3/Nc6+dcLwdP495//Npj+OGISqnDhX5wVNIzPac2Y
TmJSVS3VPcSl291UVf4FmA7kHVvhdPXwr+dDmpSEqHLy7oY2/gzDqjpzfN3+fiO8dudnEU/5BsAz
5NX35dDesl7QAmCG9+jqn278LOJBlktPfTCXd6hyn0USBPuhGufN++78LOCFs+Ix2iTVvToBZVMa
XHp+8paI+a/IPLjzc8Y0i9dIaI9X95EH0S+D1OMLHwhDedMH7zgkT7+C/vWtWvwGbwUS994HvvVy
tN025aR8B0v2dPFTIP9TSkEF65aqpeXdylHNoL58WjTBnvu/rfmLxf7aszlLV1AVtatrGnaXziMB
EqAjOUbsdU7rt0D8p0dwHpxPd3/6zX+6ez0umKEnEb2rUrFewyBA7GSMSnqJG327dMj2oUH21SNp
d/H7j/TKLjjnUnMKN0XNe3rXGnMDvA/LeBm9Rwzo9GnOtm8M8MAwQBL1DjDRZ3QeeT7K+OPvb/zn
gvzVozrbv2jCCpNCDOxOTf4mmJqNXceMlvsAc7P1A1ygMwidtd1tN7Ubb0iysNpx860s9yl0Osr9
yL6V5C3C5E/1iV/dzNl+n0Z4uqwAVN4ZlIZWWCS0l15/b9vrpOqKOPyK6Ua2eGs2B/uZfkpBIh6w
Zfk0HUpy1aPb/O//TXN8+h5gYzNgE7a9B1Dn+CMs2VvH/2mt/upOz4IHoRJVZT3Pd6FX78Pwq6OQ
+McTCZdLOWx96zAlR28VXa112npG5EGkYRSw5GAfHTDZfiNp+yke8Yv7OKdrc4b+mAxcf0d6l2nL
MkwFMsgeXACtj75qjodg6adS3JXV1h+hgE2uRkA1/Dlr0SuA+nC2aL3DN0Nbp0RzwbzFlfzJ4PjV
nZ2FJ5jddI3xRHM3AbaXBTLd24V8olOUd5Cfx4yH5FYCVVcL8QCYOrqUah7uyrh9mqm8UmT60Qh2
1Yj+EwaC94HzrqFs/Alozg+eQiZi+sL5y8GqIIelyyX1vesUTK9sqdUeOPYPiZVfu54UgPuBe+sv
z9Pcb2o+FcB+XhoP9MGy3EkK+OIK3LheHpAXHFDaXxiTXsIjOq89cjg9scYvC1e7GzWjZxX5dy1a
xs0wXYNaQjJgvXZshj1ew+8amFhm8HHYxrwpMCV9sp7d8qXbyLitgQ+ctpjUHuJGHDDxvVDzdEn5
fBP6A2CtApC3DqgtUx7d9JZJ8itRkJzFcN/21RTrbjoGMw44CG0sWeJMDZOaoL8maohua0xqMTVv
39gVr0TBc468WlYc/a7FZ5BiGzRyCxG49x3W5wR5oKgA2AbG/BhZLIhVJxkwe++QIEF8JaeP86fT
Ihp7tNNFOB2nCcKCdVLeUNrc/z6+vnLWkbPYPXsK4vMYRRwhhqCAsVni+q7lsr1tp4S9R3Hn9AHO
Yng4hC6NKqeOzrI7E3FoAHbH39//a6/0LCJDQsZnAAtMR2/CIAGN4XvTsqj4/cVfezhnQdTDINZr
w0odZ0ZtDg8KLwMzllx0+l1G8nDnOafJLzFlYkoA0wMu8bh6AN1hMvkeZuzp4mchzrAkHuZqlaAw
4LxhcSV3Vnb1u3KKiJ1t34ViHgsukzryhX9O1yYDWOTl9w/+128V7fW/rvie1a4B/FUefTaveenW
Y0RC8caZ9NrFT2/7T9sppR7XMyAoR2DoopzhzvOhT9+1V6NzknwbelA4hxrRsVvYt5U3DJww8kYu
9NqNn+1VHkjXRugUHntFLwZpRaFOlJz3PfL/2KPu1N3GxdH53AoVrLkt1Xs6wKeFeLZLy3iBliCm
xkd/kvUOwI+4gKvOW91a9stcJzpnxvdz38UYfGggjSMYMq0jkK/dA3rhlz5ff9ioOQyaz8cYvgnv
4Pfi85yz5RUAeUDenR6W6H5gPeUhDNzfdUhhzPnX5cnGtOpspOUxkJiB1SxNszGKdr9/y6/kY9E5
WV4HDa0a4YnjrNPhy9DH3uc1BfgIAyBgnqaFbDssM/DgpuCGpgw0mAkYaVD7fGDL+HQ7gByxhR6t
+bCsSXjDQa7OBtGlhZdgnm+4s1fSme9doqIMGMT3OLafHvhZQNBdDws7j+ijoPSlAhwmA/nnjSj/
6zQkOjcEKg1UFZnu8TLTztv1MbiLJkyfSDRvgJyQV6aHJRZAj+pddTEU/f76gldtgQnwJn1cOMl8
CQSnDxOvd66esxiRBoB4S+PhqIV8eI7uvs4URWz+/fL59YGIYelfb90PAV3jUJk+AtwLJBhoRJeR
1X2hjO+/60CPzrn5po0VXn8nj7U3omJYkmiTJsP6vth/Tswvp1BokJDUMQUrLKti9T1x1VvFjn8K
Z/9ZUkTn3Hy6eOAsNHI6AuwZ7Yke/Uttm29pwJCJT2IFJhS2IZTW3bVTActVG04bjo7z+z7dOYF/
TEE+DhMpjzBwuR8FiIgD+/H7N//K2XPO3h89cIJkD8rXmEbfBIm+gzjy/feXTk6r51eP7WxzAwEQ
mpI28tiOi9n7k0uyNgRRIQH/qckqWc2QalyiAsP/j0CfYWg0+RP4nws5eHo1eQJ+5AW0m7tNapl5
SPvBu+4Bot5a1o+obhw8ssqyz0WvcRyXMPNdg4SDn0rYBa/jx2mGkZkP2kIBREWwmb11ympaxxmi
epXPPkyNNFeqYIsNt7Thax6RabqjLoYUAHc804lpbrwTDCFMSrh3Biv91DEP0NW6rLchYIcPI2Zq
n8rOuoM/xXBz6a3bOEq+GafanNi0LVwHuePVghgKrBe5sAn7lM79srEBjOFWOYsM3oBfMbEDkLEH
Y/H3D/+193qW4gJBw4HyHKejhjBW4RxQTZ7u34h0rxzM52PUpBY0mrtZHJcKWm2uYSlI+8CyJCl6
DnQAzbgVJeAa0OAE4LCu3khMX4lS55oNs6wjVZFEHBHKwaMshzHzWD/tl3dpFOE4OvfpCQwHVogS
cYQ14JUH8nQ2gpX4xis5LftfbYezEA72xVgCuiyOaQTeXs2gFT4zQBeX2nN7CBZ2b7yd1179WTBf
1q4XBEr4RyWmWyPLZzKMj79fVa+9gbN8b2m6HqwUOx1t3YefqQz7+4Gs40YBDVn8/le8cvfnE3S3
Tt2QNg4yIjUBENZ9bzv6Rp79yt2fD8ZBaghaWyFHkhzis9pg+OVMQq5jFMdvvOPXfsVZyDNh0IFX
qZNj0BB2JZQ378JUnrjbdHlXhzw6n4CDO5M66YLkfzg7r6XIkTCNPpEilPK6lSlHAYWHvlFANy3v
lXJPv6d6b2Zrp4cIriaGJkSVlMr83Xe+EwBgy5uN5Slzp2/Qolj/lz5OK8K4dGy4NhOW0pNZd930
36vsG5f973yZJCharp0VqKS2yTeT4T+nzz/TvtwB8Y9a8FSMw750p3esB78Xs1x62WjzbNG+Va0T
ogXFx4Y+97KJmazvrfSLLbpzlTVCSGSe2kSooBcYbF1E8g2EM0/ysvGtT/OIL0JpnUwF2VBXDDfw
Vr4aCDhXAv5lJ7tscXdzO2iyb6wTs0XNzcS0HI5lXbpjuhHZl2sg3LQn5YsN4S+v1GXDW9Wdzu5H
3Tw5czv7blanHtPwyg3Txd9xhjnfrIu3VmFcXDMNYZ6mJvUnq31WNPfzWw/50tImZuZPa7qFh9wq
uYcsV2yYw/oO2en8wc+b6D/WPmqdJM9GyQdfotETDhPEyXccLM/XvjyuEmC4emp1pwpzbiGA4TCE
/Prfd0U7r/F/W0EXZxRjnA6qfsc6zdkRHeZWdVDOA/GvHqMkCvrmek7NQBXbufzU9I9Cf1GN9Uq3
9nafoUB9UdtDuuabNfpi3/vTu/y3z3NxsMFHqJc8K+2TE02eNSN/nYsAfTmQb22PiJ1GhSFv7Tbb
5+NNhbaXSSdPtgYWuRSbz02M9ssRj7+cgH/oS/94qFOW1atlFfWJ4GBTFyZKpy77ajjsLxe/9Mth
QDVtSCXrU+SY1wzYHyZN+Won/ksbzbi0y0kiNNs4BpdI1IbpJxPvElBI/E5xPt00q04NtDWXPRiN
jyQaQTE0z02lOvfABnSf4XNkebHF7Gkep+Fo0beqRzQ3eqNNtyge47u65/cQ+Nk7aJhvKcAMr5y1
HzQbrhlv+w4mlHV/6coz0/xnXr2rToqa/IZt0ALmGb9ia/8lBrx05AFraiF0FuWpnYvrehmYiCCx
AzpVvmvx9L0A0DjvpP9cQHSQ0nGaipONs4eUMaO9z//93v5t9VzsN6vd13qrjOUpQo1Yutkpi5qv
7vsfTv+/vIOX1jYphEqkhXNxkvQs9xB6xEOD5vVaU9bBa4o03jMQ3TQoxtsuGGJlvqn0obhfpd4x
E46jIj7zoD+nDCRNWo9HR6/UTZxSOhzIBJmFEI+mNmsbIBSfc6cPbTDBNkF6QNZSpt/ryBvGxc4W
FyvSL2S1VCKE12nJWX0QfO/uX2xS6bpWaJfj/MRbtAUb8mwOxRcb8t8e7EUsYjtQE6ZiyE+5U326
jfsqrC+21r9c+dIsB2CLsFVZZ6e4M+PQ6K0uTJT+i4zwbxc/l/7+sdJNu3MMKBLpqZRTGYq4FQFC
lq9e1vOU1b+dUpduOXqlmM0qZi5vo2UYfaIaimN3ldzTckey4nH4hmr9rp+P9vTTtcUWAhaZ/f7c
NsnFGiSFGaD4o37w7BjJxkTzFruJF02JX4sH3lN/TR7ziNpA88JgAzEyShHtIRrbsKc6yV8anNeJ
n+JO8r9/FvnZ96pK+kXUM0E/yQRYiBNq84+8ZmtVgVB8a6leuufQjRaZntf5qRtreuXzpv6Wgwj7
86VdToos2VLyKj9FbXxEeHvbyO/tm5deOcBRMrQr5XnfpOTj4O0Uz8XT927IxbZQsMEki2mVJ9PC
e/nUfvM8v7THqcuiQhUz5yf0kvDbGCvbN5LZ7+996ottIY/yqiTh5Op1ex1H8pW63BfJ+F9e3Utv
nKpuy7zsjPKkrrnpxxIMpFLk3/FCYJFcmuMkZu1YM9CjE2qgOuhrdLSR5gbfuiuX9jhNrVmK1crs
tBTxi7CS3u9nMJDfu/jFWxmtKNOnda5OyJHyDW7BDjrI7z3O/+eQY6jMvxHVngB99OE4wT4o3Ujb
fe+Tn5/0PzZj4LLMiYm0PBmt8VJm1UfVkOr/97XFn/rPv0QHl7OkUdzk0OGr9IQOHrbLdOS1N61n
9lqzdfZq0XkgP/t5f96jUUCEyQCFYQm1RfOXeEUXRYpdKnfxuIYwLrYdKuep/6Xnj1yhoDCsF+YR
5DlqGzg9Fjo3CwVtuex14EJxGeQ6i7R+QabvIcoBK6fCbUD6s57YwGEo7Gq5H9XNeavucVJo1GzL
T1aWhTKpe86PVk/2lfVjrmvb74Zr/hEqGQECqnNn+XCiX6rzJCLYpcYtye6Rw0BfnV/dvEeYHbD7
Kzwsp4amkEFglPtawr9KjC1/vbVBtcQwS/giaXOflfuc76Mkn9HS8Hx/9tL883e4pKAWzKi9N2bX
/JqjGigS9yaQI6ekhFv+723sC9Rb+nYwiF/mfYOIFAU13y2LPuXYbLghnGaj2hyiwggk8qzSBiTQ
tYdB3bhRzP9uzmfcYguvHIvbWsgrKgYvEXQvTjnN3OdTfJSkNQLleKxZL3yGmPpKXJQ7Tbx2vebB
wnlLjfIqqoawBPlpqUm4Qrvsh2vNOto0kJI4Bl83+RJZa6yKcMapRunk7nwLxQwlqt1LdSM7K+CT
D8NbVpmeOi1XKLCCAqqJ20CO2Z+/oyZfndy6pgjgqasatN8sKvzp1P7jdUiAWU6ubWanPjuLGiPz
BwCjL16HvxRgLueT46QfS7UhjUAL92gPSNGyWQ6hDmsY+X0y+Okyml/8rb9t1BdngFN3VjcyE3LK
k/g4mvWTEVvfsPBjl74cVm7ztsmRuOYnSybG3qnhjRmzPX3vg1/OKTdyhqV1TnXp2LyWEyKoofyi
BvtnBPZfdqPLMeWWprVpTnp6qlj7yZz4opsOvGAJfBTW/zni6fO7iaU3AmdaxY34ylPlL49eXJwP
xTxUcPaj7OToxW96XsopcvvmsbSc/LeOv9GNA5bti7Por1/zIpPslsiwmtVKT47htleTa5p3VY/V
XBWllD+kMl9XTpb6cdYi3oxQPfNOCnffwGHxK178PRBK8cXx8rcvfnG82JYOxa0oqxOAk+YaPURx
M/RO8ZqqgCkNY4lDmRXfcQc4r0z9/55lDpbr1rpk1cmcp/e2cF7LJX7/76PsnJv829K5jASxfik7
hlhOIs4hJeCW6bn56PrZoKd77FTcHXTKJdCEVn8vBfvT1v7HTmTPAm9c2NwnDWthnwEXuo3FNxuN
f5SQ/7i4A12tNGmWnvKpfquq5r1UtW84HPIQLmeM9QTWomPI4gRx81kAYKTe+cVi+sumdmkItUjo
E5mhZafBVp+jPntpO/OrMtjfrn1ewP+4I3XWd4Nai+KEuvQlgiBdtMMXAdyfaOdfFs/lpKuInFoW
rpGeOlsrD/OiNp5qwn3pETuHSaalQKUqh+5yrbRaWEzLnc04Q8aMYJkFiUwFPONE8wqYnIECEj2c
5joN09htA4oKYteVseEZY2xtcr5EMGmiygFIt196Ef4lpb6cp+36ZYQ35iYnCYwGjtWmYifJ6JVX
uePN1R3xzMJABf8BseHlI/0EQq3JeoFUGmbm6RxRrQiJONX79aTlj015gBvMN8IwV92QVA9WGeZ2
GRKtJZ0RnkMHJNj+OdpK9R9lfg9RINANevI9qIbxlypfR/nFufC3R3+xR1mlrTZmxrcj8E2XLRiC
/94zNLgL/75tXA70dm7dTVRHs1MhmuRhSRu5oXi6PhmgrHZjWlih47pdmItSDcVUxNtK0RSmyV1H
3wpHnXzGrSMinK4CLT5EGmRTtXzOtYR6hdIbsVf1ogzSfupupi6l6F1bljfa2bjVZbKyT03jDeSz
/KgLR6DNMIddNWpwQhprEJuhmfIr2Nm9D9dHO0DwJxLps2rcJMwc8oQM5cmp3Xu1UAOcdG8TMPfg
MPUEMg0DGRhIFL5dNB3ssmbNfAwCQW5UY4MpegqDIXF1Ivml3qiy1J+MyVg3i1bloV4o6W9FTtm7
407W51iPDaiUrL9ddfwE0hwos7vyIRjhNr1WCvkSoWUMeUNsrwWSRnEZL980m9Xj2a5lYzVzsdcz
xQlqXb9zhPmRJfoSRkKBMWgV3S7DreTAnJ0NNl/LjoiJ4m3etu8pqlivmUbj2jHKTwMi8XOyJm9u
3RQvIK3MK0Pro+0ELmNjAvny1TJj8KPSJ7wH1QIOD8wQIPbSgjGRmECGUvtg9NCnmK0gUp1gmJZ1
+oy7TnOTKU0WKMWZq8iAXkV5urHejVYYt4Db7jiu/UFJIO60RhxybUjXWG9v4NUKfoGu9FTDj8ia
GuKPbce3Ud6nt2kDzgHQhAJ0K/sBRKcMl5xtZCkhmYzlogWdIkY/V/v+4Qw3vVsb4zeDQ8bWgXl/
y2WZ9OiUJ1kwUJ3HM1OCYyy5VWO6AABLI5VusqV8ZIOrgQqSTRD36bDTRat4gNHkJi1tLYCYPQJu
r8Q+MwRPB1YdZOdhifdqVdhbiBvzmzqZeuC2hrvP0PBvB5cZrGLRS2+sUzdUO8s8KXChPpIq1oXf
MxC0qaGXHyIriz3mu4nKbIDxBShy7NyVhPq+DisRRJLl9F7H3sr4WGP5cnCZQOoHshaYPtLyXFcH
wGwW2Xp0OUPvusGIPwcrqsMRV7EPOD64N+h5VH/ko8w2rgKkREhV3daRBmMG3u9N7cy6T5Khv5Qm
REG/V6LhHXysva8g2IT9cuZ3Jir0ck2O/W/VMFmhtZofHPR272mH5tpYyC7BDcLJFUq+le2ibUYr
zvxUx5uaCq7lOWYDMHeUM2S7om/2Hcrw98jszEMz2VWM82Ez80YMxmGy6/3YjSS8kpRKb4U3aK8m
/FBXS/ZdNyVBOVsAUlJ7RSrjundgCKsDBgn6W4+BxLVYsSCFQAQITPJiEnoW8X5RluEu6Rs3jDlN
turk9G2YDXb5LMZKP5rgqLd1Ohp0zIrF9ly70D/N3CktH1ShRNa89FcdZmqo+5NU3ECXx1dmRM28
kFXP+dWqm6tClTQTe0dqFZxmNXdDzdWYHTXN8nkCaLgtUdQ8DT22j6i3II14buLMoSvKPPHqNhUq
c0kIqNZEIzeDdbU+LC4vztxO66/eXFGsOEWzWMFgzuoC/bBGhOA4UNs8y1E4fjSj7u90q4klc+Dz
8DNTbFBqBBHyWbo5Ra28m343ncLmkUkxM22m6fLOWXsrHDX8Q8ICu+xAGi2ko6H9g5wpYXUkK9LB
SDY3rVaOkGpqHfi9RF1l2H0ZrLFWHbJUW+lZ8G2qRABE7PUGLg7wvW5J9CMk7eGq7YUSlnVHEbN2
1CFcjRosuD3HoVtN8k6lQBjMmQUufWCqLR8n108r3LwZyWMqA0DSZzYM6ztwzN4zMbLyyukMJ2z9
qNbhxVXHZgId6U0rQ2UVC36GNafYu6yXWmAr8RQsFpicCFCWAUbP0ipA52ry4YwtSqZJNU96LKzV
Y6vA2QeBHYPGg7bBLwOicDwW8IT0LpSmNEIFeFlYiASq0xgTv4L+weQBrwwndZMuMDLYxjeirzUf
rMXwY5gG+TLJdTrGjOLuWlvOwEwjJ38YWze6S4Z0pGqCpYtnNoUTSM1NFK+MUGXBilZnr8zo2TRK
azJXVgyeSC3xri/m8LGUNsWLSrQ3gwPLERPy8mDMc7XXId55BEm239a8R70JNQZqknULdKmfMRDB
1wGMXfVQRVp8SLoRzrA2GhBTyupJabtqlxhmetMsovydAerw1RkcbR8Rt6S9foZ1YNJSztNnFC3L
HZgj1x+glnyUmeFs1mUE5j0IZT/JRn/Dx6hgdeGhMkOb89CVW16cqT9Emv1US/s2yUqgaL3Q74ra
WMGsja1vCjlt0iJ6AEyiY7hajJ7TV2swumaGo40DTM0GYgNX7n01FrAzJR/I0eZig4XKWTmrrAEC
zvKaMbnhFlZqD7yBsBIQjs07uhJzibIELYfRho50wmuSxAw7qKpnqo7mlYCQgmSITF/atq8QtUKE
5+ex/t5Uma/I0hdI0/2JI+OOeOanWlmqh3uJxe+5yjXK+W5fMh0bFI3pELTOzLpoG7ct9kuCKXXZ
nb9RPMQbOLli68Rj86aqTrV1jMG+6ZRo3Lh5o95PViFCGnd5mBuRzlSvmuvbdJIVf78Di1VVavNY
gQjVoaqIgjhLKunO1mHJBq0c1X20qhWDnEu3kdKCRZy51mbRnbdulDAHlHi7YJ4UFnXOMUbsHgKP
UoJCdySLfy4POYaSJM/2HIXAKYeNncsEhVwNzKnWTHczVvHn6GJ3E4Ozw6Soq8bUT0tcdlBOpt2j
tTgNmxVWWYlwI19trHwLd24B4lpSwzN6ddtVPY//rM1MhbIedDEC72smVKNNF7uwlFr9yOzavZEW
jmekQANXUKaejoCZSYf28xzZ3iDUlXCltUn14DDFpucYZBI1tNGgT7rMU1SoL6nZmFsMHIx9U2Gx
bNe806XMKq/kJDmUtVaDwQUHVijua7Jm1h4fJOUIu+8pVoHQq0z77sdW6G+WCwMtM/Lf3TLau3yo
4Shh/GQQyFE6hdG17fCqeTKUTHmnAqr6XWNW8Fpn9aVc0mxjdmCaATgnpiPfej6g34PFuEkVU+wc
ULNPlpy648rxGZz1naA0HthMpmBQ5vGpxZ/gp5Pm+X4x53WPc0O70R12bd5YnK2gjvNy9G661Yve
3VZpX/qI7JXEU2ZdO1bTWG/aChj1rI8ohd1ugDwtHtZVEii6aGOb3raOdWnHmBRYOfXHSj9kxCaV
N8A29Qgf5k8X5LCNJ8KSnG8Z0ABPMWboK2wQXmOATSWiccmhsPzx5WQWN22v9UernYl+YzHK0+rM
zmPddVDDYy3Vf+JJKjbW2MVXI0hdYkbtMRvH57HPINQy9g9TP1aDRdFKiFbYokjmRcJs0t3bLgJP
pRr5dIjd9LflNmqoN6n2tFoQBD2k7fVuijWxS6y1YbI/s6+LWjDSHKlU3muZLMeoJaXwAdC25zO7
9Wo5LtDUkTO4qKsCFVKVErKVVm95Nayw3fI8x4YmzdkL4V8lmetsALbeLDi+XOE4l/4wrDrbInK2
vBW3l8BOk2WHmdVvavjkN7JPrnL23SuJwmQzD5YaRFH1WZj2gJ9TOwfcsORm0TXefEHEh9Vpx9Sp
wD0pM1e/tbAo7yWEf0NYxU7oOtuikRh0bSdZUP1af579Cha/hkkJCg0capibA9to4mrdxu1UY/AT
AwsgGt5nh6bmtVQj55hVguiQIAZpbv6zbsd108A9DrU8rllR6sok12isKMsrleiic7UreMHgCXHo
CuOztre2lzlU0vzTUCfrTte7JZQUaDcztupwuXulfHQbo0QCUVJZ53P/kk057tMoVrxMy3Bf7Bpr
Cymi3LeF7RLvymrjqi5j7gP2PK1V6z8aPJF83V5VDMaIKbsonXdo6/pAGSe5LZuoP06piHegGKtr
OYt6B/8y90W09FjFzIOfWdK9kaNuPHX10BzNoRv9nlEAzx1YUjGCCs9J2N7UoS1IBpIkrGuOm0yB
HJ+NdYw7FShxJ40cn66Dvbf0poKo3ZzjBks9qnyEsOhTi/FzImJ484k/V0V3I5J4IIOld9Ya/RAa
c50EVWckjCTK/AGbK9Wjcm7vkdAkKc9OcV/6QSGPnUcsKfrB0EMHv5pnTILwr5kXgcbbVAdgx9N6
WxB8+EVjG79X6gqrpyVdNZPHRv0j5HXNd9TZ+hVHudjVmo3bnKUaTJLZCaMJyYwhm/Vay8nxRxX+
hOEqvw2YmRuAMPpGmyODPdW1ZdCimn50Y069BKzmFYBI6woTEBE0tZtdTYVe7fh662aKy3OTaLAO
Kpy+TdRU2kc9Zy9dheSrI2MgvcnE7bT2kE9Noxp2Ztr/ZsTg3czNEY+MqUjCdnV/YYUIwldApSo0
IXd9z4kNUpgbJXv1hkx4ZQweSWXetdCrcnYoR/bL7XhG7S/NfDbajJd7Uin3ftGU1E+yZA6lMsFL
VnlAqB6soCpg13Xaqm26yEaBYTj1dXXOSUwNQ4JurtS9gklrqCtpd6gde8VDbjEfCoeUnl2IJG9R
cOBwWH33TV8nYYTAgYmf0eZNsPQH/AZH7MQkrR+9q1GsaUDIHYbyNrCxjM0Ysaw0V2+fM6DLRCYO
GVKS/o5jgNLj0OTwqB0RoFLCJNfVKtwm5bitR0uEU4YyuNJgQMfj3NyMWgc0euqb30kdpa9FnsZX
HJT2E5Yd+V4xtXO63hqeACuwXeMo8g1Msjx3lfU+0ZzlBjeTyNeL1djqrrncRFx1C4xuxW7JbgPh
MAYZrcPiN3LBAacW0x09Wm5+nSg7WJjrr6XVrUBRabGVjbueUgCj4ViVP/G7Uu4szCTgmtbWk7OW
0a4h/L7C+Y18ZiWZmMto8Zx5JerQnXRjZGikEMuaj2VTxNfgV6O7sau6YISPeSwJT4jyiyS9lrXQ
74U2RBuD+aZ93K4dckBzfELTTFZBprEfjbELrXZ6nQwLWV1fUWzqbIdGpY0/JQcUwN9UXkW0FLx0
wfUPE5rzCGXlXPeqrI7DbE4IbtxFEmTG424RjBxUgIRZF1W1FR0lKyse01et5DZVtmmfqH4YsA3k
jyg10PY1VvnWWGa/qbryvjvju3GxxckoKQJnSLMbeN0JHO9JO8FtPsFDVS3PVGbjoNaJ7IM2Vm2a
qLaSbIbWebZqW/irnb46svY1NRsCdVg/ycBeiyR6y/ui/O2UMdYH0g5wcVcDbAu1xbNaMMeFNf9Q
QYDtHWTgYd4uqa9rpQNqXKke6UZjzEUhZ9OnUJfrZB4RBY3pcTEVZEigZTexNbQhL/v7oiW5R83C
5J1yPyPbBte1FlMoBvJYqffpgULXXc4UHrWStQqh23a8q4MFU52oKJQJKAvsDs3HTuu0Q12xWxnV
tFvmVt6LdVY2RfoBDHdlz6uhsBrLifTI3pF4j759xhPJon7JkvjWKEdWctcDvdSs+WXoVftX3lMD
451rnPuczvOVlinafWKk6Ct1WT5jImCcoqFTPVtvZ29suixM4o4p91xYBwon4iY1SZBr1Y6YPXJf
wRXe6Ak0VYM+vhMVdZDjqAg33FquoiRPgwlMy1NJueFaJTT9lcmMOpICuGocFtcbkv46r6G7n38V
f6BfxSBaykmuDKfSoiFdD8/L4DwQkJ1gCZA2C+09dYvHoayyPcO8WFgrE9TmyHRIcyOOmnmiCrHo
N+QqAy5S7XXJ/hJNWRWu01rsu57307NVO7uWqdIfFTQ91Buq+TQUzvLDnvHcmsxO+LgvLX40Y5oA
Fy7t3aMrwUDmlWIfshFmogkCz1vlYm0In9QwTlKK3a5MnoWbBGrmHIdC08NhsF4t03wyDHN+1lmu
u1TU3dHC/PGRUn+6Uapk2OLWhoN4ialPbphBJOW27p3yl4ylwKsGA1GWoVofEquwAGEP6s6odcsn
GWi9eLGgVk7YRlWeWTKSPTX6naJjlVk5TqhXabdVAKQcFL2HOEA+H9RlGm8oYDWBmrjGroRxuXO7
0tzgVNT4dlsmYUEcFFiKYgfVYCy+aOfypU1c6yA1+r0yMXGjrLKbFfSuZ9sZSYMaH/BiCSDVJ5yj
YtpUqPGOMsuVu1Vrsyc9467zpN0rR6vaECsvogBFu7UdQaYIfT8Yzo6mfUUGSTTw0xxqKtu10ftE
+LfsW1bQcnhet6txJaP6aItUHJsYbHdbjZ1HLq7cRvryPmKy45cNQYppq6Nfz2WxVYx8JAJYf1rn
KhTTfg92J12/GTLbs51OD+grAeCfu5+ia1+V5DyWqKY348yoH+0OaP+duJuL8krTI/gEsf6MXRzY
lsb1Ws0+thNiIa2Xx67rMh9cceb1vXbsceHxchcrvXwUP3WOtnZufPK9jIBxVMgN5I+RaopODCrm
6M4AIA4WuFx2atmlL5ZN/Tprq+S2IaHYT0utXQGVM/3Bdizfcl2UaE1ysFftYPX0dDWxxURxK6h6
2qJ9wqUVPG7V12wtqnNo3SH2FSDZWMuR8eEDx7HsqEFuWbiyWu4+xUcyTBJsVmx8OUPVxIKDAdPs
p4BkbDTqEyuCI1BJ8QEzB9sTmrqbBihZMGuI9XbWWBxXNX7HI/zQFvVNW1o4CSrzVbre9asV2Oq8
xYAI0jK+LZ4wlThwTKvbMIy7a6FI+rbiemtbneO+V8aDH/S0cgMMDA/qUt6Pa3RwHCXfAfpsqEJI
6iH5Gra6e4UTC7MizmZhNjiuVowLWPOYUnW3WaMfO6XSDjYO0TRPT7B1rkQ03/U9T78yItQCOW5q
JQaXu3GcTjGjUF6dpTJYzLQ65blbb6Z5HR+c2KIinq6vcaU1kMTfuyZ7X3Xq+ga0gzPQmjpiPqEb
Bey+cWwMNs1yPeA4O+6SJMq8NGOpJIRp8D3donmWOM8W9LywQ34qjCpo+/js1Vm92Xn7Gffw3mcO
i6gqcCxvomPKQa/YqbhWqvieFou/luud1qnlXtO6Mhg0mmlri7WGUybPsyJ/Z6O+0y2mXxsXexuj
u6dckG8za8IzeK0SQNvjkZzuWIAsDqpV7GbmYP08jxLf7t38Gm9R5cZO+PhiWkNsL65aJpnZesrc
N6vEfVgHDFlkyj0T9B/mCG7HOhiF37ZmCNroAaoxToJpBDbKLQMX4LQ+Jc0uxeZgP2gwQ6u8KrAW
lZgEOv0SGkkE3aBPjnmr7mx1fUVVpYYTtmUhMZ7czXGPX3IRUX1a5uumYXhXzB+dMeCPwF6nkciv
RfbT6tzxsA6JpA7W7Zy52lZN+pa16ZH8/MpcOPujIWkeI6FftfYv09RearUDtIyv13xLaIAhCMUQ
y83TqywbmAqmNE9eM6m491pVn75UVvUTo0ncCEW+6fQUZ43BvjJmZzw4AzU/LW7161Kr76nlmh4j
6485FXavm9ZDP3QDE6rIoBWB/5VmT2+pxu7S6sN13tAONYeTsdQHbBjeqH3WXuq+u1VNAQxPScbm
Ww8y6lFtSam7VIh9An8bv7PrPML6dUwRt4xSu9UUxu3jTnTnvSnbtxKthru+YAXVe8bUbBcGWyq4
Vr6kl+bbRtOyzjTjsK7xJo4fgJpcCeUkJvLa2fnBdn8d6Z9TX4BdXfHpHOQ6XM82lqlGMX/GBnD2
BPiltxjK71xXdkKz2j0alT0pT7Vn0iuj1SKLjymqi7MJFvYgW+QxGYVsXKK6gLmwgo52YeYE8jpW
PLJ4ahR34Vxx9Jgt055dZtns7kevTb96hdYUXU79LtHGp+j8qlouZo7StEnfgH0TrCgjkz2NS4F2
jNLPHAG70sqbpSNFL1siCNL9/JH6/qdSKM0OJvhVayVaUOTNnTqT/mpm4eUpMs1EVc1QH603SuNW
oDXid1+49xbjg6ICDodT7OBT1MRAL6rLbRt9pONMxoPVhjJ3OKBU+cuCD45vFOV15R6ZH1d9dRzD
vOedVcY+9uzFvFdocY1F8ymJ/1Tt7BwKBZhItmJGblHp/KjGRmFkXRnsxhtN66qQoKdjkivM4gsk
OuXVyC0aF+nbanqFF+uVPfGrqHvHXVaoD+fjTGvnK6l21e1szfdIZcJEH7Y4UrzYbmqDth7cX5A+
t6rFgReRCNET/xmXwg6mafnM8t5TS5OCtFPnftcjWFtAoSnFyenie7Ul5cYHw6YpOeO/HG1Gp87C
Jcp2GINF4Hyq5NpMtWzrasMzfky2v1jVNT3Ogm2INok+AjaBV7ylOvNRFwzDSc7Wla6FjDuHWnT2
RqmL2hiGVZDxaLRJ2QYYnnpWPVahZSULe0/5oMz5o2rq3J/+RjcZkIiaHwPr0+/b4dHB3CVMKon3
tLv+aIX7UaT5D83tP+gxrqHinP0Oq7kKOGAsX8nqBwD9x0z9JYzOpkxqZjuDqeqjnPLCW+PB9JXK
NZ5mgvVQ75ODgI4XVA5NjUzR23uMAcwAh/BdmQ6kTkk60nqmLh5ltI0U0Ra/0rkz/aZQX5pRGQIl
o+jQLmXpmyvDaTi6ub6tVc29TEic4uFs6F4v3QtZ4H0ERWoLgJkRT3vO2ZUWY+dg6uyn9tj4qiHy
nSXHZ7NW+hs1SnGed7DMVMz/Ie/MduNGtnT9RGyQweB0m/OkTM2WdEPIsh2cZzJIPv35UtXn7LJq
YxvdtwcoFKokW2KSjIi1/vUPRbeJx3R8yGSdPkdDAjAso/bB94DiokjpGyZ/pIqMvvvg9YN3V5X9
ax3JifrDtzA8iMr5diy78IbWRj7kRmw+chLY954i6j7wxruQYQGOP42/EaKnRMG++cWch3rr5W3B
vWYvD01t39dVodefpSqxvARnovTpT+QzqJMVF7AJ26l8tKeSDGknuS99skwNDGlJZ2qK1Wz1wZ12
Z/8oSDXcZjhRLWIZvyNlLbY5RfKSdAisDCzGWDAQCKnLxMTo2VG7uc4fpzru2Lnt4S5rnJrqsCCV
u8evLyoBv1WG34LR3gyUBke3IiPPQLewI8qZZCKrD1EhVeNu1uWGUAaSjqLEWLuNrV7YsRXz2PZN
z3hvLkryy5CHGeXKcUqxNl1VH620kntjFGId9/m0xIjhmOWiXRaJCM6ZCgRIYNgjOkE69xhZklgL
QQi2jyaDimy6E70HCyA1EdzZVoJLo5NwUIZ45mWJfYGYMN5FBCDAvjF/2R3PKyXL4lHaRbZyjI7B
Y9PPqzE3vtUjswFNahbdBEN6HYQPniuB7QY2zmrJ8rCJXe2TaQW+YDzhmgGwRETUgRcooTpsnWzX
i77eWQOYAegiQVSxT3j2GHETh8lp9irUvMnQZBThJRzxq7aV8WNB3MmhdIxqlWlH32rvCjlITTZI
SKS6TI34Wfc4Y85TG9wJrR9BF0zS7eZZsp+H/W4mveo8zr46ia7LN+GYwSfQutkOcT3f+QTs1hRu
+GRVdhzejGSo792RuI86lvNqDgNxihMBOb+TTLIqeT0UnCjaYlftLlNmbFumvjbPrMrlMZZhDAwb
+sTZuvmPsJVYAw25RYEIj0TAEJ/N8Luuw3TvBo7Yd3U777Xo5Qk76dnBGDDJPzTL6sIfruQyqs35
2R063JuyrryZ3Na890qS3iQpHYdRF3SnUVh9k762vzMkc+HAhPkmYZK3hN7FWQFiStb0PEU3IJ/k
fyolzoTZBAvHNnMQZBcwley17CSKcdwyBYvWVewhn0vbdt/0BHQX0+BvmULb35rctG4HHsqeNIPu
2FDdPKZU8vdBnTQ/1CAmD+V8bK9M0rCvwzb4+BYUl7iDOmPp2ljNRh/djoBmvyQxk1trBm5djmFJ
7ukQpgDfWRgUqzJJM+xiagMkv+tD+jm2GejVySbpoSUsrL70DvOQJuex8ohfmYuONdLg5jlU/Xtj
1vQXZRHs0slkZ0zjcqtUKH/y1venQcl8A3/Rv5+HjrA1mxeeKVMeTeDRjvOqRBTdNI1fbNJhpsW3
Sux2CUhqMdtvy26MtpN3DbbVEbnHUxuT4GaP0W1XKOvktcpYEVFWrhPZbRIzYWQHGOpvaz4n3Bzb
g/9Wj/57L918Z7UA1wQKXe0G8tkyAKiFeHPdsaLcK8qJvHu4oUwLGZaqQr0P14w+07S9RxJ9Esz5
PalXQrQj8xo2XgbSYHygASRY8QIEwIDEjfxKeHOtpMCY3uNhQouT/rvDrPWOoeg1zd3Vv8qA9Jwk
CQHYhO/cdo3HRl+P6tfoyvQ+7nJv5RHI0jFS0YcgYullTckkx7KTTS4pcxXH/SmTLQqcSR8z1272
mSuhToypW3+bSw6fIPseKU8R8Bi12c4QtV7qusGeNZDhjjSitYblvg7HqQRVMtANlNpH6e5HZ+Zi
z2nFyRmkkrfEDB+yIKme5mZSyDRANcp13ubuh1QaaMngpys9ZodAsA8naddshJVaJwJ3zaXQjIO8
DBoPaYbmu2kE6lx5A2OmNG6WjH29S29LLE7q5tUgWIv0eToU9sRodn7KPBuQt4GzJMkQwcSKvTtt
UaMprQhRI7trvC2h5W36VkQPbVtBEYgNyAIBf5pmja3+StzeEIo3bwiHNJl4q3JfoVddRb4j1kZa
06p7pX0s/DB6T1KGkGaUfVNlYSwKdgKDMN2WTNbaKuo3T7nlN809WXvOyOmAvhhjNShAE8Fp0yI2
inRbR+27ThvFKLR5i31v3KKdbm/TWrdkgQfEBONcec6kaz97adfuZDzlTOEI+YjGikq/dYhEGxtr
Y5ZhtybgB6aHk2mScCvYaipiHm5RzNbl9Cacyd1Opg43THF8WmffW1/zC65B6ClsfObFJImOBCUY
zIt10N20c+oyMGE2pIhUOlra7hY1g5sfVQi/Tmd1sOwh/iziDE3LHPjR1iYndJuaKr1RnjOQXGjb
aitsyUsZF87KbYNnJ/ZZCZzP2WtkN82lHP0PAq6ak9CKTaElZlZmIntizx/WkQvm2T2amEA9yKkC
KmhKex/2XraQkZceJzCyUyGYmnfFYCwBen7luZtjRNXlJ62TmvKW7L9A6+5Bw89kru6QezmGCQNO
k/kGFuEIklOAGrso25tZpNPKCgWdYMjSdzNs+ATOVAR2N6+8/t5+rqZxRceW78a8NV9TPxwOU6QZ
J3twl9pOmU9JY8DkTKt7yrFqOWmRc/8i46KddlwJz/dWMNQsGr8sZcwIGTYOSYnE0JK+WrV8/ARK
ZyPnt15pEiwH12ZZNMXai8py3fkN/VpVBWdI/8mm86imDabby9DNfkR+RXh4AGgVRWa+s80BVoRL
LKjLMVQyadPiOJQ6OVWjFPexmOR+JHVyaxvhSxh2YjtGqXEao168hySvYafQTafUG5w9cWt6K804
2qdN2ZA7P6j7dAQXIHDeMc5xPeilHOzho8uT6Rp2Kx+CUdT4DQ8z/JoorrZeODPGb4YP3+4hEdPt
36osmSomy751cpSXLCeHiVRtW/IgIftUq5x8pneSI0ceYU8fkQXBR0qS55FARvcWn06I+anx0qsp
O3U1Y0khRb6uQwAnwxu6g4l4bwvqN51Jju3JVC2KZTd384utIm8V5Z69tOXUPpBE1jzWOm82urHl
HktOsdKcDa+xLjYw3hZDUw5AJ9FSxrAsDLO/B0gHBm9tYteMpr6Eo5WuY+EKtWCgzc8uy2bZ5RHb
oSUuDIB+kN5br+UQk3MU1TCB8z2D8JX2p2gh57Y4VDMGSJE2h8eB+Oa1MUzxYzxDGvOU6D98MCpA
t7k51FPlrL0p5H8V4cn8mzw8Z5TP/NX24HDm7nB2/ohgUXI/Sbt3wzh7n/HFe9Iy7TZsDOGp6Yfo
WED/xHDCDtbujOxhstLu3YJX8WbI1ndZOW24ygfzuedTbbm78j5UZfMQuH4dLaqmj9d1OdercGxX
ajTq9VTk4dEasBoTnSCBDgAADzlpr7wpK+4aq4IKlVZw4gWxixcV+M4OOzRq78bqDxAXxvvZqUmz
HKduNYg6uGkZSn2jVabDjAih/jDGCMldWNEHVSTU7YJedKfEGqYLHfQTUanTFjNVB/tg1dcnZemn
aqavFfVcLwfbfx9iRxwb/LBhwQAsM3hMGUXCikRteI+HzpuTlB9+qBKggBh8FbMGYAu30r9MMTP6
SfOeUHBFEjC9KjFfET0Gbn3md+GF9jYvnWQvq6BC2sbIMFwIpeyaODcxNtjA8+UsK43d5Kh059uu
dzai4s0gHUwtZjzqdm4Ql6c8nuBF+SgdPVJLmSxXBfNX585O3fjWCoklJgayuZvaeXwkaLVeVkzr
kNwxMY/yVJPcZ7xlo58sYWI5O6didJJevSO3uCaqY+Y70YqhqL2yFZsDpqNDfYa//DQZTrltZJXt
iXXNl0MxI+SenVcH6soxzgf7hQi8HPbOEG2CMXx2s/F7jHnfKs1zuYYQgRiw5JVqQju8L1N/Zzpn
PUO4cOPqzXDz+Fz7TXHvNC4Hpd+Q4vnTuoapRSqa8aiH9a6YXSzczLjMWRWD5NvfKzbkJaf7r8R3
N52zVfWdabfdWXRle3ZRJ85kyq9DD3air6Lgxsym76QDFiurGgB728Tn7OoLTltwuyz3aHGK3PY/
ghonNnJ2YFNFs3TXk222mzGu8eUDp1h3DiTQNoCNh9LqZWjLbEn1j+mOGXrGCtKv++CyBV5Em0a3
NQyI1yQu51+kJBaPwoSI4XW9dQ+xI2Uj6gvwdsMj33ZIvjlGa8OoT/KZ8tiYVpDuYWkSAh/2RnUw
AjrAdeGI7K7LRrhEYLY1Y7/Qq78HAn0sdJ1qXUHC2lmMYOFpx5hll1JBDyY9FR4sx4cu5XZCm8qI
y6huI6C5/RiImPxNImP7yGpP+IJTUhJIELY6P2aZFiOjrpCxu1L6oYd4t4XsxYmls3AdwEp8rM0y
W1HVT7sqTNTSAms/RbGpltAmQHwGGhyXecri06Q2NIAlVJAGQLT2d78LAdo8ywBGTGcjuOiRQlyr
JNgGkO1+1MxYacdniE5iIC16iIvn2pUl/MMGLGTZmwERh24ttqgITP8YkWhtkTtdejfp1BIAgeAy
hm3jOnex13FW4vHQ0U38aoHxz71M4mSl3MH/5RU+FLUe3k7IRHQb5rN7NlHiUE/FxYMmchv/+wBU
skum74Qax4fSQE5YpcCHg4McJ0yG5GmAOAUgNehjR1p6tQiD0t2IBoMti3AgPggMYGMKmpsW5ipQ
fALdQGXevWfmUEqMQSySETYflYq5rUT9AvgYbUFP+aEKCvkcDT/wFMm/B+bYnenBwyfieOdtUM/l
oZzTkfMspimpeEGb2J12dERiadl5cwj6Il71NEbPc0xyNpqajnPIwkyTFMqDWxJPOjQaMYCXwOUY
hTNs/TRX5yIsgvdhANVr3DZce/nY7KKUaqYcypHwCiYch1kPYodkY6B4dalnAlo0EnPVdkzVnAAP
+/Vr48h5PbIXLtwkHk9ejFCRisiNdg7lA4EJTDdti4RxFTndz04YY7wklLh8Aa7O78cW2kcZG+Gx
xv5o7dnMegl2jh+6otensYdMiakompmcnsTuhoAZWObee1b0EJl1uDWLhHlcbr1CpOmTZcph6NtN
uIMxW24LHVr7rvJgcEllJ4tSufLBVn59mmDM8e436bJmHYHtOAFLnYlWFLog+cboLjQWwt9Y5MmZ
gNJ8SZOcP3cBjgMLod0J/MZvo3XQ2/oi6lC9Kb6/TPyBrjjh8CyrEBuPKe4PFknJ6xaL4HUVqGqF
96RaZg6ohsKZDUcr9lzw+gcHavsK/0zmiCquv7dEZtAPJHqnIG4vLWPqj4M1o16PdbovAr/dxHMw
/vKckLUQcIJuOX6qZclRznBVk6ZhtAOalDaZ1Ro5DvtyG2dANWr61vpI38GHP2az79eDDbPStNUU
EefcGTvp1m+RqBlbQjBaQ9wRVJ2Z0mhEyN8AJ0Xi4dXjD+3M1UKljD97b4hWiY6jbc0KPJvJjNqo
N7sXRsbZuiR7fD3TrO7NyXcPWeUnMAnC4i1Ns9fBMgE6I/YQSdI6vPbp1TDKGWmMdOCGtwaR92Zx
n6JgQEKfsZQnx3NS2COE1biqZznI2v9Lp/z/dWgaArj/l8x0DWX7LTTt4Zpk9u9C0/hb/wpNC4RJ
zhkxFXbgS77zr9A0JtS4bEPXBv67KiH/OzTN9v/LtYQNVmZ7NsyJq0T6/4am2f8lQEOARxxEvV6A
c+3/IDTti1scQyMuLeDqpGcHKBHML9J4Bx6LIttB3ZLNMt1GzpgtBydvFk6vjXPYzyWzRvbFxifO
PFYs6oVRddmOVKDu5LZZRL5VJv0FKm59U/HyryiXiXAKAy/aGgKf6T/IBz/FuP+SjX5eMKloUnqm
Y7qeaX3RHjcVSc9B16hbRCTGHRQSgDaR9pusEWrp9vlLPUqQ3iJA9WQAJmxrvHb+IPb/Xb99vQYY
+4I7xj88vk9LwL/JYzsIUp30sB0yEldewtkT7/lg1XuIvswpWzNtV7Luom9/e7Nu//qMfw+4+5KX
eP21PCARWHzy639c36S/q3KjeGxrJdryNiIE0r10SKFendwV50mU8RYXKe80V5V6xOL2Kp4YSkuQ
ZTz7PkT3MI03+Vj4d6LTYYbaRRVr+J3WH2LyfleEf15iYBI76ZmuDBywlt8vMQ/tduqrIrvtgqk4
aYlYJQraFk8SmGz1zqw9a49Q0DnbQzT+yanp89n//m6IwPc84UrWmieDL5L31mwS2wva4jaKm3Ni
VtGjTEFTe+zqbgzG3gc8CYFFyRIIoTVbzb6FMrEKsjg5pFNkrf7wvK7P47fLsU1PmhhBep4rbKRu
v9+MOfHoa7oyvqVHYEkNla0/Zpj/ZzMY23wTGQpJCjXoU0mWLhMt1HkL4VTTSRlloW7SQuSwCoap
ezL//KT+uZCABOB/26bgSPfcr17/jpE4MY4b/qWuzJLRQDmffS3aV8sa4u0nlO73YGkIYLpjliTG
obTK9A+36Or08Psd4tcL37acwHdtmMK/36Echiu9Z9heABur1ynIcO+CtVuSK9tXr7JonT+s3E+j
gC+/8fp52e5IsJR/aZP/vnQ9K+8zw9EXNjMWSYqH9SEjJQJFCXFYJTFtKyeOEZiY3gBp169XI2x6
AzrwHyw9PnPtvlwJCxqHScfykCx8zagJAcwxcvbHS2TiStL5bbCpegQgQ6gie9E4ZnwDHB6udZqn
p67QMaPgmMn7UHoMuRAszHMyvPjxn4JD/rGEbc4V1yGUk2OGx3P9/t/uEO7vqmKHMy+eq+OtNQ7N
QQo7AnUr3VerhOUlr6nnqpzjPzgZ/HOD41e7jg0ZnShRS3x9JS2nVz56IYl8rPKeqmHIKDCLslg0
+EN/AG9YZ0ltdmtD/1gqvHsWM8lHmoIN8D6NzGo1FVrvxmgqd77yuvEPh8/vwnV2N67Ps13bsl3X
FBjG/n5rarNlTFALeTFt3T31nU0xWPf9G41Lc4quAYnenEYDzGTLYWafud//sKNct88v78z13tie
BVqNncSX9WK6ODFCouDMKQPjWzvlQCVkY60sofCna7p469VWfKMaI4KClUzqeVBhgtmJFegn5Pf/
M4fzzxvy2/V8sXNkPpkPqY7kBQD5BcrnwQqSX3/4zNdd8h+fmVvPiW+xt399KXxrSBpf+XAjmyk2
l/7c9aQnjuW+QNFx6lWmTkmKzWxh4qgKVubsFFP2vTcU6T6CltEvyaTtfpTIm9ZW0Af/85dWss/7
vuNbtkMN9eWZwPfwS3i51gUTq+yRs+kHoSbQljRA12A5xaEpTX8LTprfx9HwbRgGyFrC8O1lHBTh
z7+2/Zr1vs1cHd7+57v3z8Us2WFMikjpMof7h9M64UZgQ+l8QbJNk8dTSmOadMxmIgFkVRJE1DMb
RbpU1WHwB7OWf57Htk+liimS7/qsavtLNRBmTuFqr8YOTMUgSbRd1auFh+BRzhMWD3Fa32CR/6yJ
qCWmoKvsW7sqo5+pmZU3mZfHm/98M/7dm8SuYnLucSKbX335iTSZg8GFH8B+1j01uqm3E3LRfJE3
I9Yc//mXfUkF/WttUPALCnmXiujr6W843SgKHw4/IgOOtbhqh2fgkujo5+34kTtBhzYfcd7CNgA3
OeaHNRLp4cRx/OSDE2KYqZx6oxCzrhjK4tluqQZNqKna7VUrtjOnaPhjJve/OZHpVHALCvCt+2dV
MDuBox3R8jb3pCovEoD6ZQNj48TQh0sqAhcVSdXY3dGDbvboSfkjqKgze8gCvzrt6oMo+6tPXVos
3NbIHger7Z7+cGuvddyXLYFexZe0KzB7udrf9+HZny0KWi6yrc0BzTnztHPhpcVGWlm/VVkV7Kcg
CB/Je7XOcGQ0bIt4lZd4KzlD/NMhP+lPtiafplVfrwn3cmoYB8ax9fn9vx2b/E4kNDVzi3Z2nGPb
Wt0TtrHVKoxL7wE77PhIWNW4z0QyQ+7NyrehGyhADEgIvpnYD0bX26ek7LonB8zpQ0bR/+q2fTac
uEl6XOmXkx0fADI3IdHSOWjrzHAju3WS8FtAvPyxb1uoFUmV7ZDpl0czMCHJVhy6s+vvrWruLoaK
/mAx8482ygaxt7kiZq+UQl+bBQX/Fm8hbV2CSrMnFHH1OoQVlXIWQS+ZPNGAOXEz//D2XDfkr0/K
8/HCpzZ3A/bH39+eoCdK/kqEvqgiUN9FjzbQ6UkG5sRv14aY9V0Cb+nYBJV3Z4sZzdNnP/W/uAoC
J92AeyCJEbxuVn97X4JUj8oYEbelkO0yRKR+yxzcjdaJa6kFcO13s57Dd5QYSJ6vXy/67k+ew/+m
BwBCsCwqCWCIwHKuu8HfLoLU196zRzFfBLDjsSznEkMMX36ksbTOXqhLhp7ZedaksiJKoFshAGv7
n2/EZz35++PgGqTgYKSukvJrEo+nrQrKhjQvI9Uf+i7XrF4xXbTOCsw3W4RwBvFkSVN3U0xzdJZR
bT2MRV3+LPs4mleudKpXYi26GgftpntKIZ7tjUGKOw+Hn6Nz7SFUPJT7xnJbsGENNyGbgJ+hP2fx
BsGFKTh74sCHeULn8dkZY8jMnvafPyi39Z8HkORj8sQtXj37H6VCVgww/Hr933tEBuR4ll4Vb+Fh
eHcIyiwCkA1nVar6PWFcfw8D078j3dI54mBLd6IcuY1NMZ2aQjyo2JXr0cBuoAywuckcZ0aEKvVP
FE72GWD2pbEH5xiNs4Z4TC4A8p72mYPxKksGxvyrKR1H277UOLZOqyFAFQQlqAZ7jiTOFWKc7tEW
17iYCNTCyYy+37r2r2PqgCEYpe0cgylOERQOwJ2zcRy6pD70LTqcIO2cdWrq4qXOlQcKHhVr9HAl
tpVNeufIUfHiW7xbKXyyzgoseJDcfYNHtXfh9h9wCqgfp6Dqf80dPmAMJRl/D0LdRJw72yATM5QT
Azn9YBjfQbpNwh2uLZzN/9M2IARoFlXpDEiqC3ubQBy9CTN/3FI486pQGvt3gy7KvQ+Sc1cHCK3z
Ctn0nIYHqbxvJkJEBLlyq0yFEt2o+vijdJExzUWQr4e5s86JVfkHnFmSA+ke8dahhx/zJNqkzLIP
yN5GFKyi3opwGI+zFowJqUtIOR80NJt6+ll4UXqOE7rtvAhHpoKZPtZ23ZIuII1vfqF/FnManEnf
IPPZmEL8bEKsniI7f8/TPjhQGBubvktxh0is6OIHEHJzhqgMWft4QhPl3FpZMqyYFZ3i1MDeSPdW
uYfk1z3ltT3c4xXCCQT+9+xZWc2gs7VGcsHQoC8+/5A0M4xSosZ5aKwULXePQsNLCImQGsVoMwbZ
X2cVllMCUmrHntlBpzdgHL1GSe3s88Qtb4lCMLe2w0R1UTvwYiMn7fNFcK3g40iUWF/gLVX3Nbfh
86HB5RHLEEz0e5Km8oaW2NsWLYOVfggKpkGTqneTRtio22NXqfLNDoebbLA8iC0+FHSnCJcccO5G
tg6jKwwVV5kZqq0jp+6xwhcH9qHjnGKn9Q9NSqx4h9Z0kYq6ZT4o8/T4eRohpYqhRdYz/jBGYT9m
UlY31pRiiCt941BlZUakm5TnWMTlcpLkn+myLm8LnDr3yjGGVTwyXhoKC5+vWFcrb1DdFhqUh+FB
gMDVztvgpi6C+wE/i1MR1OOugWuwig2CLkPeZOjvCopKJSPrFSYbmhpzQrze55AeVh2SmaWUZsQE
36PBm2IjWllMv5aiauS3to6ZcDAlMUjKwJExYAzoVkhfGRQuYcA/W60n2ErD91xl6X03et677qOX
sFXW2i9kvlW4Vd1mTIyWVYPa8nNXjFhmTxxDG4ArLiwu+hWUtHzJYnyf2ZzPtcle2rbDm91EjHvG
ohw+Gr+FFCrtcp90KLmgIQ9IzLrBfof22j5R9nZPsjFZGBovkMVYZ7yEppRQ06cyek8bdj8jYdLH
5wQeQ+S3tWqo73OIze00NeoUQtHfukM4P9V4a64D+E2b8ar1bHuzvU007hmT7NTFyDu1Z7KDANop
8qNhAS7DSDTQKPuS0dnCoy1ZMxpM8Kz2629+YobnsHIjOmeP7SVOnHHtddM9NtyEjphu9QorhY2w
GxVbSsV7jabSBfK0HU6Ztknq16hm0rj4bFc/7142uS4GgLCNkzn/COu4hOZAysgW1RU+iNf4RUzK
sg90YM4LdkL6R67G8mY0Yv/i5qXxANV4orcUzqYZW3tveq3eW3KG8RJ27XqO82qDXBnXHMLY8AVK
KqThTb10k6x78vxJQ9ycKZnniGb5cyubRtE9QY1CJYZtithFJPjeiQQBQ92PzoEjRzy7Obt6YJeP
IjZv5pFTdi6IF1lURucsRIwsqy9x1TOs+ZBPdblFLpyeWh/vi1hN/LZpsqpnaaBTGCFJaD5niVNa
3yH8HIOXvJPVz4rgeb3wKnhfKLrM19KN7wstJkh1cJvhUBx9Zaudm2Zy02Szf9PZvr2XlnB2PvZP
SzFAvrk6t5Vx1T1MAvVZ0PjOWjBFvMmj/NZ1dXIc+s6586/VZtB7PLlPmBFzY6taUhF6W8jnWufD
gzBt0hjnYE1ROv/EwG6+Gaas/Av3Sa7FURIbEpZU4i1jHtU2G2xQFlsZegnFDjmUgpTqGpF5AofI
GAgGLd6OJTKnOlGcbUb0gjPRyTWcBBMEpY+mhjaT69J8zEHGt35XTx8Fdd9KjpnyVsmMwc1i9rv2
CTUGYH8f1PGqCq0f0hzbb7KsDDiyCfQqO7TEEqc28JE2mQ4ikAT1NV4OF70hLC6s05smxltrRp2D
VVx6tsbeRvOU4jY9Kr3FgwCGVa5/lmQI3VhQDg6pa6P8qR3rnHkyfhCp6SLm668GhkO4gd0b3mfG
2B2F15WXrJjAWWRYX411WPUQrswnN5bZBXk3Ft/RZA1vuJG0eLqAV32We9h1xHe1neY/59BmgHJN
JyraVC1aw3VXpSPDhZ/S41may1mIBG6QnGrv4oH4LwoJk6ML9PScTYZxmKuivTJCmjN5DfGWtqbc
e2Yhl7ZZ+6hKuJEIpSk1V8Juy33AAv8W9jiH+YzabobPE7JOZnzYZY0LsE3ieS8FMsu2T1jlcx9w
mpUzlot2pVEaXNeyoGhTdWnf94Hn3RUBGjoMdtZl4g5qlWbcqd73wSkTWkCbZeYHD5Ot3WOPcm9L
GWQ9mQYWQimDYV47xwfjjT3mbUPi3xWqvFbF13mNVq77ZmajwcdPI/9uFBZrJshM8VpRVtBENA1n
dw3tPEEX27LzYMrAV7Su6SivdSSK0OoVriPfQqWYsAJcv79PWr46Qzs5Km9qX1SreAMDH80blk7y
wKAnOsSJ5X4EGDudmyDFwdRnML9n6t0eYX0JhuZzW3+XsubXZZhxwGyZ0Sww1HxUlW9c/DJ2N7U9
jyhtrbnYl+HE7isMDx/FAWcB2NyDO8lbCXXTWE81ss1zEkKqiON0vNdFfElDu56Xw3AlmcWONzyA
8rc/zN4YXjrhxCe8E1FMuzXVhG+Os7f/RHkwHxI/MHw2XkyqXghJtd3e2X1V/ywboZnyR1GGVWNF
P44CsYd62XYxLg0ihtUlNhBwZ2wi6vGVnQe94uA6oIqYSqC89gk2aCrzDb6jshF2Rfo4zuKp9St5
D+h2OyXOk5e5wdNkj/6efXSAkKm5eMs0qLoKVlkJ7BVG5kJQaKwnNzFWvOtwkqhXlLF0c7LoqlJA
vkczuLC96t4JzXQPeD6t6xZBZWa4zmvkVfpkpb7cRPagN7YXukciSw8ycQqKiBj/By96Z2JG5Rbh
o3GZIGMvBYRCKIiMT9Nuqrcywskow3Pdg+RvNx+jX12NFpQ7w7kqjOY7zLoablrWhecC2/Bi1Y22
/MG7FwZ7PDn65KaMUr9ZusTJ7rwcGVDhVs4ZNnX1qwgqV2+MKY5wEg1k8i2bzOsJ4I+Y2lij3bz4
Q9QaJ0xCB9ymEpHXJw91zhtKMW9VWW2gFuM4bbM285cheo8FnPtL7tuHSef9Qfh6PGsXTyKRZPVN
Epo/6xgLRBjtcXaXFT6HN+dA+s6OaE+oGccgX7oxm9na7R1xmnBFDBa6Crz3dqCWx/yijdpDWhTy
OVN4WmNh2o+XoW2D/ha9WVQHkNGyOt1KR5jPFkxNfp4/dk+M+amAHHuOtxhTFusMR4Y7NPjhEjq8
ZGST0QHMpl04SycYrPNf9UPm1q2/wFo/vFSx3V/yhm8B4JT72kBu1A/4rtQufayYRqroPDRY3yIf
WDoiL1k6n38sMa14WmHhUv4f6s6kOW5ku8L/xXt0JIbEEGF7UXMVh+IsURuERFKY58T46/2h1Lal
kky6I7zx6sV73Y+oQgGZN+895zt7EcSUUmaoM/o91R7lvNTGGaeU07/a+NRb6djyvne97a480Bgb
q4ZyGNqmuiF7wV3VItOv2TQZAdk0pbIsqp6juO5fWM97dK8c5diGuaI/n5qDrKQoAI/7SeCJg7ps
43RakvVUPiOGIZPCGyL7Ow5pYkpPtWSazweCPGjjC9Mu5IVtt8kqBQkQIziMiic1H3iDrKcvm4Wy
f/Ejl7XOGuk1LzBpEkregslibZ57fyqxWHaG0lZzfHHpKWRViuB3AGe3mNeao2Y56tGUWEFsL+A1
DH3jx8coyoY/qAXlaZW0uGt9OKMxyhFAGpI894C3HKMAEtxrFLGFjwYypy+qa+HcQeObYxW0iGSu
qk3jTcNuzMLvbeciJ6uGcc92cNNXsA46vc73Wej5O1YH5zHoyX0Io5ZNiq+4oNwNdlripwet82Ks
6NRWmpsG902RGVe8swQKeF43LGNL6XeFatUjPzv3j2oTauYQBmuVAOoBkJbdZpY/TUtzMsWhDLVN
30qYH6oBrJaTPa2C9OupE6L3ksN4g6DVEIm/8iZOEa6eBK+e5k5Xo1vpePMDEX7LIxTsiwbrpLvo
5pvjuPMjljfdDb1g82LQTFCKIzq1Hz8siv1HfdBpHTqJvcvY0TmdpN2KHpS8S0oCq+efdooFAwkr
ET5p1xZn+75R2TeHwvsexGqxjvrsk5aGHFfRWILEiPVsbemx/ZCJRN9z/gMQMgmaHwlM0AIhyjXU
WUTBVAj3WqTYbFkHeT4CP8JLmHBqyPow4rjNExwnNPUCjOg4jgEnL04bxY8d1YSMsqwYf+6ruWMR
Ds6wp1M+4kkrHkMt+uaYljzGFaZ6dkBrXLkGR3LEfu1l38AC0Rlk3bZjXb9gAHLvmrBKTJYGbphV
edpb49BhXab9hAQ+oD1821tJeR2M2FA0e8KrNcUQ7rAHC6SgjYLhKSIm4lk1fNNhf9HXEpSJY+un
G+TguPfJgtlZYSr2ruak694dkuNUx3UANyv6cmrQBClUqwU5Kjizp8oZn9ic+T0dG8eH36XmI22s
T1Y6w8wSRGhftCaBO6LMEE/HPKpJAzd/TQffvzk97lUAhbSgtoC2Pb/dSZp4yDshcqohfUjm/rWw
CyJUDL3Ch4LGjlUkoFtS9RqrEWmczWNlayjBNRP45Y/lSDfw7Tlo+Ze8j9A0ehVNxSKd1KM99423
Ijbq2U5HFgXGUTogeX0bWSMFvNT6GuRvmjKmmDh2Z9hMFKy3OkAPO/gVxY4A7LNRBArypPtG9gXS
WQeR0wyPp9XNYqS9M6S8j+rIve4aSr7NqUt4OiLR6agizIapfuObpXys53LydLxjP6JZqHreQkw4
5S1mcMy37JL+Jbhj97ZnHPw4nRbiWvClcz+8iFUBQyUcINS0jGQPFpDGC0gi5fVgQJjBcsj/BDav
Aqn3Dd23vzajStwIUYekaGrJs4zGeh8NFspTKa9pjml3hI9weJk7faU59S9Kz8G48KxlV70s6+fU
qhFBwrvA3NYOd6fOtgey5MLOeg41Q7bpK2ntFTSHYz7vOwANIBbPDUmUKcWn1IIWbjcBhuCesPq6
9IO1VswtoqYrmrsE8M11irjhtvM6SMlD2123jOy3LuAMd1E68qtpOOmFmDc+hOvtdehhMGIYiT+g
iwVtEXTnoh6sjTRxvCywS/o4Yqmgh0wAIQaessvUGDKDML0XZxrp2aDm6XKnBWkriP4Zi2vdnHS8
fAoouSd8qiLd3WiN5tw6BLS6C1lRlXfuWIJ8sGR4LaMJccnQ8IioAI96g9uWU7xKo7VkkRpXdMhg
dCZe2r7qmA+tQztCbmTHifuXVk7yIjn1Kk77PLhf9ihnmhsBTiV41mwn5XeYB0CFF/nLwpPOOldR
cAv1dtjSPXJoXkApPT1L6LX0TeFZNA2w7x9wutfbnB7svs1Ld+dWstxXfhbvvapfl7kvLnXRhQ9d
Un5FIhteUtBQlMk4uQTttcNJaHxrSks9pvMw3C0dC50sZmp4RuGVzukAptswPiSGNzwA60uuPY/C
wIaktpUxNO2s64xNYbnXDofqS6/QjFeep+gZbqu8OD3x7/fEf582Ij50aWY4AFUQ45wJtqIaJH/r
a+6xdNjkgcHRDBfzOUQ4tJoSixXh/Qv+YSTteK5uG54wwaobzpmEgxqui8ss0I4j+WdAfWssKgNB
56+6MYrjWBbWnVbMrqnA9a5giM0UCj7coq9UfbAj23t6/wOd5AG/jj/4QIyi5pkhkk/jbBplRBYb
jZrwcGAgunX80HupJ5qGAlrjRjXN97TrvG1gurhbpgHqdh/cjsotv3sW2Z/oxUQLQaKEJ6eJeD00
tX8h8pAyKorcR4unaNf2bfTB0OYPw22StXTh6KaLENKzzkQPosM/oVzDPKI2T9ZTU6qdVoU0IxKs
iFXvf0F1qm6CPAbWhym4W/t5rl06sZ8u24JB4gxgnwBg4d8PgLfc1ELVuz7AnXhahFwEy7fv32j9
dzUeHxm1lfCYHHveKZXip1lXYSU5uvlQHp3EScEEN+amC61kG6FM3NCllBeqp2Rzg1E+DxBLNknQ
PxMUwVHr70YFcOZxDD8SSfw+BeVzsQzpDoJWPt2ZSAKtaYnBp7aOfdjET2Sr+dvYitrHxsEtDurI
uM2GeBXXAN0L3/YODrMDUP+x0q70drIP7ry7mmjBVr5pNy8tEswVOP/8Iz3Dr3Ens57BFRxnbD6j
KfFBnM0KZ9lcH8CHOSanscGpsRKNSfkcUTsu+GR4SWGq7806/ZpHcbLCFkD7bh4Svf9L/r5ouNyo
+V3hETSdcxEUGzkrmWCKdpoSCsySrx4eOIDbQXbtz2OI96/3u+qL67lSesiPUPy6Z2oDPLUojbvU
OJqFHwu6Uy/0+PNtUcbWTd278qIHjbyHetbR2Wenef/qfxDFuYLZLE+HITzPss9etQi/2ZTmvGqD
r4OFVTZt0tF2r1svpTOqugNt6+TSzawI+pgqQbRV1a0MPcxPeaa9DEX54GLfu0Xi8tGd+cMvoaN3
4EeYdXuQYH8dH9dFWEjRN/YxStHDnRSU0RCjfoCs9Az6rPlA+PGHX4I1x0EpMO8XaAZ+vd5INWVl
DB+PpFfEO0muBAqrqLjP0oLZQGbieahB7qeu6x2kJZ2PJri/607oxelSIPYS3vw+/Hp9rdZhnJeu
PCaabPdYR4Jd7qb5SzUjg/VYrvRxFgcyN3zqJje/Mkb3ofEIFouT3t4FxFR8ILf+08PBB6JzZ+s2
8RD22S9gYjoozdK2jzSC7Mc6LgIk32YcbEpUKpyObee7ZdGkDmteEH/Udm2VqK0ehjm0YANvHEDR
6Fsvgv5lmOYZ+vsP7x9+sHnVsHg2DBaN882txICqBabjHsHwzI3U2mIu0mYcwebJX6Inw8upAjut
V8Mw0e9+/wP8QeHA5orOV+rIbOmxzZ/wp1VfDYXlRUTaHd0uHu+aYA4AiBPcPmNyUUilLrIAboEO
/3gXDUO6TWx6gR88N3/Y41Gl66wglmERVnQuvEHLXNgTi/qNJ9sDYtGcIc+gtmD8mLFp0/TZHXrQ
KjW9BCZc1rAxotvETtoLswgBu6d1AqTDaL62AU5N7JkR3FC9PdoaZ/SKuFVighz6Tu/fuj/sS1Rk
s2CB1wVhxtmjheef4wlQyJtmXuNogzi3LQaFC6u051J3niW18sNt+vRnf62HuJxt08OcdfxI5379
wcKYI9UEauJm4NCytWVbPupYzfY9+M3bJtc5eSCdI2MkCXlc2c8TOBAdPVQKjuJmDEN8mFqcOs0i
CdKn0bLuMaYNi1KGTbU4zZpPk2p8sjSVeo7g9PnLpcXCCxd6eKiGlq6wWTgWrGVIe35cXfQCAdSq
JZYqWvRBnj3lp+b1OEv3heCUWk3jdMFRVy0YBLZ34eQVzz+O2T+GmmU86qspiYxdXUTj0Qvy/uX9
H+sPL5pHSWU7Eh09OPqzHyvr7KS2Bn4sK+rtS5mLZAe3vfscWoYO0THprsMi1DfTWGYQpZr8AxHs
ny5PTYBKCB0PL/pZbRB4KR2Nvo9uGi3UDoBqkh/NA3wL9a7sC/ie8OGqDbr8l5J08Jv3v731+/W9
WQqIY8pE32m6Z8q2sfM9EA1BesPay1NxalNVHjUEqXEcinXXKp9P7Qvi5vRrsOn5d712oZ/nVcrB
rpiFGSUqR4KOXEl4ApB01CNto+MoJepwMRojJ0TLDzm5Y8Gs9lo00HasRLQN2oh/pJME0C4heRTT
gnWgvve1Yfw0cTYndIdEKR28p0dLJZIDH0rLciaIBcFmC2T9vPT5pHBUnvq+be2LYZm3OULAuUWs
Id1+IfkKJU8VZJ9D0VWPChrSweZAfvFDmmbP83NyxBFORbMY8/27+/vNZdZjcI/sWfL+2yGtk42Z
97VMbjRMX6CtUUPflLoZ7Jm66KTVTuO3HJMt++8YrrUxsD54uOYf79cVgTPi7ClybewSyJh/XREC
HI2oL9LiJhh849JK6JcswgjYO47GuT2WCg8yDBIy90BxYH5Q/f1e49DfE5R/0GR5wqTx69VtlVZT
inmIUs+mkZaGNm3+1BXXDllBS0eZeODev99nyYhU2nQhkEa67FeewVp49jSHCcGgmdvGtzJK62Ub
BpaJG7WArF0wUziVWdjLSuLwdIVOWtXLtJLqps5bbe2U2d+DfaN2xCZpPHi1A7jK0EHcd6pPWTiH
ix7eth9E09PJBMZBTDy8/y3cc7EbYljHwR1Hqc5S/ttC7sDKLOGetkdi0spLrzaqC2lVIG4b636k
Y7eg85GQHtJB1YcdlLy0SfVY67RmUPgEoK2p5PcMjuMVvCEk64U/hCvGFeCTvOyqiPPPMUmj9KT1
ZPpC46nY4qWm4Wu61YMbmv1b4unjzen1YRDLpNeOpruBRfwVen21AZ1OfkYyyOFLNhnGpwQvLngm
nxlpRFCEcGs+oVuZO2Os4HgCFthUfWevsh68CQRO7+hDBYV42ROxNUp3zdyy1HkwvWxb9GhTXKRx
X5lAWOhZx1SRogDUe3uqj/NY9DeuA8VxmsonDR/JJce5et3Jtr3PLFatSR4Na4ohbUzeAhmg9jUD
hXjbIFBa2xkdKFcpvd0mtQiBCdPYLg2VfA89LX88DY4CVRrwhIaueDTyUlzEEDsuFRK+Fzc09Oco
8509+uqKtGtWurySRvTBU3z+3nCktRyd0bBpozD9rUMgvT4fY70WR8CErGJDy04r52XPktna6+Lh
xw74f209vope6qIpvqt/nf/yS1GOpCWG6mSh/e//tn0rrr9mb835v/TL/6f599M/Dt6K2Rb8y3+Z
+3lqvG3f6vHurWnTH3//73/zf/sP/zYaP4zl27/9y0vBij//tSAqcrzFpwvsX//tX07Gsf/ZoHzL
R6t/+/d/WJOl8RdOLxtPssS8QplOCfjDmizFX5w3BTs6Z2wA/7Pp5m9rsmH/RdPD8PA0exS07Pn/
ZU02rL8w6fDOYwGdf3W24X9gTeYSPy/7poOBlCtT0bAUcp2zhdexINkDOmxWcCmsK93J4gPa1w9O
179dZG7ossAzfGJ3M0/twp+OB2QGJporzXrVYwo8wLmXu6oa/f37a+HZu2ByLzkBuS43k0tIdy61
f7pK7DZagcy4hu3pi4vBjh5CSVRnhL55Uwjto3jpsw3zx+Xc2SGOBEKwcf56OUCGfjuosV75ZQKF
Y2RCMwgE7ho91mWsj9EBqRqT4dbMt+9/0bNS4e8rW5aus2HiHjnbuebR71iagitjvbiMGRbtVUK2
j6HMbjXBzCATytxxYBv3MWjKD06bZzvO6eqsNYTE2hZHB3lWKHQQHPws5epeRXRbD3pv1ZWiWYau
Cg7vf9HfL8V5cj6ezM/5/Az9eosjEg7TrnHBY1WQuwoRlBs0xPVSqnH8YCHFd3P+JkjH44APpHB2
6//mW8qK3G+ayM0JiGP+D5euzQ6R4QT3kR7a+Vrz8/qLyxG+WUQVwJDl6PbtPpVt9iWtYCx1Muxj
EJSxvKKX5D/hjw2LVQ0c8DuFjIlMM3c+D1VSrKxy1p4a7jI2iFuJalPg9Sn8DNZK2TSfcTQGn6zO
775oehg9+Jg7TDiUU6svAaGRtWyAGEN26YdEHnL8gAzrBvW0JHNSXMICZBhiT766zHp/FhETVzEz
HLXpSRqG/uJPc++m80DT878atDu70PC+E+4MSRKFxBivoPwFahHmto/7SHeWZee5V15sBl/9tvae
VGP4352C/MVlm5b5K5GCFXbzuJH6iulO9hiF6USSCkGcxEi002M0SfdhlKP1GILIA8Du27gtlAPP
hOwxS3sGKje+GCNNJvIqmUHvCtSh18AliVvMYkfHpaJCWq2BrQVEYKBikfwROaiFCXB1idixUSup
bLzEhLE3LXosEX1tnAmLlG+HolrIHjpB6yFlWBEhOb7QCw7eBJCqKzighE2Kugo/CxlHD6KPGmfO
srMfJmX2UEZiJ311o54EYlwV4qqPyWc14hEckyOg9gT4C5fTFIbHWnnikJWG1S4sbZbH1zUweGSq
krwr8MEaUHBT9Ruo2TTox0In2aurx1UrQZhXWUpApUm/lwTl2HsFXNncRkJApxNGiISsSOvqSiMr
GORhOuXIDck/fiIC1I7XfCffW+MrqBkYxnn0tSwTy4Y8PjBEM1Xtb/Sxg5c5EiEIHapzmnWnU+OI
KDAmgtisYhX4lbPS0BsmOxr0ZAdlMQEnwziBOW31dOQY0NvDdxTSxVPax+NXdG/dJ03UjJDzfJII
qV23qZYDffbPLir98USmoynndMYnpyTn2gRClG2iQtn7rqzdLU7W7lvrKvOunlM8QFV135Vq4CL1
emOtqjAXt0arN/kHs4Dzyp8VzKNYZjPGTEOi9fmMooS3YSrgeqsRqVvckJIwYh31HvO5rdcO6xgi
ZyO5Ha3NBPm+rF5684IcH2ic19K7HLIj+MbVaF65/oMa16kBVKdJfyzy/6jS+t+VUcfyLb9X9dub
uvpa/n+opUy2yv+5lrr4On1NwkZ9/bUAm/9PPwoq1/kLZze9K3ripDdRJv1nQWXZf+H7MTA62S5H
IQrj/yqopPyLASiubiote+5Q8uf+Zr1Y4i9p452lZKcnxlnK+icFFX/n54JqZiwYkqUWERr9PGaf
v+5ZeQiyXSmy+gpCcglyGPzkTS/J+oH+rBkXSmbymvZRFC1+ukk3P07qP3NLzvbKH9edP7yDc95h
//r1uhGWeb/3BX4dm9ABgSNhA6gT0UWf2h9sy2eF1ulSHiM0g54ltmf9rHmYTcjqW0XccVf2ziE1
2ydPTWpjTBOmfEP7oO10ti//uBrNAc8GzQKR56xC7SsmzLEawEM4HbNBRyd3AqHDinSZaFP2fb8E
SEX7zS7u37+jf/iajOEYvTDEpgv5W/XR6+ac58wv6RIyHza2+N7a2biO4klfN2lT7P759by5hT/3
1tiL57Lvp/q1xrUQ+gky5ixMswFGmxY7K3b27taG7edtYAir7IOn5qwy5+Yyo8U1bfDA8uKcN+4b
W+G26mW96YgjIqsFf4Jb6B+5D8+vYnPIERwu5sKcd+PcSczYFRh07fQb6ab22i1VuKvi2P5nhSmP
iHAMvhDYBpsp2XkHK7QaLccJP8zgzBxtXjpEn+ISov6CXrf44LBx/rrNF4NMxHQe4/3v82QVopTx
bXgQwkdNYYfDI1upszEj4/n9p+IP9w68jYXA7XTYO82mfnoqSjPO8wj63UbznCPchRowszd88Oj9
8SKcT1m3qH5Ztn599HiiQS80ikBB03oxLTI1gsl3P1g2/nTLkAZwt1gVcWaeXcQM/dQOXL6J7trd
tpwmML9ecZlisdy8f8/mN+WnXia+kXlKhw7Bhl3FTOVsDbaNsYcUnSKIWqPN/uCVOfvjJvoBdhZB
+cDAi9/+7I/3TMIJ/sqSDb2+BjZKJPz6zrRjXd0WFG3RblBoWahK/VhCIyKW8glVmT/cvf8dz/aZ
+WMwBzqRXPiGuKh+/ck0iJ3uBNp3o0SfMNsq/AoCVQS4iritxC13Th6aX4YOktc/e/RPV2bZN0CZ
6SDNzufDchrNtJ7adINaON2OiPc3Y0yucM3D9fDPvyTLBrv83JbWTxOJnx5+5PK5idGDiNaQ4Ewt
aOoXDortHpn3tJ2MrL1LKrf9YNz7pzs7v9I26zCDDmvekH66qB8bglSTmqZBpEMQbR2lPnXkEexz
W5HMNwRGSxxYV5hv//DLsv5ygqC34/J7UkScXdcQRZ6IMtvAalT3mu0gTwvz/LlJ+2rbNy22RyO1
Pr1/0bM335T0Y5A8cPA1Tebq5vzPf/qyVm9YTu7p2aYadeSUyu3TldlHZvfBW3P28v+4DlUWxmze
fEqtX68TRr7XNwQOb0Qb+Fcy6ayb0nAkasWx+ODtP//9wPnZSGgYpXAveULnff3nrxSSqokBnKwq
tVRfouP7N2wWwPAHflpeSFulJUFHAt+bjavem7/rTxcwW0snAMywtp0KUR2KccoPXZgI7Pugtcih
SDpSGFADQmd1ithAcp/TLADBPuj5otcDMiZTsoQ4G1qkkjvlGHmLIQ68z5aSFjL2sJnmBMaGgULn
yiDgWExE5mIqKueZMU17SAnmCZamOwzAis2GPFqzi55KgE0c17U828U9ieLLJqnNQzvVjbzCya0x
zsXzgdc1QomYaXb/yQkcoo2i0gjv8sQDW9NI7dkfRutaj5V8ISrKeeUwnd8ym2mhZSMbfo4SSXuA
EBwY+2BWZY1EnMS3ZdgEhKaUWJ6jla2KcafCoiFXMsDgvM5QOt3zEvvXbVNPdBulqzp8Pwn0bXsy
Z65zZ3nLxuyCvVSNxAmnqwjAn07A0w5UMyx/LfEcYCMMhNaDWw32UuoBt58zwmDt8lNgiONp4zdE
1cbnMDUBJI65nqULMCmkalqBUR3oZyA1Q+Ij4cK0bVEShRmAuHeYOH8OIr/JyAsW6W3l2CWuqIrI
tkCSAYkSTE7+zld2YC4qdwZI11Uzk3TRLLU71ECwsqlzCiJxe6d58BMmaXkEzGjljcABFmkt0KjL
xI6Hnc8/QOHkKW+bmiQEUZ9k6d4JNJC+la20ZNOnbvnqM4w4oqIVxsYcYcHstaRMr0pgtOYNuQz9
DY4Yok/6AD34ZRtN+cDKjxFh0Y91nu8st9Vfp8guGgIEiDQYRsP8YuhRT0BIiFYJ/i/iXTzCeUig
A4ORcgUolmBMMm4IpkgkiZ34MLqeuE/XJKTeRq971yVJTR4wwZ/fGS+ULjY0N8+XIfXjs+9EhbGn
NVTGN7gkh4vKSj1tizSZWs+QQ/ZM0aeb20KP4maDz1ZrdmlgQc4d+zCjV2U3fMLB7Ov1aBIEP1Pl
fWebmQoTXNBW5PmpKZQQW+20WtVFpQkynaWBYyOr2heiAnQyQei+5cvB7IyL0jZCZ1PqbaIz6m3F
LR8nRrYumpaxHo1ZjXjmig6XY09Em9UVMmFCQUqkKYNj98cpR0+zpDs5fiFVqETTEjhDs7b8XDWX
iT+qcqtFFRlfGrnxtGlGp1llumyKdYD6NduY2Jr8PYEvSuGMmprglpw231qN6EEO3IkxXidUqRfk
vXqkJBStXjG+kumj7nsSrmbeiPzg6yOP3GyIlMupYIAFhNjrWVLM0AEqT0QifHUyZruFhqqZ0Zhq
KoxcuOV8zhCWyRzIapBP454vyfSbhAq+1TXRCKusSqW1YVZuGMsqJSpxmw22yh88q2gxR5aJctfW
1OEzEsrV+1VYE+GzCFOn/8zUyZmW0gzbTzpeT/nYy9J5iiIwDpvETMZXzVO0hCZLKGvfoNtomPIN
RbMgYa05DJUjJY0XSHc+lH21D0SKdL5w7PpTyvqWrDpYc6+RL3NzNcrU1nCTJXbLyoX3dOlUrQVf
uy2R7rrpNH2yqPwv80rQApe5EbqQjPFzkl0gAmvTi6xQy9yu0m09jlq4ll0x4umzNSvYeGXYfu+7
QdOXIKCTa9+QWLtlk05vZZXzr1lGK59KPdPbpVvkPAJlYxKd5jgq/Np5YXHXORHZIDrJQwwgC8Qn
F4k9s/QKwlpHXLN2TXxhCdZpi8WdtIrA97QOo2mUcVYmet1b2Lpft4upZKZ8aMhX2GXuoPtrBEt4
TZGVi3SZGHa+V/3pUWuyCu34hNclSNrOWBlE74DaJrKoXaVh5htrI7T8G9tq0pcuGUhuGunArSoR
oxytpgQ6E6ZqZbJLKfnWCltzLgMpefKZ4HneWqug6RA5M5Xdmt8i5H8f8yhcunVH+m/atzao7Kgj
90JnH7B3euUlcourUoccUmB3govREL05jaxHmSJ1om8gyidZTOyAM0gfb3yefy5rWQNYxJW/lK3S
kGx46LU6FX0DsP/KWaEnWs4XxwyAzyIH7bA1p5R40oIKA7BydYeQn1DnIhXkblK6gDybmyzLPPWh
5zscarmzzOWvGkoFPhNB1hfYp7py6xHdMc/Cu4OPq+2ypRxjYSjWrfS+5oQDw7Pw1nmWvUKkAPpR
4IPkJ3+VbTPd90by3XCdTSiMnRm592nVFsiVxWcICStwSp/JGNmhp7+TQVEsRdU0i9GN4ysT5wJI
fxKZ3ZRxNA5D1rbqsgrr8WKcEyyLiFdrZJdbOlKDxNirgzXDVuzE2ULDK5YA1OrLmkjKJ6w34cpK
shswH8Eaf5K/SJoaUkQXoVEn+40cBuJ+SX1qDvHI79TmwUYrp3Gv4084Ei3SXfZjOTXrJmThWzbx
HOQuJO88WYLVm1np5avdZHMjlG7vQ40W5pA5o7toMk53WGXTcdvYOv51MGYvzVQYE9+dZ21BQodx
P5EZc2dlJnVs5I0PEYHsULlLGl4xX2QLmEVsdS+Pj1YFE8Vq9C9e4juXyH67I5kOUbCkvxJ9DsoA
z56O8vNYEXyhUU/1WbTslbJeKzujQQJj1BcPNVAZ1AtWggW478avviSFZ5R3doviIelwB2lkzxEy
fK9cQRJaMxh3kEglkxd/rPZ2Zzp3Du19/ISNvULdPK4F5HQmPGI1DexKQM0KREc62c/ruhb1N59S
Nl6iFPTHpZvM3t6J5vpaJiZMlJz/0FYY3IwvZmOKS3zFBHgjecl2ldPwNhR9c4NLwSB6RFXX+NHM
bzGitv5JZWNvrtEM1ERHtEUaL0sBv2YymuEwDtNbIZ12XfSauvLpAGBez+SnLhDRK35i+dZ0riI0
PKGwaMPiaWCsdju4tEPmV4THLRZA47oAajAKSBMru+javddb4rsbRF8GLzdvDUKM0YyMO8qjdK1r
uvZdI1fksvD8ao5i/xy6Vf0JXBwJ16066BXDsEUCUYFlKpjq6z7J9zFBsUvc7dVtpXpyYdyW6KA+
8DJyRdzv3YCWmMEvwBjsx+tEOdMas16zwmI1lQuYTbhmPKtcJUAe1qZFRE4E+XEp8Mi9IWkgXLok
TFsXlcGF9fzOjvqdJ6ajqxHEu8Dj7xwqWRAhEfi2/daEY842Cm4WmRmIyq8wmdNuadZFv6YqFQub
WIDNaHfMTnqBDcAwN72PoNkyImONqDAlUbQmM8sFOLpHPWWGS5Qs5cGfMl5ZvRw2FdFmq661vVXS
+hIfeSMM/Pm+vfTCgemMndyXRQOsJCi98VAJXKyeL3Bf937+bBIY9KAw0ly6MbH0CCPtm7gFg5OT
g3eHHY8Yb47ypNZESmeGRHV7jCaI+ZC0eKgyt08uLfa0hVOX7aFEzrklI6hf2ROhc8NosqRIxSuH
QkTuNDIMEqLb1m7XjUu+c7gZJtiuDAIb6hUFlr9xsiUO2pGw06zNDyAQmyNFIPPWLGsIt5E2P1zG
JI3iWmuWY5vKmxhT85NVNoO5MJOoquawJ5IjSrz8uAuhfY3dWK6zlA19M01GcKSbO5Eca46Zs/Di
Dnu9UYysGtR4h55faRN6eqgtKQJL3qPR2aiO5uyizlO4/v1khOlS2po/kQjRh5xDeqwbsaQg30Gs
ki+ZXnTRRUaqvbk3bbbTK2AQShF3W3X9pZm5NoZ1ZExULHpurmn/Vs3arQrqDzdhy4sKTX+wQo1g
T5fCdlE5YRAscT5PPUgFMWWbKarg3MCTMcY5pAFKOd+hje1YHYlkK6hdMzsXZFxW7ewnJ6fMc+vw
wcbu2t5Wwirh7mpvZSmA146kBJiNJ5ZNK7WNaRYZHyNQjx41zltVeC0Rv7AV7tDWNOsiasSxt+Ln
1tQtotWSYwTsBYt9qLNJU5YtncAl6bZnctouarcksQ2jbYtBPwRrErQUXIsx8IbnKWkxQgoUh9uh
H5PNwCbLRLLGEN25Jft4xfk1jzQNstK80No0PMJAd/Z5qF/lU/wp0LDrhQGG+9yM1zbFzyENS+fK
EVVw2Wl5ew+Vxc231jS1CGOzkJgIHJ9dUufkfNpltMQGGDU3MOLKy6i1kjUvj3GDssy113YJXmJT
iwBDLUaAy8hq7GsUnSX5QPWu0yjtpjgQZLBEQXDDiYqYh6Im+5hbvCPtdATx06fxMSZ4tC6bYms6
o/5Ccsz4JM0k5FRicDqS+Jfn7CNYLqxPzoo+ULnhDjwxaxAVKUSMEMlDQVa7mbwksxY9nEGT2Stc
5jXvQr6nNHS2Zl1ZJHfIAhV1HF7WsftiTLMgw/CurHzMjMWQdkFChlrU7ZxI+5SPePgjXeuuXd8V
N4CA8nWDqxUj7vDNHqrsWOoyO+IkGF55sp7otIEeIAmzgNvjhJdd79kHwGLwLMPujunI3ukjDTlC
EXBvyWUTez0PxmWUF88o3ed9UwxbHQkCMwxdn259h/YS+tIJvVrgejszaO0lMIpimeeZ8YniIXpQ
aUsaUo11d1iEmgrKdVz7ab/1miF4cDPC1ucXOyBD1kcYPlf2X9gZyQLNYQO4rKVUUhkFhkMUTaoH
x0Hk/t6t7epzX1YiXMaDyh/BcwpuK4lcS1RZ/j0pmx08I/s/2DuP5Uq6M7u+iqLnyUhvBhp0upvX
w7tJBoAC0tuT/um1rih1/2S0giGNFWQw+JNVhQJumu/sb++1Y/KlVmWZQatQ2JJqNEcTwJeelXqV
F5csu515U8Uqfx7lt1u2/bFszH7x5nL6XAWUl5GxPymoIQMEk7uGBp4uq4GrYQOe29Aml5ZNdPti
ioyZLRtr6W5QI94/ZiU/wa2bf7IpyyJoC6/i1tBAg1Es5ezUJl6khUVotWbm+Gmd/kahSun7OffV
0i7Pct/TdGeAAEMHrt+pGtdfh8QBbaHBtyDhltpf1rLGFOOaVPi62yArA5xXYw2TSSY7YtWVfI01
nsm+nTU/Zk5xX6sk0tm0JLs6ALqR7rvydnYgC7++U/xYMY0zRFziyomnHbpaXQXVvBq4MCScELwt
+g/ZTnQ/r9byRxVdce5ie32ZjUl+1JTWckcEozkgpeGUlFsThSNt30w7DFPAlba8tq+02dXUqg3a
MU41GonTdKMC1qpV+ltGm3Bhm2+S39YSYDRnSy2GT34cxNIF9ihXWoTqgJfg0/eqjKokwrTqEurG
pql+MU1UBayjObyMdsKoT5DKPAhhma96WlDCmY6dOfHEtsc+gDRm8HkmWGn8aQM1aAGgSEIukHKm
X6CqzioF5JKLS7OmMxxy5eeoMVF6Wds3d/FqmwtbIVWRGZ4UJferbV0nf1Y2+TsTPNR9yMl4VhTc
4jOUlrF6yh25ZAhtZXUEqkVjrW+Sz04Cnh4g3KzOFg/zkmMfVuEqUGzfTvCeyVwov5ItUzm0iQHi
mSGsznSpQ0gTCEsldp96mXLBfMf8hd1Gb3ZICsWt1Ds35aC0rPY3Zk88+/FUla2XoDedyQvbp3xd
OQbnucVT3QbqdudoW6FgPhPKnQTUgipsZwSNPnc9RwlmuWU4OUtCdRLFzOzE0Ho5Fao5h5M0nnT6
/AqOKCT4N83rCYrjatDH7Q3BZqJAeRYDlAxtpFMXt80UWgU5EH6dQcEwL/Bt1ywyH3BF+R2Te+9Y
9MDOW8rqg9z9rV6qZJsIQGD0dPoqoPAOnXYrxFmTeg9RBg7sRg/VyPSoGKcGdreDDmWN9wmvKgkh
ZuGAp/OoXSiLt8qCGbS0pGNXrlYeWP3Qtm6fNv1TWQpq7M1FQqmy6Gf+mm7oZXfEoIddvsgmFG2t
zAzfacz2KucyL01ihTyRTM2hna7LUCv8Aqdtyog1VR+ZBv4NLW2qJm+ZRuNXaxPjrXN0urpF61DA
rZTGZEEea0bD0zR5PevQnhRCC1oHnN7aKo/q7uSLP9H8bVKVUTOeRPJuqIP9K7QF45Nc1UuoSVUH
dxZ87rpbnSLl4LcKUwckz0IQnofatUFjzmi2IEIGCpsA+WYhUDXtDSAoOKTWlGQjMrub8Scjaw2O
TdbRHQp5XE/G0CnDTQRD3YjbLZkClK3pmqzrYnuS7SwVxB1Jsv0OLy96tVEtAGmYirjta9BmO5IZ
Trevxy4xUPxK/T6l6k/bE5IrNzeZ0npnENUEc7d0BDCURiqsO8vItd6TELdKfDQNOykQarfyLTU1
ZbfUzPXDsjLjme/ZeczsFYB1p2qJ6S2Z0/eHepz4tkgHr7w4LVxMR7ovC4DOxaC/yV3KqX7gGPsG
1lkCIBObqumry2g+2rm68kclWCsAbijDCnc4pymvdNTxJZN7mBWmM9T612pjoLjYEiizM1Ov1rk5
cY6fRRnx9LXbRLBjJuqgn4YWiRySnNHg0tOQvrAkiVQW1KJ16hG+msaXoPwF/uZGGc4vU6okbE8G
YCg2z4wXS+nuksKEf3t0hDJUvDOJvs5NQBsmxZfuZLBGHKKs4MdqerAgGimJmsYoCXdPoC9Xby7I
ft7ZvIxJrCG7c5puC47sqkyixi9Z6tAR6GwFYJKRtldYIcz2fi3TUua3vayBG2pEVb2CQoKq1dwa
NHdJ0U2WNzpLGfusDIXimeh6LZ25sj35RdGNTNw8rPnOB2hW4O7KzDoIzHmKNxW3IuKSbXEeHyti
2l0Qd2WyvE1YADd6vQs7R3nkqOnDdEGhVqU5TwNk3AkYaR+3vePr+mTuCA5ozeug5zPzB8n0jMs/
r1WYX3KTUtk2pxvEDuhPQdcqbfPJe2TUjnRjNH8mJemodrMzzmnrLLF0QRLGwKCJhOP90jLVEi8U
NhGOvtCSV7SDPr7gxK0YdpvVoZVekykTNzj3SHRMs8dHJpiS7qfQBaA4i/ZuI2iXSnPeoZqySC06
RTBfGXpNqSTfUXow63x8zXPkEQ/mkU6wjddi5ktSPkC8XNdNO0xVrMOCtW6nreuW3uIGdhLbA9qV
oT9pRgurh4Kx5WeYDPmh1XuzcadsBS4bl/HyqpKw0o9gG8g+xcpSOyc9R7jhoZZaB9y9ixVk02RN
hPKIttyNRZM8oPsCLnHTRUhSKLexSvlqYicO1xRpO/rtGkclx4Fl5i0GY5CcdGPSxzsdTaHYmVYs
Qf+UdMrL2tpcP8FikjbiUpJNJDMcAoGe5NZvPo8KijPahoOJ1eZ14UIjMXV/4jqRD+SqOkC/plV0
vP4LRuxZMdmGy0MOMbfRahvsXKJltVfGyVJFLbfkEMZL1dYRHQbLL2N3pvOOofPwPpsXbfnI6qSl
uLFV5MXH11E3QQEGETtmB8oJnjhVueUflZ6SlUFnpTIWLVMSPGBvrDUYXnPtsT9PH+3txgnEagpr
jWqavodw07XpD/6iW1Fxo4lHYhokV/XVUh43HXozNW7AQLcEDteuqU3QUANlwGKnbpVFc7VFFNBX
sCVTT210ebY356Hw4xpw6VEo26a7Qt60u0pv9Ucqza3CU+Rq/OMkmJiOG5uzzF3pqb9rtWnm/Uu7
x6POYfjTUNMmP6/plvxqMnhul/RlKz1QjW0+0Myt8NsG4Tjvq0YU7g45dX5cHbUzD61tdtvRgXad
RNPKGfI0SqlehOUgN85O06yx4bVSbjOlipRBGNeuyMrHJbEmJRTaKkPeU0lVOzdJiMM02FEnj8c/
aGScwLc+3ezd0iOQQM6l6vgSp2PCUZ4rbfKMctMpW8IJqnuCq/u6ibi/MIeBMKoEDau7rq1tOBDy
as6nkdJMycMrZLxnWia1nFw5ygYKKCHZtTnKck92efzN6DIeK2DWrbtB6loPdt+nU7gkevqYdA5v
ZqeWmR+loUIl7ySMrGJjOg3qLimeO5HT+Qd4vWdIGWWKCJc6xZlMO9ESFHjb/rTJgj8+SeU4AxWn
GBnubDOW6iPP1EK9cCpmKyIj1Q7c6IoWGsNS/cqJI6e+PThGyWVJLWbYqzIueHoYKmVfrHlZhgRq
K+qj4Si1icsvr6aIIgD+qmabWJtx0uqcoT8fJmsh5g5sxluaDqq1lWVd81jjuJ2DHso0+4811kbw
NjMW706tk7eqtuk8cSqW1K7DpTodIRBwzLZQIHQIy0ZRciwfRUm/r5F/OMvWKn7f1c5HVY3MLjLV
cWkArlbm+iPCVZXcdHE2XxIIXMzAMJvk40BKHcSevpk/xiYbFDfyz7kfy/04UMg+LnikN62T6c+2
qsOwsjP1NVlbvvRqy48s8gp2aKKQjxXUR275eeneIVZZHKAndGvGwjl9VuAT1RcnZW/NfqBYd3wk
bG9iLlozUFAOLd+RxBZlQ2myyo8bY/XSbnOkYKwqKzn1fCNM15oucpdhuCd5bKRtesD2rFW7jQ5H
DPkrYL3dAk4QqPWmoPrPcssJWvBOJFoN5fBDnSs2wOw+kNlRe9BRWHFKQA/GcntuCNTKByfX7fmg
xxxA95ttMR0mFKn0ASys0Q6EDQnmcNt/Y/rMkUd1s0HtW2QLbpgsgA4H6UBPWmDos1DcCdZbNJdz
/SMLFTdjip2TjswuzWHmtS2taeBrm2g2EibknlL3U8z5OWHAG/nEJrCUTUSpmI6UajBkhw27W8Gd
2jGAx7W+FkFJG7nk8ZCT3+IuvoVli3pLDhWr7q/VSZYiAJfUIGiJ4TZ/ocJUAZFWUzlnvBzbEAcr
rOOed++Das61DTKXyc2X1q42YU5pqeNmDg9z3v6tNt+VU8sVCWiqU94Fk9tTD33mQZMpO49MzP+F
J8glS7yxNqPxh7yohoeeCYe9WVxJP9tq1npEQ4+xL+tOfWEoKQy/5LVe+XAu4me9UdfC52d9O5Bu
BQ+HWzvT6A1arK+BXahrHI3LBCeuJDBc7VHpSRDA2ctSERVcb68W2/fVzQUiUoCpAyjvIJcQzKpS
SYvHDBgGK36aRGcglKax9eE2m0b5CQYkHu4NAsinOOMkchrhliQe0D+D85ykZssNZ2981MWiDP5t
mIz3XauzQuiYIadQhQ5vPhp571xHim1nrOK6eACyuwLFa8sWMlbZQh9l39hqbK7N+alQ5HXepfJg
GIde0u04knAHOhAlZv6KjDc48ZmeaDAFkaVBK1K2ub0WHci9cEs4yV+mkv56n+YLCFgsSLTcI6hU
tcEoLQqS62rYDRC3mjBkGffWzhpj0X20XUGDnVfVKBKgSRF03rAEiI8lnazR4+fIwj63mhvdbuyo
OI5z/Zv8aP608elRMVisqqSfDJN7NoB6bl3WMiEZ4Jhrg6JLyhazjBFX4y6jKkvb0/prmWQrDBSg
QFtnIp4M2NZXZ+tFzr4UGLO7LBWoTKPMm8+E2vcmqnH8ON5atmO+m3iTdge1lJDFtw5b5GFLUl3+
iJVUKCciWKOxotjFdIfpLUD3F2tTEYlPGIyXhQQOQc0XK62YRFxnTpahdOnGFbo3WxXnL0XNqvmY
bmvluBPs9TEcLZPKgHZp1OmwFBzzAmvc0jkyeadNFUYbXf2JSTBBxky1onUNqjXyvRiQ4zwgDPm3
Vs4sSIEtGFiVF7M3jzPD2p/CmMvezzpKK9yy6+HBjdQkG48Ax+fSXSl7pz1vMYufCYuExjqCc9gB
YL/6M/SS9ocFJxpMD3i4i3CpjO0OMasfAZFvlullhjEf+qVXx4dZnZZ3Vn9pGcCLpnFbTFOHhC+n
+q8oCkm6cEuVz2KZ5OfUMOcPa8iMOwrXafSRprH9wsxECGXWLJCas2FU9xNQr1svSDezH4AqmPqE
PNYVEiqrMzdTleXX7PNbIwBd3GKfJ4Y6B/XCXvycc17nFzYlMRg2G/oHYxh6QwMvvjohdTI4YbeB
CMjNXL0BBeC/Spz6sF73Nr31UDCXlFVE342yV9D1kwUKP3DztFpSbodg5BWKrjWbzC1eMXjcpDvR
RrUlg7uGIVokXleNgudfV2x0P6ljPoJQMvQyaFH96TbVVCxKhJgHz561JPdMSdVqZmqLxzDwi8SK
5CQpOM8a4I7dLO0W54Rr21T8pKD6J2Jojt8QGgRTQQGwPSCb1P8xDUhBgkdLw9EYAEEAi1tAssPW
RZxG6WiGBZjSuRLdDj3tDLPRrVHpjOp2FGlTDDcmKOOERMk7S9J1Imy8qrRXsq23ZvW4lbGOYj+3
zTFBYq98WZ/0B0ciAONVulMf+fRzh3xiwnu7gPr8JysEDPBGYaalEqDeWq/MHNihFmq15NUZ8qCX
TUzh3lZ2FX9rpjkkrI3P6ZjrCnNvrWYxVvyR371PQd4bO6lmmemV6thezUHeTM/Cf2jzxxel4is5
0GyKLYrO8qTeZp8PlKA7zUSqO1+2y/TbtsRSMU6PxaslVqb8vhRUwIucraaX97l6BgwsfVM52z3j
jQDlHetF+UuMrBbh0NkIdfNi8JEJY10vEHgc9YoFFx2avxbBcIC1hYsjQGSuakjm3TIxAfp13cwf
I3KE6tlMTg9DO5eG21h2lyCsa2pLAr0ygP1y4Lmbktq8DOwuX7iM8cXM+dxwEEyWLnE7VrMICFWv
Pel63yisibkkebQPM0dss6nvNGdYEK5K+zbSlJgG3c6Up7eY0z+5TadNxG1fKq7pNA4L/rCCC0wF
jxBmpr5+ww4z7i2t0N47o2Rdk0sxw4+DxnottqXVgySpP1E0rX0xj7AxJgKBn7OpJz8WGmjtGs2g
n+JRJhnXlqX6IC9WmV7rtpOQDkduLj9HcPsGAFVofk/FHkfOpDK/DWoipLve0QbFLRTcUJGex+av
TfdI5Um0bIQg1FpMUNvUMIatanY2lwyhnhRe63CAlJT4MGbABz5MofWI6XEOHClpCwA3eSPYnFdF
LGZX6eBk33ebJFvXBRg5v0bwd3RjI4a1VcEYUE8sTqzNVwpB/0cL8Yh7Vafzhzm+Nc52YegyDhUA
wi6uYoaMfhuyX5VbeHJ5AsJtwyUztCG+Llva9zSm8xmLDHmmSvTJ9qG0ylHO8Xvy2gpl62zcIpYT
pj3HU3NLPaU5PZnh6qTqXVMp8q+jFIPDA3XN+aQS0ZxJ3kLKTOAI/hpVUTxLmJgnF0q2+MPrbMRN
IRFhcAdYLqQIjU2psRsMef8E2F5viPAZifan18u8O203Bfo3y3I5++7sLiuCqkqL3hv0Zim8snKy
L9ajVcXufKT3rEmYgF2rnDBfpc6ynm8azeBX45yTSqVIAZup3GTP6mimTAciNbad1aaJ+o27YBqD
DH1ue+VPXOmBkheOOXFjoXqyGCHuuc01tpymsSv8KuNQhdQ22IYvleWw0kBfiVWP+D7QAiejtSkl
cKwF5V8A/z9URsJRgxqLvtNATjv8yyXGmsM57VNuCPQ99m9sbdLRM2S0e2wKsfkKBaky3gmXdPZJ
qktWsXJXMElCynVcVe2JUFbKWkFrT7AxPtmsEc9LOvR01YumTL1S8CCMRFfaTFBTr4ZDkjiNT/cn
loQCpae5gKYtBz82MhifxEcRPfI2TiXXBulQHdRpzbrXtFdjPFDzijzdoviipAFATZj3PrrS2rZo
chK5f5lkOPJXBhxiWDkvsuo736goOFQk3vuzVC7Akc9rmTUsQJWiWdqYg1ljb76RTAnrzaJs1cDm
yG6fKhqPkgifXlOfpMQGhMAaYW1ioIPSQH/YOOAaZFKyydK0piwBA3dIJ8P+Ze67IVPSOuEdWRgT
j72QNV2ue9Mwr5nBECHVDR4Lk0/sO9W7fDgAtRWC8oVlBumc9Ev9zSgy9WG/GPl7R39aEY6U+vTR
wvVBdwZOEX9gA4VgLy39p7zVUIEUPhMrmPHqVEeHatQKQ9w8I/6b+gJNs5n7+S0Dyz+e11ptxgi7
HyzYet5ijKZL1sjqbi1k4y1PEu1XcBETuIQmvvjQY8vbTnKi55zPTLDikXkd9jyrpK58aLkTIbVj
qp39ZSNue5J5Z79y9S79LmbH8lOaVRYfQZ1MWDNXUaP8lpz39nFuwvzlezRt7igcNV5O2RBxY51D
5me1JLbuQ9C0bC/F/5zKvENkdv5S1fL6yKbVSC46AOycQ208vOJjw/em5QXbcIBQWRIBQrZRZSU+
XV4deTV+GSPdVTiXttbESkGu/KZz1NMBir9pJx7BNktEm9oaEgPwlNXWPaaUClVi07XvGNk3D+Rc
12XknZofMEpGkgVxWgtMsHJdGDhIS0xdrU9JSbuFujVZb2lGnBmVGy9A2BVAgNGhzXY6GKVTr6GZ
NFYTDigl1YGGlryOYp1vx2+rouRdLxX57CvLKhz0uTGnSDNZVkcEjrFK484ayAsccRW2spduA31F
lbnW+IPUkc3lkPSzs4sd3FXvoNgYYDj+rH2krpWcHvFm16qf0jDSsjjJtiRgvWRvAWbHitFoRfB0
q5Rz+nWUB1ODvtPKMj6voRdnsATYIvmo5fy4qDPYlw6HLE8ZYp7zI3dDoTzJ6nLbT8Kslpk1aLGP
1bY1T4oUy1Sl9ltHDNXmXQb+vx8V1+SFLtGeahOEorjG5tbL0LMqrX6LzT7pjg2HU/QbOPPFfavG
a8ZBTkMCatRWql6F2JDpsb8n4lPKWRLeFW3ciBdQZIlycgiMk1102gUwudLQTfIn6zdWRG6eoocr
jGMVKrU66wvrvrmu63sxN8r4OiaapdakP3R6HVzc0MMWKHpRiHcTVZEZj509HbeEYkta5TZmHK7+
GcDU24zpxGQGhCwgfMpj2vGJ61+ewJnLpTNMgJcXtbrohBdKWmtK/EBSOq4JniHUx8l3Mqnv9zko
+eSwlhZmjrVteyQK1vj2nyajauSVQjNZ2o8mx7D7Da4K7pUuLlLlus3UgWIQEdv43gyFop5bObNt
P94yi8w1bnFM8rd6OFbAZZFvw3psEjMpiqPeJILSyMkpYTtijJdiIvvUPRe7FlRJeUFk65sTG0sj
ezUtXDTHrEnFep1Fg2GvrpzGub351FO1yTQECdok9hno5c410Uh5tjt5Ticw0OaI8y97w4whDiNI
j1eRUANmQVfmUPRdDi22QQjQHVob0i9VRjpn4GHi/ziOMucryYJTgCMcA5OBMyDeDTQE6MsunhlW
20cnz1Ce9vmY10YdsQdRq/7TlrOGO7IoMS2uR7tVSAZsxtSP95MsjypSklGBmnqZkFogJUxVkbfr
dyUaDn8hjzZTHg4A59LODudlQCVbJDzcia8pG90/IfjUVMH1kK2iDKZqNfGBtm3sMMWmnYEdQAg7
6Xh6qqwDeRknPS0wZZ5WZOGbhTrCdZcOU+JkwSxrwnyI4zjNe5cNp62JPf4wY7krNVXmVTHxd3Me
NTOL56hnr0IrotUlyKK0dPRQQYS9Gxotf+mKkS1wJify/axt1W9GKIbO3Xw2fnitTToTaWe/WjRd
fTh4dEe3xVX8lI+2s1tkZeujSpWKD6XvjFdKG523VNTpRB6mAtUV9qnD63oajKUMCBIphFiyhvag
muX238Ol/z+O/2+o7H9JQN0gS/+Le3RjM/33fzt/fn82/+3x34kn/gWHdPs9f0/jK4r2N5OgHHm5
W7OodYtb/R1vdPt/IKxZ1EDLMkFJjd/zv/FG6t9I8+GsBhBOl4iqq/+RxlfVvykyKCJZAc5mUjys
/t+k8ZVbruw/s1oSX8XSrdu+9h8zWklBtU7ndNPRmvQgdi5Foz0v2nlObiupu5jKsjl+HadwPg71
qXC0f5Ha/Z8hyP/q6/5Tzo1HhxjIYE5HcNcbQS3lUZ6bS508K6kd4Vv1rsbQf8Zl65uJ6QuLFp/m
QI5l1B+6ISr5BViRALj8UNzBy+tWtIf4bl5nsmCzbkeWA/W/oO7FYxd7vAUh1uXrL5/v3d//kn8l
CcBE+D/80PhU/hpss5xxqvKEFrgi2y/yT258ldmHogX6Wnp5/W7gd22/a+XXWi7Tt2JGaeJv852c
rxTPXJz1bnZ6zyov0nv2xT9VLOSbjWnmpKin8yAduurRKp4LZ3L7KlTZkcaAPqkgww57aD663wIF
N0eJ3zeRiOpz/SFSF7UgxCMT9jt8yYHht74IxmDxN5+12GlzoaEEuOD9zJO83C+C+iq5X5ZbuSKg
bSw95Sd1ZbYLmvgVzpZnqaFaPqnzZUmjvNvHyrvZXsryuV4ODB2W9lx0G/v/YC5f6dLBWM/SvkaI
Q48e2bVeEcftJJxYy5SHD2G6zQG9xsiuLevIB0nzmN7M1WVOHRpiJGxI48uwYg6+YXbcTrsv1iub
+yZmWxOV/RNfcKrdoUcZEXRAxmHO6Igewnt5eOnqQ7FGmhEpbWSmkaJHy3TXjVc7wXu9k6e9Nv2h
B8pXJXecooogwi2LgPa4PqRzzELAo1K1ilBY26/UH59ZjBvFQ7qdSQNi6HArGM6ObzwghGGpbANG
j+FF0s+mALG9+np/dXo6DULl0KS+ggbXYZTL3mfTdNXZnT71b/l71Fz82TWDFs1MsGcwZ2Oib1gy
esrDYt2IRdR7euZ3E1/tLzpU3uud4AcrzL20RPNj9raoA1An5XU2qVNJLiLereKJkIvHsRiTN2Qt
bDkFH7t0zka2rfgOYhTAT2pPkOL7XWn4/JzSYIHXwpRr0kjjp2WkWUdcYtrLxn84gZqHFUmifba+
jMxRWkHn0mFwXsQUdqEaToHYa0F5KJ+dSD0YoRMaoRw4/s2KqO+Krzr7FxFj5ZZB/a8eD/+U8V1M
pUoHOmSP0mN5Fx+6gxKlV+1inLVDfVku9aE+K3fVv4BrKv+I0PjPh+A/Je5p8CPqX/DV6tP40l36
u+Wx+WBzujOC/NJfqvf1sQ76s31p/h+/onULz/8lGksEju0yev9RucoH6Kkv277bpdfibJ7sq3Eo
L/LJjNRX+6L9i6Q41pN/DOb/x3dp/VNeeyKTRBOSMR61a9d5rPIQ9XG1Ka/OJTsse/NQPi14Xye3
elkPyr6LzGALi4hb4NCH44H/Lex9bS8O9cn5xqR86u+Gaxtmx/ouYy1M7ZKI0hiqJ3q0K+E3wW/s
d7i95lBFdFKDpCCr52UyWxDv5guoAoKcaQyyyVXPdBqOXwohiPts8csbYAg3L1QpLw+UgH2WxaHP
O12a8B5jwcI5eyUA6xlv7UmlFZl77jRM93KP7hG2w84gcCUOycWZj7E4MVmxUS07d/1da1/i235h
zbX+LhUNishqrvlr4vRL3WpX3ctn6t7pqrM/u4fu4hyfxA5BBs8ZGwk2n8V5iOj8I3M2vtFstN6R
K4jDSqIFEKHokOz5AldWOorrBDk5Rb81duRu8JbpPEpK3xqiMaGmctdVh7H7cXj6Nu2vQ6T4mwKj
QXtR699E3vdWZOfR8q2e56P0XkiegYUCd+quwr6QRCMxzB/5i8TUPvsV5O9Kv/9OvrZ3skBT7i+S
W30td/L9S4YnrjkuxQdA4KTyew3PGY5dnzBKH7txGckEPWNMqwEXhPi1sMJ+Zxc2CFESdS9ad+/o
t/eI5vEhOZE4rkc2ofOr+SA/yPflPn3S3sagcDkCckuW5yYavZ6baPD/YPb0zZB95NW546evzDwe
Q2fwEojIXCsqfaF0p7nDXvPLsNjVkXHug83VvS1U72e2Up4dkCEOigujquy1J/wMoXOVf9O7Y+Ln
bu9lPh+UO/Plc8/al29dwP7wxaQLHHOqT4OYHsxnXnp7K4hDdvgHvsV2z7kHHZOL3+fNjSf3db3S
7v4hit3g3Ce4v9cXwX2QPNUszZuSkkYTINiX/OMcu4f2vX/nIuj4dxHo+a7f/F5ELA5gxcmeEfSV
a3jJrxwCRMiey6OJxcie9pwKhyey6V56ZX3hNs+Ysvit/AFm7Y2ouQ/y+miXoXYv39kzr9IHww61
B3kv3fef+cW4796U+/WKthfwhA60kxp0HkZPf3Bzf3OfTA9H3IP0ZoXG6fbDlLzUiw8fw97hV6Nm
eLVfh2lYnIm9u+9Y2cLxyQyHXRqsURe+L973Etjheir+5GD73ofP7K68xI/j20TTFd8SS9+74oBu
f/vT2PsdtgPvLB+ljxKjz0LbDZmfk27uMBl6Yg6UL/zatc/6xCStfIQK4bYrHe4at6enb4wXHDMf
uO4W3sFoWzrTnOu4TliH05G7Tf/Dcap5k2/u6aNtzh6ToqdgzG3RWEPx2J5NFL51x2Kk8qVdc+JO
3HYVu6WgTfGen8gaX5L7THppPkjGnCZ2ZAQsKn/+nQn2O/uVC18lR7mjdwXAdaaFixNyrjSEV3yw
HYj0gxbmTEvmXnlVXrVID4a9brg2rY97JRwv2368dBeUlBfpuN3N99O3argIfyIl8O5zR4rVTbmS
O09C0v7GoVvdU0LNWoj1RZ3ubnWX5T6TPTKtGb5752QXx7FzIemJ5d7Qol4ct+FOJdIs42cRLiYj
q/TVDX/2ZVmDbbcowbwc2tf6sTgmx+EkikPTvoDTba0vp/gwpVfrLdmKdyFbUTe4cUaegISneErW
X1z6dR7kz/RRLsOTqMsvVlnBQLaYQlvWdfw9ovy8UNvz5VBlaNoBG0ui0+xa0z/S2/SEo/p1KtvK
a7ruA9b3yXJCs1WRZtWbW5YPvnC7n+rHfrce1Dv5br1W20IvM+Vobvw9fCbvw8N0n7x1uCLmYSeb
U6AuUPFaXB7MhGowdl1UDl6cfSTlzqgVd2bMb90hpVL5We/3aYEJgkLnxu0fEA694dH+Gf6wLWBq
znqPvqjxMlz1d/ORIWdc33QqbQkjI92q5DtxhvGMwJyzfmbZdZp2ybR3VEL2of7Q/MG0OdWRiSbw
aL/I01ch/qzKXnqrXoY3/V7mipsMem3JrJYHFFHni2UaiM+Gn8//oO48diQHsiX7Q8MHCqeT3IbW
GZERKTdElqKmUzjl18+JUcAbYBazmMUsG43uqswinX7tmh17xrOLZRWTMn2fu01YbhLY0TW/Q26f
yNheP57AoC4Qcc5B+8cJQB2wZl9VA/o/Mu4+fsPxuFa1WOgPsfLOmNvnaZFwbHPIukt66WXwWlib
MjzSjVlbmwrdz9gyGTVHbs9ttpAnTCIv9T3cEIiL3wkOd80qJ1NAA+a0rKZVX6CHc9XDbUQiYTly
EcWpT/VbtiEUMYj12L/NBU9YsjS/+Lrxo4UnsQpu4e/oT9wuIFnEMDSuU/ElKTmMu00+LY1p39Oa
NnHHXXHLHGhfc5a4yx0OCGdR/C0YMtqta73Owc3VR1Qtzjn+TdN/uA+zq33SN5KzdrWLmx/HOebh
qRC/ArEADC7dfesfmO2s5i1p0A6xSQfDLtPLnHgwEu4IE2DlWkcHkTP/ZbG9kTafZ1J4pVzG2Xsx
ttjeyck/+Gx6XGDojH+Z3jkbb55etLz1xtHpLm53yW5inbxmP+5L9emo7xzD7kJ9JHf14ryFc7Sw
9DtqK60hq/HV+r5yJq31snpLVqpesxtEEswp1OM125XZuuLrFC2RrlGNcKb4g17StxyWAznsD+Su
Y2RZuIH6pbmf+OptkXSvGJTyaTf9itTNvrsshfBtsNLGLPzo7mTMJVCKD+tsPuorIl01L+mIZ+oY
iQpNi/E2/HYmjglIJbj1132+n5MlzPYND2T2W63dU8qa4cN7+Jv2moMWoGFgFTIm6EV2199+iAC1
MextUB098WiqIxZT8voera+rrN2lu2JFqzL7ijfMX/6xu5e3/K+Bm/jME85O5ZlaJXr+K/mXnrBR
kOYi0vsWn7KP8MJS1YDu6i6taBdgBP1TfwTcydgpVs+LjW2T+8X3DmFhgbzcbMxX/pl9XCHm8r8k
FICmKsz6YxKmwwLn8MLsnJ3005vxSSjrLcZ/TUUeQaBV0OEevaTt2YAeEx4axqW2fbfHFYn6ajMY
PaoqlFrW6OawrVhECOPLqn+6nMLKrjjnOKUYpwPrE+frelT//ptm8P9AHrv8sLb4p/5/4FS6iEb/
Z07lWQGRyJOf/6yL8T/5n7pY8B/I7lgQ7P+lfv13XQx+JfwjuEGODW04MCUyy//QxWCFA7miaciS
1Iz4HmSh/wmptP7D9QGnQSd2AhYbMM3+L6jfVEr8b0Am/nSKFpxnoZTL3wLG1n+e1EJtKJJQXnGO
RcxC1hPE45d4hTDS1mbWDucWZEPirCi9K4bufaQuCtWFsAI1L61vG9VbiinV/CtjCOUvrK9IFXdy
Gn7ZtVV4P1lAkeguSwshf7KqHayFggzEWpSdwHxgBVd1V0w+WclWRDSrFt8xL4jOw61Zw+0HNxtr
rMOsHOitA5EAjSdzZtkSyDGSR966zhKL0FA8YP9Ww1VquyxORiDy11730oS6MrNcjMqsveENFu/Y
clLjMAVuqj5A/jsFVvCxa3fEol0Bh8UouPJ1bKwda1EObZGcraghWiMpwsCfHuDYq/NRjswnY5dG
d9BvHgHVAcvJH1kZ/slOLfzh+CSRRMK+6znq4wGaUG/lhHHLUpdnELIdM0vvKofV7WBO2W7GUSWP
RWyZ85peqUJ/FkNmexR606e0Z7+t2h1bObv9g0ZZRXv2kCAJjG7Iv6O5em5xEmN4sZTDjctXsZe8
kYtTqwKWdoXxjOWBxHO67dyWDGih8cLPqS0eg6k9emJoaMQklOf7Oo5cn9iNW7GKjcestJfUwhvk
HVzWuX+ThAXHIi9FOa5KsCE08BQtDlFC0TZAAZn4rs9D0dTB5hlPv0S6I31ZoBk7J9kPKUunMQao
sK5w5TxlNVJsHM8J1JCQnWrDplmV+HVZ2vM3vRWOrMKDYNdCRqK2jZ03psxMg+LOxZPH8J5HtX7Y
3piJes0e0aDPofAxEHe+l3AnJ6SnmqvrV5G6AFylB2SJ1ZrNwgoPAvSuRUAdFVes1m8Hfcn9wso+
akfQF+7XIVkw6jZsakFjGQcm69DO9/9gW8wEoe50nFwmn6yCbzwAwttYqRV2G2kUAIP7YNID57uv
T7PVD+LL4klwPobK5OrQl03RoTWNXUEaEJOcW67LPrOdNzF0JpdcIoRyFTyLvrEPlmGxj4i0xVd2
vA64KbhLBjHNvnDrikZva/wWTuyzsKxgPt11V/BxnkofZEAgI5qBifeRCh7MefR2QZhgqyxHdNz1
SAkFt26T/o1d2LXVsOzH9JlQdubGsD4bvytboPUqYJ61+Mmn1YiJIuCfHPhceqZrCCoGxKPIn4oV
EF781hIfN3BrTVUfNS00lowN4NKSVCjckqxrhYOrfuQoWMQQwYKPoDcDgsWYDZLprxePyv2lPfGs
GCb9lJnWIm0y/IILs+5dDW5VVe575c8OaAljCvyMYTqToXeOfYtYLBEvoi6bqhBwlg5J90wJHTrD
Y+ePgD4W7l3OiT9ux2lonO/KmZhmnKDVcCrICslHiPOOUcTSBKt0EfT5W4/Pj+hD6bTJOscLggtw
1uFraBKngQ0RimIHwGtuFqEjCnUMiGYxI05uwijpGF5wjRSGItq0gXgRMPDXpp6Escva2CiWRB8M
IhLsNGt0YCEehVH6vD2UOXKpTkzSjnCkEudT+opygdbFMbPtJt9kpRuQOCQyixtmQbPM9CkBACTb
mmbV+lFTtsYVNXPiYQGVRnwWiuBjPVrjntLtoDmGT5ZHO7YkS5w2m0/QWzTprprZp4ySyN1KRW4u
W8AmpPA7sJL+FfuX+qyjaL44ii5p0oDB0c1F/9IGqsH3SEriRRSs7oG/jXAnywQqW2dxsY6ritw8
LsKvaDb0V9YyAuD9cIInx9xzdsPAEtnE8884zP92YYLJ4TLZlgc5WOgKFYYpn16KF+z+PkNn0Ufv
/uRFXNdyFg8EXmtMQHN2G6yh+AsjY/4MLXKbC2IRU7XB1z+6e8h3EHJCHmLnpa3Z/i+pWYajN02D
6TM3NO5ZpLH6lRmZ+ZmNOI1QuurojK87m+42sIyztCKiRLqeqv1U4rBf8BIQ9wzbjvDRkmypr/f+
0MZI0FVoyDPwuE5hfEy6u7Job92roTX5v3Kd18mpY7D/w7TucHChS2AvYqlO9zyeDqztV3Om2juj
1pwhznuYkbb8Bb6Apwk1jkoQLnj/BjoGjRbWrIGtVeL61h9TPWTv0XOJvOZnMJdhQGBvGUWiOmPg
n76KEszNQCDrJSIIDo9vcHG6WfErrmfjQMw5OtXK5vzBAAMboWzCuxC9cZxgumCLMPiFRESVaEQo
uHgPoWW329ZIGfay0iWmNznGF4W0qGOdCK4kgyQYK+2fhyGeqJHOSwYkaAyAOcSnr6mLxx5YN0ef
bBQ/Qdu+wcMnvttMxtnHgbG0B9c+SqHvrWiIsCV2xr53ottrIo1HEx8fsXXSNSbPcsSmmQT8HzqB
dklqEBJqo+wGODG9Z0Nq7kj5om44BnJc16AAKdgBn1E35l/UDck1nck8OxgHDuFURV/mTAZq0c3D
xR7z6RgOfbWkHSXfi5wPyOBFycH3jIKh1Xqu3QBzrUwv79RqSoB8+UnvvUp4F3hRZE2s3CPl2zYd
OyCv49zIxJj+iJSOtIUg6kM+rTECBpqOJ5Rurbup5vTFHKkUxn7sH4d0rncd5T7bQs/ZW2L0EOKK
EOHRS4OLHKhvwDBg/YRpwmFA+usOK8OEx9NnwadNUo+JJbIuHjWMe/zxWNv0DItQOcEFfJD/E8np
b5YTBKpC7d10JMSWAGx3rAqblQQb1VtjBtlrmDBn42FDxuptw3npHVVc8qSOifvn1zoR04KbLOsw
EkSrkMvUorIo2O5KL9j1BJqPHMZgXKIp3vZKmJtpirCZEbM7wqQBgAm4zz8GKoaai1Xp0VoR0Wmz
ladRFN7NoFDpw87C8hDwWHJcIoOrObuKkhxHBR5xI5UQH9GsSfqYeJPhqLACMG3rodR8mUbBJJ3O
Dhs3QlNnGXAl1d28Ta2KuFItvlzd/45J9Wwj6YQbL0/TXWuhUeChx+dqRr91r9OH31iwKvms7tIi
zTlvJ3tNgz0vWVwfcp2Yp0qzSQic4jrhttu3HpNWlaQXzyHfWxtspGY/rLatN6gTZdFsLUFhouXW
dZRceSYcloWJE+RbL7Skc1VUbl1EF0Z/hRek347q1CtADNoplVa7XsbTKQ3HirGcr8XIYUfJ1bJQ
Mciy2Wrea5GzHnRFwC/fvJZ4eviJx/bu209TNyfNitDlRvpzvCP3hvWyQHEq5sEj/hEU3+S6KNtS
RtiBYNMivUYQiEhja6FvFXfCE9xr96jmbtrwsY5YWZK3c+u8cbGWx72PStQERwrb5n1J2pkRX75x
702vusWhk/VdHu8oAn0uAWsxEaCB52nrXp2xIoE9TZ/FoY6B2WAR1r2D0XoMF/0I5QyjWok5Kv5n
GES6ZjwvT1rj5N512sY4tHvD+OnwFRzDvO0uDe2SqNlz1W34viLN4tT/HdNvsRS+WeAma+o3Hmt/
2Yy+5EaKL6CcrGBV6DhkHGpZA4+efWllCqZgRFDXY6TOyuXu5nId2qoUU7UdMwMkWZBGi8ZmW0g3
H+JzxbWMeYhbIZH6ZyUj/23cxRvcn/6xrbLkoyfewQ07CDdKOuV55J1rRhtdrBTtnnLHcBPgU1zA
eEaWMWd3XLWalW6dM1gsDFu631FfhxtwdN1xEpwxY9/bX35u93uzLfl2yLJYRfA5/hE8u+D9xOfH
h+VclFhdYw/qHC0lxcav2/FozfWLpmvotXI74HV55mHcnf1PGbdv5dNp5JPFneE+IkDPvhmuaqM8
Ka5e+8gp841pBrQ0B+hXUJnEnYxovA1YId8tUX92WeGCu+NmDxMw3RhFx4EzlinvY1Ou2hhqFLNW
8xpFab5zweHhBoDXMeZpe6lrAFcYMsNp1ZBWWw5AyihDBJBhR0F/aInnLzT8yM9u0N91EOdHN0sk
prNC8pKXX3pMYm6Fs7kN4MPkC5/U1LAiOW2utDNXm1T2/ok8p3WMk+RV9xb7ZsxyCOMZD7Gd2vcs
8KtHmYgSn7rIPjl+v0vPJUKfFCOuVu42hgU9oSYSI7XvbDrZ/vCATTuT2+FaTkK9TqryILDxu24c
RNNRhtnVCqj66fqyOIsuFisuA6QHxuouPBfx3BHTwdWQJ8zmOf8WQvzLHRaBszXGm2lGYDQn5Kei
J0nY0RD06o0I19yHcZhygC2i2k2PZZ4bO506826aEdXbqSKw5tgF0caqCC+U62HntkAybnyiFgcL
sx2LJ5CPqHRIE4vOa8Bs6ejH9Mbq7FdDti9bOaydPKjvTPnQPbhmPB/roWA0Yrk0xtPNSavoFinf
uGP9EtvZCIKjNgmi4oguO7LYWAXInL21Rhz8BN1Q3RLFnMiEyogczIVa+hP8YW0AV6dbFoHL1PG9
8sKMZU3e3TGP/m5FEAFDqLIeKQGi1kIluBxdPJP8skj5vWAPRO0MovGVUB0mP99J9+TvyzeG3f5r
8ifzGuIePGaictYo7MVLG8v0MCkuIfmT5sbpUGzbcuwu3lAqxNfxQzAXfAQqib99G34j22ZvzavJ
6pZPDLVEbX7AJixuBO0fCg681WSAjfp0PAbmWP9ksp8PfGa6HT3S4ivpWKI9gzYvUa/G94qX5aMi
Ys3I0XCri+OOzHNjvNdAataJ2+bnIuXYbZijf2TMhcCnpCnKn+VFnui3apLRUc4j2uzT3VlSgHhw
PG+CQ+beKLUXrIA0jK/ChjIU4vxoHSU/mVDG89hbYAfI8jdbzTl8qAjQn3XcPOaAncns2pydUWuC
QknVMtAxpWqk/DSEwn2XVagdT1AsvIJuVUVOuAooHuytNlxDxn+rnLJeayp1OKWQE5JGv3BgD3/n
BsYs1o2q3CaR4++dCmxlJYAP0ddp7cnUX0XeWVvPFv17got8bVXPj4oMRvzeYNASv6u3NDyohwrk
DZiQtYxLm55UgKOLuAHB4fjAJ5MK6lCVhdY5wD0IdpG53sBkeW08D09nmros9wdKLpex1cgas3Ld
gNHIIdoHzsVT7vOVrXiNLfOnNsNoF/kJoTX+JRZ22ksSIkmzmz1iMnmNL6uLx3LP97w7KgJFtznw
klvoZ82xNmZmT8tpuGjE7oEfvjwULeBk16lqLp72w61aZx2Y3SGxMm/RKrN7QCrJWSQkxgNffvFq
miO8nwxLgRvV4nvIpnlZVjCQkzI0joawWw9JWSa72o+ilzaHBNV41R8cxjGFyeVEPA7QE75N5y/4
KmcVWioLF88m1kNeNAChEy5tK0X4eY1oGQAGZKylH3rgttmJT9ufq598rtmF+SiNK3SbFqigrK9N
U7HFZQzC5e5lz+1bIqKdF2Uk4xE+f5lk3dlmGO4aE6zkeqP7FcxGkj/11PQHk0v0Ekx4uoIKECwZ
XctDbrbdR5E2z5jFIK9tXFvb3Cqbrem54TufZNC4jsx+Uorv17Rys7bAf8hdXqVHE3LurjdDzGGJ
rxe175SsuTsMENyAGRjdMj/FidkfxSDNLWqWhU9iNg6DlZ7Z4/brksAvrqd5eAbbSjhyVG39JeNn
wpAK+f22kF5Iu0VfaCnRpp3Tfp1bKHb4DILimoyJxTYv7rDXtBR7Scf9aeIKvOMAtqceK2ZoNTv+
2gp4b5O0Lj9BM05ns6J1y25MyO9pra/uWJISmahVaMdywM06lRtRxdAkQrf/nkQMK9Iim0YszJ9e
RpKtH9DFhg3oY/UQ4GfsRQNQmc5adgYh4KOXenKmLR8QLFM4/P5IPLzhQheFA9GGTSpQjvG1Tf0/
IZ1sp2Kch70dI8ssKuJ0W6+I/E0CqG9tA11ZPMf7s2zY804BEWdg8wNME8Nv0HMoZKW+ufTXqWMY
NzRTdDAC5Dc3nZJ7TJBwgersbk0t5ouO6YdbpoUJqkY6oBngt9wGslpHwzb917ibx1OQSSKJnjMu
hhqLWRX0gusP+IyNLvkaBukAY4G5fTNWPRlHqZ6ut1R+N3oEX5V6DQadOSMFXTt8+WyHXYqE6c18
SsABdZ5qV18Pb1aCl3IROY4Bs8zvCOV0cXh7Nj+vDR3PGFmCp8yZQYjgm+QY2N8Nzr+ntos2gaAj
92YImWUFPLQCi6m6ZumYDhQfABdr4tHgEF3QfrvWHzEB8fqSwk3NfGtHjLXUWEDABtHIcBQ3a7sA
5b6B2dz+koV83p/HzvqhTT1+yCmDNciXZnh7BrKRopS/ldNIAsPCDmi6Fbg70YzcomuJ+BOOBKee
jMMUc8r0Q3O3fekG7pv2JLhRGv5497snnJ9Q8V9l6P6PmViCv4ZnfeOThbqNwnwTsgpOPS+xxeDe
WFtfxu57pJjUyS44L2bt9WzUx2gvpYE83gkEY8sE7wGBz9kSm2k2USupv1Xtzc+VtxE8ncypLlQl
SdpNhvZ3IQFwVAmXDoi25UfbjxjzabxYUmFHNKeeTxlu4mUBGQ+ZkdwzoLEdV9u/ftKdjLStlqhG
v/2muyT8g+eL2Wus6+xUAkOgVcNOGuZNnGbQy9HdVqjO9gGOUrMBto8jhoDzgki+fCYjkBb8dzFy
oI98XLmzVDeRqENF4fAShsGNahf0sqZ89BLvCd7bKDK+WuVwc4Lo8lWk9Z8ozjLECt/iBpKSMxR2
8TKB3Xn6d8c714gaNLmDJjE5+m60QGcWgfLz5RBmuKKMFFqz0oy8MmOukkX1T+dW/jGnyc52OTSl
gywed4g6fRFje1VJwthfOg1bf9f6mWqOCwZzd8uxfR8FeoRDEHuFmHaeNXDvhUmAag+c45bQZ8/k
A+Y97M3PpozG9zp29Kox4VEhmMdLSYXYojHm5NoMcfXkhIdnarrkurbEKxr6W82ud1MZxps7ue4l
9GsW+8CneJ8SEiSjfyX9elTSHC/INj5PGrMovKBzRrnFby04EDuvGtdeiqLgRiVjUNgl+ypiIrUn
GBzUW/ZrTQT/1U8z/9uySC8NdsDNTal2P2Zj+w3pH290aNuM2tB59k5b3p2MgP08Ze2eZsdhIxj2
duGsDCSUyd6wMgmuMrKwMXlFuAAB4b2UVCmT5O3bV9PtcL5V6fCqBC/lMPtA9UWk38MU8wejUP4x
ZM9DVmQDbfLWgLrmFpaDpyMicZIYvMS1bbc7cyJ+QcZv2KZVO82L7hkDS2Lx7VsIrEDo+QM1BN7a
Ko1fLZLATXoGVEuCV/wxyGjKrNprBFFl20ZTStugOzwii0aFznQkTlknQUWbpLMx5vq/nedgVusg
vQ5+3K0L+CTUgEzug0WU2lYIdgcqsJOdDiR0w9Z194WFGByq7DTINtqOPoq0ULDrLLMIT00+zIeO
WpNDyY/1d/Y9/HgThuw89OBpe0mMQBsFJFCM9HVUMeda2smNkQzhG85vlNq0xuoz0X6wJMcxPDzM
oZikCHHQpehoZomeN4E6WZxVlcV5HAr33OfuRDVGOGAZgiQDN36k04EbssT1llaSu53RLGyWNWeW
YIgu0HAueeba0bpKsFBHqv3ytKNufEgAyY30jS18viprMaIimf2IzN123tV0fA4HYggl9MEgJUZV
nQkSo8WZ3UXY2T10VXh129A6IkiEgGiUJjCaqeSCrgsnsO5IJFaT3jTkPznEDKK5dKL3cCFQ1xdO
mTySXt9p+ixe6FbVF34Q7kctsP+tzsee6hQXdbOYcsVXf1Jb6O2woXWuzn1VuTv8Rkzw7KnOfl+U
10D74seODRRPJI/xNQVITPDFh3hIB8gO8qZ3YusCZNzvyDplQfzLmLqfMquzJ+s1bt4RptKIoJiM
X7TEmeXabX+oKj6FQGcogaFRptxlM+Ed5qZgNZs2AXCbDFT+5FTl1pDemrDHskFLitz5tX1TlTX8
rguQI1MfGKhnzWdgM4wsTLcGDNe1v2CBDnvGuwkxkkuSF1CsItn7Vq462y63/TnzcFwRIANq6czT
uLaBamA64w9CvGkaYlkwIocZKzZsWqxCsxNW1Y2lcvGa0nssb0EmnAeDvRSnslDyY0q9sEmWddSX
atny2bTwFo1usrTtWevfhe5QVAx7YAfju6nXb2aPqorPsu6AhIOZEzUc6bxiwBIN+B23S+zfFlEn
lrTaDvur6C3uhXFovzbCp2u6K6iO2YzKgiw7uj3O2yBxtblglUHc0s5BokaD7by2us7VpiW7+6Ya
vvAolapejeNUUhOTlBs1yuhgsAaL9kldJhq7TSunFbAJ/7sTBiASduv857KDlcK3Bw4P/9AfnY6w
l1Ltc0Ad624cmegLlo8jzyjsGsdOnd+NqY1/e25w66vZ+zWxHFrb8UAuvvSpaRHokERn8xVI/+g1
KaQz8BKE08lSgKNAUbbOw7Bt6Ao0wul9lTeiO7l5qP6qUgw3s3d56+nAsYa9EVLo1GSR+KSN0jH3
XVqlsLnbHM8QGXosjrkP32kOVH8RQx/PBxOBKXhkwoefT22F4f44wsAANQCloWglgCQKy4S1Aucv
42s+OvwSOxS0mE+3yKpLG2sDRYpo7Z1goSuB1Aizf4tpiTb2uRZR/Fsbguqi3ODpAeJAJ0dCcb3d
RyLdScHvdXbs/qWfomQLEwPxxurb8mvi47WRWYaZrNAuTj1Vkkwphy4hgpyAcgZu1D8SabgbfmHU
etKEiz9sQPPL7T9i4EB/HoluAymAua/e+fRqXFxGhf2oh+4XV17ANU7z3DK3+Qoihl7ZfBsYurNm
07Ld26p5MHdlLUC/JoS3G1sUS7N3pn8BH4J7YQcgQrAVyDff9cQt41L925SzeMzD4H+YYJ/WgZF4
cjFkbHLhQsWnjmTtgY6J8LdyK01pW0koRXZQ9inCVUtW7y6J8TavT7Rx+qheFC9wyiM1nz0IdX/6
ti52fc1yKhvaD9F3HKZOfXBVDYOkLdr6AdqiWowUaP9D9TRXLY3snFe2/aXU+BPB4j4m0gKOm7oa
p6PfX6cwRudJIm67nNDQXGIum3aqkYSbQR7MsPe3dckrO5Bjfyt4ipYkc9UNhqm9iw2pznU08ggb
kDigA+pyJS1sCzY3g3PCW7mneOojH2P7u5a29SuVPD+ZoeLH2E/yEjT416qAXUpNKfUKglS48+Y0
e3hZP+/Zzdy5dtuY4SHSbfEk8E8M8eAsjIAtVtdP/tGhSmvH0+/dQVibbxJj6s1XnfxQJZy7RVI6
atUZVY6NrMfDANzNX3JEmRdcMw4xKNV/+FWbPSIgCGcSy/0K24M6O9J540SyH7ou40NHyBs/mWZm
tSGnsDN0ngS49IlztPWAYQN5epauIlvVHczB8+60HbjLqZ9fw9r8M07RQJVTguhgobYeSnPuGNHc
gPUipRaumkKqLrjB8O6WuEIQ4mq2bgvTMuEYWuUqo+x215oy3me5azJxO7XczBxey5FD9z0bwnmj
PfV7hgHCZSnkV+b30n4F7qOWMKHUY/IcbxONPbEErjbPly7LL7XCDCBlXO3NyOH1ihwu+9EAfxZS
dnxurNpeIyz9ApUtuYam4FRyH9B3pCnS6SayAUBZ2h2vl71jVe0ui+clPudBBLc1+6+TTyt2XLW3
SEiiV07Xvcd5nvzTarR8TKkgeYJ+tM+6qtWvEQbyfeAIwM4XWI++1P0/fArjvzpQ3q4wUgCerMQh
fdbHygzHk2HzmkFCeY1s65p6HcjtIFzzVTC5/jn5PgsD7I54G327xnHI3yHZlkZTvbCKqlcGDTEL
x3CyRTjM9muaTqRz8vH3lFEsBKTEBKETlDs6bx4SnByRs7a+olv2w6ZquFyEYK4if2bpK2BkHINx
xEUMSdrZPFXYheGxYk34fu4auwRf0Hst2+CRXcA40hNAUSs3EEfFxyxKP/04jq0lFhH9nikKMkyR
uQ8eDeyItciChS/lDgIlOa2+5q/Uz96pwz+G6OfaG7+cMcAXeDpNc1YNmWXH4n0KsmhtM5Wf4fw6
17pIt75uG0qzzeGHp95YzdzQ7qnqs7UOcJzEMHSgEZImdhXXD/gW4mdkZ7CTDkRHFkBweQmhV/fI
yOI7q6Lh4aLR7xNaWF4b3XNDqDMSL65QOCmxINofilUCIe/g02xDefDCQBwbReLYyKL4L+oHemxM
mJ9usJjXH+Pz4MZ/FFVsClN5MZcn4smkurNmr6jq8k4zv4yX0Yjm9oQLR1Jvo+hOaJMeP2iWpEuD
PeuKp4x1VTvXd56W8EtrBYs01rHz0gA5R84TNot7w4mpFmd5vAtm29tbNOEsMkPIHSh3el+cVJ+k
TLrkvdBTfDDniHyN37jbDDzQug1s8mJaN+fSAqq2bVi3TDDEzNI6QDeKBdSdaogAG2eCiCUL0xQ8
q20a42GucW5s2JBgA5fefIKdhdPZguHRb/QsneQrNVGzSQsaYzJsNQgo/a/wOyJ/oYW7aTFMeZ3e
AKnampxg7T48hStvJeK5owzv2axlvgu4a/7N8kj3nwzJR3EXs9ztk3VQmBQGIluR9D6oaHSNx+Ak
rn/uMlxHR1E4Yb9yjJy8QpPFhf6lJ1sYL3jJ8ujGKncY1roWQv+eRNBn2MBoqCg+Z6MOSVVYflBi
eELjTE1qLGAjefFPUJlW9i82BiNcs/RlD5tn887lBnvo3HouqFxC1gAeBB0a0uSltMd5afo4rxPE
5Tt6zIwXGmvhEdjSdDF553ex3zbxnhIb2h21hXtmDKpobdUFWNQO13ufmMGqM0V415h/aeBBU8SH
41rZKWVV/g8tqfn25OT8uIabe4hnUOtXZTqNf1Eopj9zNVgHTdz6p7cc7R2GQlX5VU0MW5sSnq04
jKrmmZta1/5TgflfVopggoczipVNSJsCVjX66Ap3mP7JmHFppJCG43qCSrXgah24a9qviHKMvmtt
tM9MVICO27l8S8Z1oRqXT2HHuuFVm6H9zx9lv6c9gfFnDLD2pEkzhUgUGDEp4oC96d1c2DAa6JgN
1G/JUsKdXtykUtGKOqzUhpg0Don92dVWTuCLztox+YPpM0ZNs2XadP3DyKTKXwqofhGmOFpfuvpa
zcZkEJPLRY6TK/frzrvoZPSygx8EWbCJKuoc0o3v6+5VwJ6iiKRqTRfPPj6RCMk/7kJccWsvTqjA
icb8w2vs1l/pqhtbGtzC4YKkTTkZIxQUx9fYaeiEDOGBQjD5KhWQ69UQPRmiTvAs61tZkF5ohlKT
KKIPDsc8+2hbhi/TpGttB22pKVYgUELQnX1goSuUxn9l7sy228aybPtFiIHu4AD1kA8k2EqielvW
C4YsS+j7Hl9/JxxRWSblEq/zqUbmcIYzbB2CAE6z91pzyQaZRpL7rJmKYfjNqrPzqruOgP7FD2iI
jAanQOF1/2Sm/5Ec+7p4y+6b6u2tuXopTuXWr8N/vebFWJHp1vzrKnyF8J6/N6d/ah7v33+s/tfP
f+2/5TMj4Og31MXDZrxt36rx7q1uk+a/pcnzn/z//Zf/4AUexgLqwGvOfmn+aUyi2ZHC2kLI/Iko
+yX5EXZv9Ye/8rcoW8IqEBJdtUrbxqD6+m9YgdT/gjVgobAGBkgD/RdRtvwLnaphAr41LIp1luQv
/aPKVtS/YBsIlb8pTP4iOV7On+iyj426kAqkYzIKpCZH2rZjniTLhuMwhlbdqC47Dce6y9mPgc7G
OqAlWAhkVYUXmnP5yxf0G7v/TEL4HysyY9qagQKccrfN6V8/zf72nCHIUHvSFS+z2NXgDWIL1JvV
56PI3w5jCqFqkp229RPU8IszWPMKIuH6QHUFcgtdGivD29bMTdj5x4UZfsvjr3GyLZBGJvtyWhEu
GxZLNaZnR2bRrnzEaKrIvZUcCgUo2bKBnoejCqMJGywSE/Ql0CMOvDX8P8rGCE/ZLGorNAL2pXbA
iS7zVd9dzLLdamHh3wmwjS6jl/iH8QJSAY6YAhpZBx+9jrCKv46vJcGNvUs1lhRqjDduOF1I5zJD
+q2Aq+rZdwGfW8mOoonr/U0b4XXi9fnNPfnwHHBPmCzhYEDPMIU+28d/+bL6itVc63gOSp1elBoD
EO4d/yKKursYhNxSTP6wHCfr9vOb9Lt7ZErNQZkoLZK9T4ZNskIQI8SwKir/NacEzv9OXZwxvxvH
Ru2/nzip61wYhI/ZfHB8dV1N/mFp0qUL5K6r3FK6ZrYJ6qveyTGbvWJ2K3S8TtVLmn2pk4MmrtM8
xdK1tnn8RxTsy4EUkZ2G5pXsoZvK+Rrj28nUa6nvNcm29zqE8AtXbDf0QNIfrZQyWffNbw9D/L3L
zrw/v70cW7Utk69On9+i48upxkAOqYxU17eXmnWN2gMIRrQOfGIWVWx9eKuj2bmdLHHJuQOAItHf
RILf8iQjUrQ3sDJTdR2QUDm9iPBdCXZdabqJHJZVzZnyMqnqVdHv4nJF2KWMDo7pCkMsUJHSTLq1
WsRprGLt7vOn4SRH++fEYFtSZS7kIdTsE3oARg0PiTZ5aeAEOauU05qC/sBhEOCZ13a8LYSXfD6k
NvMPTicjh66ZI5ikddM6+S4NMaU08wU0IRPrfPiShLF3CISJWrlgDS3RWIVxu80dpsO2MIKNPUn3
888wP+QnH8GUpmVZQljwFk8nqpwKo6wya3Bb1FhL6CVGXa1SkHjQ/9TNn49lS6r1mIB43Z2TyzVB
9akonibSnpA5De1CJSIEwVWOTKpXu/Xno80/7fTKiNezWKg0ncP7/Pr/MquMhZFDQWYgvTEu86hE
e40ybJHqAoJAUn2JpVxGMXF4kX3mlf/NxML6KU1HswSLrDhZ14YB/GvZCC4xAjjQm020GTvLP7PG
/GYUFnbH4j3UVA271PH1oYPTM5NrdAPIc8SelpTzTWM883xox3Scn9OXUKXjsJbh4lJ/rnS/fI1x
aOSZ0dK3xiuwIsGGEjmyNqPVcHVTkoddfJ0pMWrIgX6z0vRnJunfrA0CY5ZpMnGabFdOcBeT01PX
RFHkckad28gvZYM0Rh07JOXQ1/c+gZU8wWdG/c1kIDR2BzC2VUY93ZlQI0OeBtMb5d4QbwLirJe1
g3AdEAttcIq0XrH4/Gn97YjMqlLVafir6jxV/Po1a2VMBBTNxCinM2LSZ+NE5+HZnVJtWSi02oCj
+mdu7m9e/p/IKjG74/jP/KF+GRQuODacbhjdVLsWFbgL34L90zn5+2gbZx7X346Fgnd+73kZZ3DW
r2N5Zh8occxYtDTWkDmVVT5ADoLdXeAA0M68gr8bjZFUR7DHZbY5+Tq9hmS3hAeEoNLHbtR7etA5
XZGRnuSET/Xze/e7N9ESWNd0i/8ykR5fmqH6A90+zkx6iNBVx8cERwUFy+ejfLwkXTWkZmCGNFV0
SSesrdafel91GAUHrbkSyXPXxd9HQZNRN8IzK9OHuRO8Gdxex7SFaZmsTsdXFJaO0fY12lEHaO0C
a0+/bVsfUESsfgGOuVArApBqwhBrK9h/fpnavB86mrcZ26JuqEvJdomZ7XhsoOAFRXp93mCEr1OV
PdYRLs0B2aQLGRC9fIlBArQAYsx151Nlq6b6EQnAuZfjwxvJ53BUIXUhHULsPjywA7Liuq9AzU7N
D523Y1Wo5mb04k2sI6kLFbo1/8Glsx1lI0AgGK7Xk1sclfaUDh20arJyvcWszelL59bCBEKJ0QR1
HOq3YZv3gN5Lm9Ky+Z6R5tuUY3zuk8wjndwEtOOC059DrJbpnCwuqmJrGsllHM1iqudEms2OOGWv
RiVKTaJ05goDVQrDXkNsfqDKqqw61d4LJzgoZhec2XR+WAQ4cHJIpElqqCbz8ckiAHKNHqIWTYiw
SG6Pg2CejZdE1rtlX5Hyqgf7tAjeP78b5ofX2qEy7Ogm9940OO2ePIi6bw2QeO3RVbUcs+x7xwHB
95/y4o13BnaBWOCi8HChB6vaWjvTl9Q6mPFBrZ+T7kvb7nTlOQDKhIERF8xtOAOh+q3fI7on3Djb
oG2PxRsyeIgZJnSb5N4LcJasCh2w9Zdo/NYFFCNv+/gK3Pnnl6b9nP+O7y873Xnjh2ebzbM4edIm
xdIi3DcsN9XWVPcKp08pfoz2TUp/t6q/lRlyX+vaGx/y5MKzObU+QDah60uypUtvr+q/aCiT/fLW
RLsQNk9Wu2nkE/lhGcfafINtd3TWZblBd4GrH3J5ssQOWBB0uCqtG5+8n2aX12vRr71olxiXPNlZ
e6v4P/TkqtMvjOIlz65gTn0b4q1BWctyW+vW0GAkuMbT8C3R120D7/0+SQ5IYUR7CY3AAmL/XQRP
Q/jUkUmn0JYj2WpnALsJl5CoUOf33mq8mwXd00LtkRA3qIhumuoCWrpWPuYO9Xieq4f+NcJjEt5l
3ir0N0QMeZGrP0p6oupNMB3YjuMloitUTyuncFGKcswWxgWCcFvgdoQbRJ25f5TefdkubXkpuw3b
F8XezVtRBAalvEBCaAM2/oa1b8CRgSqqASXnQhq8FN7Saq9VfQ3pm4SuAgebsscHFeFv1m4CL16H
zW7qvqfB9yFbjQT3FlfqtDWrtSTaLofHoVn0MYwX1boqdzHSSdyf3cobLoAuagLG3G6YpdNnVviP
EybPlOSdp7Skqhx5jydum9UpzSSbpiA36L1pcDwqPyKwNf1KXBpZA8zrZ9bE372iFvtfYVPSMW3t
5ESB3jmvqmHe4/MPy7Sj32En+F3OvC4/q0Knrws7MxVyACuTpp5MBbOmAqC8HN2+u0Z+hZ/S0m8N
byZjTK+AEW31uagexvZuMH8Y5luN460DKIW9TVd3Qe1itiBT1sKy17lEKGHga8KVcDb9rPwOllrt
WvZThF86a1dd9xTczp2yO+UircHNLPJVcMuhxdQXLdtAIEH+Xl6RtRxY6+CiuWoEYTzgx0jnXjob
BBKH8l6HTJUsLUAuoZsCbrylpJA7+H43PpE5l0W7TY01EQM7ME3kfhOT2jzY4X0GzGN8n9a+SqaY
CxAHBy4vPSX3xVjSlg5JoBNfi+kVZ5bwLmo4IJ1rj4cQH0+Ni+epqg5FsNU1lNXu0N1TEbDloqHr
NWzaye36KwPSVcYrsgjKtWnv6/obndvm1pu+5sljag4Lk7es055t/NNN2u8bDeUPNEZLeUF3Tpy4
UVMOQ41YlTddup/B6jQ7xx+f3/EPey3OjBSyqXEwRc7/e/woN3mTyBK/lttbUemKsHsVFfgsRZgX
k0f/+M9H0zTWGPAYNmeOk6dLJxCKNB70LhnBeJFJFa8vQd9I9FhuhlP489E+nugo+VKLsgkMQSuO
jPf44iqSJKjOjyM2PSDsY4oY3jdQD6MlxaPDk2fFcsAtFS9pu96jGhBnlp/52zt5m9gms5cVms33
+7Ms8suxI5JFHrQx1ztMDst5EqJI0536zFv7m3uoA7DQLaTy85d6ssTpidMZJlJCN5VinUxExeNC
wvmgEYMt7Uk/87V+3KPMY1HHwR4qqDmc7JiiMnfStgN2WJEbtYW+4ahUuDiIwPzKiElEKy3toDgz
555epK2xP+EwQBmAQib/dHwv7cKbSoEdziXf7VtB6AD9vCt9+l7WoXLmAk/PBAzFMDpbYoMdMQad
46Gibsh8FNpUnDWnvWLlK2JEHVbpPM7tXd3bd2HlSiMc158/r6fLylywt7k0yvYGW7+f54VfnhZN
QbKErrTGD8MkSJRRtIBgYdHHwh8uexeKuTwz5IdXxNZYyBzBQYQdMKfyk1eETEBgEJ2k5i0KmqdK
dYXZyJX9iN5diVcTLfyYVt+mbUvQwZP2h48uwzucfmxKLmw8OYMdf9VhoqA4j0nucHC9yGhEdp+z
o6lGygDN5Nx9/gV/fIYE3R7WT+pIbHNP123dEBZab9h2xAO2KxWRqF3S3o7A5axo505n1uwP95Mf
yDsiDW4lwQXOycVhFW0mtpdwBe2hQnoDj1CiP3VL3AfLqmjf4zQPzzy7Pws2v045tk5ygE4pgK05
uCFx8p7gK1O0vPVSN7dvJkKlYwQc3qVdPcoS8loFJL5gH4duqEIS5ABYQ6WTXvIbmpVT/xzH60kB
agbG7znoHmmu0xJeh6gJBDF5ZOAUl2MerXqHg2i3kNAA+bNOcdNqj/wMzBz8AIGZnh1vEs9/VSHE
RvMup/zxD+8l1yltygNsw+aC8sl12tjOxWjHmTsW1b3XV8qyLMgOJMqtWwiL2L3Ph/swJ1BZ4aGZ
mxuOQ71gvte/vJtDX5CHF6Qh0gAOZyi3WNadOTFEJ5UxeZ8MYqxqNbzpMvPmPxhZY3i2nMZcxDoe
edKQ1jV5GbpjFL8Fg9avZC8g63WBsgHDvnZIpUabpE/OmYE/vC3zJVOmo47Nkk2yyfHArR7OgXhR
SO9Q3Yyqj1UtlByBxsZZkh5xZn7/0CKw+W75XjVzrohQCT15WxIS8wrRTAO22pr2Ue1WFfqktB52
orfGQ14P68zpsgPtK9+1kpq0H/9cJeRnwfr47aEOTJeSGjCfhRbJ8TUbBVEIaUWUoIGIIQWgRCaN
3z1qHXtEHR63Ga5U9IpbVfMfOoWeJn3PcGeCCswSwsxBowBRVGN0o6sxRhAFuoq4VR/DCYIxXpDs
PqBfZDdr1bpxyh3HbU6H2GJbzUPugfAkWnvlCy0RCJq8TPzKS6jBiKgoO8CJmpIvxJc0GLTYhyyM
gsEuPX40UC1AH2ee+d/dEjHffeYRWodU+I+/jS7SbD/FnEZx+BBqA+o/kTYXCccD3DrakkTwBQwD
4Va+uM2bGkOOCIIzE9rpbmM+77CHorWvQjWDOXb8GVRPhPiE2KBrXaIsJmBTgw2asvsiSSLHfgpa
1FfWn79yH598FmFhC/1nt5Z59HjMxEYM1VRl607N5LYtGFBcOkAJTIoVpnpmlaC1wI87eugMClCU
cBEuMCwL1PFwfdbiTFT6xlVvjdf8jrlF/QKZxBpXsX+LR8EbV/xWec2wcNBkrNy8vewoxRDuFy/1
eFGbC/VxuvB3Q+ZqqZtC1xE/+LUdvrbONcKZqNzYGqDEhgkbr57xMpugeYSUpS4ofO6g3OMATIhX
1u/y8dsAkDMYF5hAcjqVyjJVlxxX+BURKA4iTLVRuzDLJSmIUeAilyoFNYGVIJ2qdO3Mle129umB
xze2SripKTAEa4zrpdh40RIbw7wX9nBKLIjNu55uGsyQ0SJ5kF+h8KILCCAFK1stI4tu45gb0/+R
2VgBN1SEp4PDQatb0pWg1KTfW76bW1tMpYlzKMS6ItoqWjYVS/quqNeNtslUrPIHwJMNokcHw82G
/xNsAnCDSd+MzQ5S3Uy97NfRcx1dG/4eIC356MEyuCQo+ql/Ty+sZ32jXGZvYNC6WBAOfA33pR8v
c6NBLbyOYW2Or2Anivg1TG9T7J4gh28Qj/naHs0YaHFLXTo/gqvpzAz9YVGaH5yZ5ueo7FjpjR0/
OEqioVkiTdpV65HHwCnwSEtKLUaNsmQwgv0EIm8ZSt13YT9Zu8/fko97x5/Do/qYWw9IXObn+pc1
MRT5gJGUhFyhZquc8D9c+G4/dhsF0yl3S9Bh6TDnIb6lbd+l6Zkl48NryvgWDXoqMdK0KaEfj69x
wQR9+TxqSr1Pg6BBK9reY2imVpENZwb7MA+xJaf8Ilib1Hk6OpkT7DCQjaxx0UVm5W/r0bvyBn9N
SjCakzF58RsehmgsuzOzgz4f3k4mB8ZFwmOzLtoU6I8vkqDWskIyT9gfkckbrdNnVQVaU7iH5oZZ
O70IBUHiEl0MXf3hmkxtYNJdqC3pXE5uyjZtRWLeBfj+2s1a/Q0FrL1n36YDkxddsG5Chapf2Hgk
ccN6/fwZ+fitsYXg4Zw396aK9On40+M20jvFIe2hU8qLSrRYrdBg9uwZieOcrcX51z46c+ie78Tx
N8aYOtCsWeAgHPtk1cJZaddw4Eq2aSWUWjFsLKvdd6V+QXtFYVpNz4mgPj6IKBuoMDu6JnUOqCdX
SUicQ2EDoRLliGafKN8TmFV23yqHfiwf/vQbnTs0iLvmx1Bz1JPnMMzzrpYhQYgKa9GmVKmRQQph
ngG1Lls38x1nz7Y4W38+7McvlWdP1ViBdduiACmOb6QTzvbCLMe+qXcldrd6hQhG3SSePmKVB7MW
temZR//j9sPggZkrkTSoaQja86vxy/ySiVqDHRPn5NR1MJkban99R6XRmlpvl+moghsr6SG0pQSb
tHoJEKgPlp0W//E0C5l11k5xTHVM/fQchy8JMEFpELoW6/CSsIimTgKsMEyXXkmAQckjPFhQjcV0
+/m3/vHBOh755FvHIddKCDSMLF052N6qc0grtWohV3505uv+uJgcj3Xy2hRUhSXTGcnGpfI82hz1
g9ZAnEjEYXOYmktTj8q1JmjOfX6N877++HVlXKZVpgLavegwj+9yGmLRLdqA0hxA1GU71ngGlcw/
s5f93TfJtp4jBgsFWsWTV9SfROQrwRw8nhLaEaoWloUejpsf4hckgfvza/rNo+uYaH94cA35k8R7
fFERIm5nIlkQ2HfyGlrxO3YBfDuad9WzcuReucrZUweJlDv6gf6WBuXu84+gf9xVzh9BMAEaoIfR
Gx5/BL+ihcjiCP+jey6CucidyYBuepRd4oKGn1F14UUOB2/RmNqLOSq4oynPw/fySG3V+kt4jvaS
IapV2wpYtxF7TjtIi2WgIJ6GjXjmS/u4VvCBwb/woHH04ms7/sCtISLicsvMDSLluujAlPpmsbaq
2E2scU2lqieRiUilz7+nDw+GSdeXahASWQrhwjrZQ9mKhy+qjmJ3ds+uIQs+K/2wdEz51Uhj+z8Z
DEQE7GhO8tRoji8x92xsYHUQ46GvfFbvmE5DrH1rCyBydFP/9MpQLQKd5vAGCvqDABg1kdpXAW0I
eIrfq7LOtgXpexhb3UyDkvjng806MPaixlxvP7kyr25xbGIDJXAXU6RlbYQHZgEgRUoErPX++WAf
FiPMNJLaPvsx1lvzdOM3KgNSM9ytLuhKik4R5PzSsV9m26OWym6XBr11ZpbSzo15shgpALtkF1IN
sT0UCRAWNnkB3T7OWvWpreHqTwPNZQIOYs0allpQbf1Ad/YxW/dlBuZh4nBmDYp5IT0b0oQhz6hJ
Prw9fCe08KnT0Max1FP52DBiFaccCZ6hsBXicozkWm++l7kH/7UdXScObuykL87MMvNtPZq8kdyY
c0meYecz7OnudLAw8ZFRSrVR8XaJMn3HRX+u9P+zufk/o9hUgwwLftEs8Z8f5FONk40iyCfqlPyc
JCjWZG0ityUbFzRkf4urqfiOXfYWZ5q2HRUYWq2j/ajj9om434sggKmk9FMxo29emHiLXa/OCBzN
uK8rvCWfP5nHi+jfnxQXNpsEynU85iezCXzeqvfI46YqaV0ZTnpoSg8WRu1Hu4IzrmN8C0L/MrRG
88zt147vBCPrVM8pps8geWybp5V0YqHNlk4Q70TYbCNc5wQIjtuqTJI10Gx9o6JVrgU6X08jWngc
glUIpDHfZaKqnv1++vL5F3FyOPz5eSyH+sm8rKNoFCcL7hApvVThPbsgSyzXKEnXsF3Fl9XKqam2
+3m+mRrnCT2MukjhTZ55X49f13+Gp2hk4rlgl3yqawy9lqSKiOG7Gq0BtuIHBVTmpKg3WOVwNXfK
cGbE4xfwv0fklCZopZIzfvIqFAP8PFoKEX4L3V8WmTNcE4MykaruimA0tmUHwwQn/d9P3B9Zgv5X
o8+vPp9/fWoc+r9oCZoT3/53S9DhDTjZkR9o/vN/+4Fs+y8ePBoEhoa75++S2j8hDepfqmXQbNLn
X2xzLrb9E9JgqH8xhyN9YBdKH5VTx7/9QLr1F2ceQ7VplOkGZqE/Ci/loxw/nn9n2mEtUk9WkUhJ
R7/pkSJJ8Bu3xCG210EAEr5ytGklbOhaqk44BRKZLtVQ3tGM2OhVrWwiX7b4hhSUDWoOhaNKvW0Y
jJgvDb19T9PQcmMxxt97g8xIO5ZasvCxlbwlAcnwKlEJy7xvdVf6eb9OpcN8YJnBPQ7L+hBg1l2Y
7BBBqGpGvtTbfriyUw9HTJJNK3/S1Le4zx0qH2NVLYAxyi3c8PjWUdNwn3e9+jCxoQTvHnr2XZza
2s5yGvupI0Jjx5E7+c4ZPPrGjDwALlfKErqvYcHISe0LBfGMuvDVmF5u6ZGPV+NVsisl2/cDe2Mk
EuEOCoG881J/PACSK7+WYEcnLDzM90vT1Mjv0RqTPKyyzN9grQ+3JcQJqAdtoHzDBsjL3lVecSjD
sbyy1A6GW5iihLIlwQqqf1GHsXZoUjFsS68f77qoSJ5QzvuPYVwis9IjontKRx0jIOPG9NzlTXOR
pgA6Fwn+xScPAPdAK9GyEU+ZzSVckeJ5ED17VWh670ZbKgeEDu2PeGrUy6h2hnoJlN2GbBCAy2rj
juTCaLK/Dlaskc02GftxKAhZ19vAJ6BUEuvgloFZfSW+3a4p2Nraa1GO6Wuup9luauriRywKQ11E
CofkiVQGZC7q6NYQh0FCmtWq6up7LbPTjdE8FD66lzwHll7G+dch0Yg1ZSNvmT7M6tgjnbNooztY
XbeF6ew08QDt33Ij0UsStfp0I2M0NoqPK5s+H7nQ5jbQmoMx4/GmSSErWnfu8nDUtl7UG7RZ36Gv
aZsQvtcSBmeJW7JdZdH03RrrLbzUjaLFtNIFtcOOc77OYaRrzbs6A/1Qpsm0xfG6Chx/1YfOSx9F
6jKyb2DRiPcowzgmKXIOC4QD6o9eR0Oa2dp7UXT9FwxY9aq0Td6WhOYLwfcLEIIvBn7VrZMEX3sn
7a9ro4ovKtLLB5BsOl1Ms+qWjeJsZC8x3xLCpOrPQuNjxRi1vEDZYaXfSMXJsJIOpEWkd5rZFZh3
Cb/tHFLGH1p223kaXBWtbdEO4iAFsr3OfuJ8uluyL4OFmfY3vUGKYtW0Gx+DqR5kr5Bh0JHZ6SrV
vK9WNuw4C1GBDidrmcEvXDQ2CYtqeW2WSriH0YR+TnyzQ/+H1CKaupXFVlu8QQW5iQnuXqQ9PV5N
NqD3R6RY5kDekATz4vYJWMnGJ0QddmIda1x0fyMDaAoYrajjiYVW0WWB/X8H4+c29WT1WDoKBfEm
jDdVG21qzfAOYg7+gB+RWgB1GgJDBgllKyGjETyMWDSSKEggQlRqTDNzmzD9qiJVq420XOct1nUa
feaOXId7vcze2+SxtwmN4+DAIdMAgmjwfuoJm3o4E+ZKpfu5H2JUYMpo7BytIaqFt+5Bdrp9008q
D8jwZk1juLel90jUTHbTDgqXbg/AuiW6XQX/LnMsTKJ1kOJKDFvjPiuVZV6hYpQNkaAA7m7Hypfv
WcPpNxi9FTzFGfMSGwdpTi/SK9SIpkNqc1AuGuI1cwcaURSwtfFAmt9aVdW+DKQOLLUhq657U/gb
heCMA5HsEOH8Av5hQaXU7UBi7eF3E3+lTJP2mHcqGXJMsRdOwP0VffE69pPxouQ9mvDAyd6MVDVu
/Ko2AQjBPPMcGm4JuHk37/svolHqTW55YisU7UuSYyl1tAJHRaQQ/ieIarScvtpPcaHhLMdgviT4
xsL7bVxUPg1D0Fh4oWw1X9Vt8wyFw23GrHBN4KYXGmE6+6xQ5SoZTGBfTX2wDZ8w4bQzHwpqNre6
OZDGKwsImd1LG1F4yww7R4GpAkqXRAN7pHW8erknX5MURNvCaDPz4ES8qrFH1BDxeJWdLTX8sStb
ifJbsEnRvHCRyuPVD0pP9tDga7fEGrxO5tSsAxFqaxFYOs3XgviAHGM5Rmyi+koKy2APbMCowSSf
mqG8L1O116CINt4L1YZiSUAHUZ5Rvxn86DLK5yxllg+mVD8FyTnZrDmOlmxTrBuLIe03UEYMl5wI
s3fDoRYEFQQULZZeYFVwfjK5FUlOzHhnAkRP7B627FwXYXEnPtWcelD2TGMwgOACQ2TpW5AxMc9Z
VV1pYdPwg7qdqSfquu2wuzgRTTQoUMsuNi/By1uHtnlKiir9nleIGUA+aCu1HLzVoGZiNcsCNUng
WNDQdOZWpCzGMEUjRSZrM1K23ERufTyHrenKdTVwoQvVaKeFJgkigJ/67GkxGcp4ggBpDr3zNQpi
tKzY7lgaHMiDwEPtalk5dBmNrMrJGYDFMRUV7a/gxhdA2GzHv8pM2gZQ/bB5Kq3bNUIuB4I1Swus
lF09VeCP+sF8t9VBLvj42iqwao9vp3vsc/y8LU79q1AxKCnzKtnrxKIIBcmmMH7GB1oGYZp2txjT
WKfqOY3LSrBwTPNPVdJvcQ4rPdd/YMfvVqnvvAySz2llYpebpHUPbf89jctLO8f/lsKfIPGmf+uQ
ctSwDxG1h02/0ntmv85UkZsmnb41FCyRcAyWlhwpo/dLp/OXrdQU1yytZW3p8RqGE0hbAyeaItT9
RNR2ECa7jI60OirPg1Vmh0mTghrjGF2MHa2vYDLepU6n028TNzP6vaGYWyeOriKyaZuhxgM7DSXh
f+qrjHGhhONEp9ahcyf4B603yhXkmPdRtQ7DcG2J6hswlpvB9MdNbijlvlNh6tvkxMoyfWsIjSx9
22UuCpe5T9oliSMXbUPPlUJ2uIF9DpvU6K/aTsS3cI3V0SN9twQiGwXk6I0PXgw1xdKow1rlVW0Z
3VPYtVtjuNPALgBdfQ1KT7/0NQutK9iFpIldKoJLs24OmRKsO4CeftKt6yb7GmRtQ3xM+kUTdJuk
uhv1G7s1r5JmBGhvqfuopKPNbeGIFLyEamofTNNawuSDM2hMtwKT7BjmhzqRN11DpHqQmltUVR5Q
C2oqKMfW9tDsRFxf2chkum3Y+HJvdh2Amxa3LYCJgR3AXmYBjmPFvM8m+13Pybyq7glZIme2iZ+K
GazqB96rI6dphRgq7gesyEn3nYChW6NHRVmmPKxK3CMASZ/hN0eXZSkw6KhIkbXpNvDEQSaxBp/G
cDN1eBpTO7wuWgLQ5q8JoE2ytgh4ujJNxTzE1n2ZRF9swNKC6KeyDJM7ox3egcjDLMlzFUW1Mu16
26x+KKG4oHhgLFove4RA8tBTQ6fuAaqGBHA2XemT7YQRU0APgCqxEfuX8dqM854lD+SjJaYbGzYu
iDRUvQ3F34WjxPaySpNvMqEATmCub5n1WhM9FOGRN22RZoq3ESnQsjEqi1WcRQc6P5dpwaa2HbK7
1re2BQq2QbEfME+x09Cs4L7VYrCUsNF6qt51mPNG5yTHhT8iW9y0hrrpfcsNBOmiPWznqBydS62Y
NqZZupbWgu1MLmJHXAUTkble55PlFWbdtogbO3d9nrdxAoblgxfHnoM/XLEUkhgJme5A/q3EADvY
6V4j3qq1kAUwmoHQWmG1u8omTNLUxjcmfiX1L0b2okCmxr3ua+yppm3K3pQIo3WtO8MSXVJxL0Zf
WcpYtR6V2NgjyxKXakEeFCQ6TKB3Oj/N1cxkCzQ/WPT2RaSoDxVbHvCV38sOAYLZiOuuZhIF/77U
J+3aE+R0dVF+yZp0qXr5F2VAwo4GdO/PqZF2vslV4lnIbVnaUXOtatehre9qa7zNIjhDaWZ5pNjp
vKw6VSQ5FReeVO5NtXFQgQTPSp1eRZMguQyFIelPQgmZp6viwap7PPJq5WSHrvesbyDfFgJCsVt2
/XceWNbhsQo2IfB7JWiR7On2uxAEf7I8XgJ3nr1Q/kEZzJlD/sRmaubG2cKNwpaNj6OiRauyexlK
4jJ18FAw+r90luDBRILJnBTxOEygUK1c32XdSBqcUu6c6kdleXOqKLc6DKZ7ydqy9LwvitbtpZWY
2zR5MGbinJkQ1qmprCxWUS+9GKYlLN0AfAtchwzl0CuApuG5tTAfKftQadBt4T6eUgKnVT5O03RY
LnXqodIv2QA1oMWCyO7Xsqk2Tpw/KoO17S39R4zWlbkAOJwRmwCfzE1W+I9ZPW9DnBKJXUMcVC6Q
lpD24NZVc5/2RsArRilYzG6GyLJus9jABRE213kdvspGuZXatO2kSDd0iQg+dPZapfubslWXvQWR
fqH0WrAOwm7ZGXwRaXcga/CpKtmkGXqOkbt5AwIeHgqnBv+sZ98RsB8aT09QVXiI2Ak+VRztCQIU
XVlfq+8o7A2IdKHTmrSI3TAhEpgp8jlE7IyUx+9uUjudbu2AR0ojWNCqhMlOcSIxlXjcvGzuwEST
oIrwmDzg7NIorGrXFcTxKpBsyfj4MZXBizTjmooqOWFqTnixYVVPMi+qp6yX1ykgbJdzROH6jcNl
FPHG0pJLVfYRU1HUAK027TvhKA+lQm4s5mKCiQWpSE7xVgUzlkOthgs0kHRWjRpqN8XKjU+8syiG
vdGrd9z5dEXTC08JgqykRtWTt42NAEYVqM699KppKH3Eeo+tgwIBNHLpWqEOMxJSNRoAl8IGCVTD
uq8KbaMoTTwTkS9KLyVA2X/QqrTYDJRQN7Weqq7tyNuJnUDUma912CKJuo6gQfit/epHTHFOE71l
ETFvemWuNJ2iAKCjLbFNN6nT08tkSy3ZeZEYwo8id9bPHzvwqqjysacE4UUZ/QzbyDiyobUjAxNR
XU8P+/8xdybLbSNr2r6Vjt6jIjEkhkVvSIKUSEqiZssbhCzbmOcZV/8/VFWfI6OsYhzGv+iIilqU
yxCUyOHL93sHzceDqR+NZtFEgoWqWW4RwePC/WgMHCTiloScJir1YlJgbZVYGlH6rzxzJFirayp3
VEgxxptL3ReK+bO1xI5UpQ5eiH9jCBLc6n5alj04MF91UZXPFbv0Za9C9QtMQmn9wnthq702HO8e
vzoc6CKwo5gDA/tGjGer4Cb3tC/Yah1aYspcs+/rfeDZGM+Kb2Fv/2jzMF1MoxotW6Gka4rzWzVT
IYhFkPeIVDQWnKtrkkPa2wy7U7XTH23sDpfm0GxKr8UPAzt5PGtwdYqXTZKuncF4wOTV1QoyJ/q6
YZEGl0oYHgyt/tak8SM+yEsjyg+gZe3Sj+0aDhCBomNyW2nlT8/zjzPFG5eY2eEuEmGw7ZN1r8hs
D8XgZ2yZ+dLXlTtdiQ6imJjpKQ6z8uhj3h5dGDn7iKzEEM1j3U7KN/h6CKzHaGI3TiRATl+/1Wrv
rVJprH0toB6VDlYrxlU+IqDzq7VnBD8jNVz3JKMLGA2PftVtYoVitABegffO7aQYyyc91L7BQITI
UODlRcwKwedCu8GZztoUpRCXyeBpOEoYCsbSydQiFaV+4OK08rvpC2+81Lv0Lk1J6Yhx8CvT6sYL
imyrN2H53OkS/V+NnCFvwpfWng7jmNdupZv3uc8gToTBjiFFgBbIp2IYuHiQPpjQTsMZv7yPgsQN
vPBLZkbDJq3Mh0q1rrKpv4pwHp4K4ojl43vcTZxmz2GlXcbK+INW+L5WqpsAdVTLIbrG63niftE2
rqIY5NgZK4U8MzdkPEhlWhZs9G7CVETj5+ZdfqlJhQhmtJFZqbupPFr8JMSNYeK1JcU2XoD20L61
RPRcHTcXkxRuKZ9D/P5UssrWllJcksu4r81pXdnhXUcK4RKD0qeY7KZUFdG6NeJdWXbXaquue7W8
bf32iitsfo1TwU1uT9w4evi5hh/vwQUY12xXGQkysNhalVO/Folz6DBzX3B2Li0y/LAHj4aFFPk1
IV43TqlF1M/xjWcY4SYa/QsPfk5iANZyPsUiwFA+ezaGQazNTi1W0sI0s0EKPcZqvLQzcetzR9Aj
fMysHtvxQmHr6XDUvx/q5xbPv1Bfw9pxcHr10QaC/YwOjv19+gYg5taRaNCQq9ahl/G4mAhqUH1v
E2mevcZ78KZjql92+o0zRTvFsPeWk6P8q7b44373Cvj9sYqralK7IlGeghwIq84tivrxufWP1vUa
NUBxb1pEVFv5M33GJ3jw8AMqeh79cC+Qq3YVd//WCzdTqI7rSLQIh1X1qyLqHdFirq541Rb0tF7m
wlwM1dHW16gPjQMxcwrGh6QfbzoyQFlSe53QvK5zsL+1+qcshA2EGRpm9/lO4hieTwQnmOTQeFOh
3pL9o3G/Gpeya3YsCty3YNCq+pPHnWBhKMoFnpqHqK++RAVVm4qaYaOZTgDjxSt2WlXu4gCYTxo3
UOzuBamPdmvflHSOKi3G8iT5YbWAXMCR8VIFI0tKrnba8a5cfS0KE/sQE1hW67Hh2whtvJY4+HsG
WZhalE4rzETxvNUo7X1ZuVaJAEZQ6BuEbiwx9SZkjrsfyQyLtK6XAfF3UY9FXmYQVoMLKdzsNxEo
T3qTEXJaNPlK6M6PMICrXDnMb9Gx13VxMt61dRu6JA8Uz2CLOrHkKzy7ETRTnQfEIpWjfMHe5CXh
srRKRB/vvSFq2CYr/9p2qgsZ91uznKJ1qOGfVeWUWQh0jLTWL/Lq3oDvpobJT9RSwaMpzGptSIv8
nImPQmJhd5tNGqVPCD21qsvKNRu73zgpl1U7ancw8SH8JjHRc+pFZn2JuX64Y13Dt4Y1E7XuZACe
pfh0DQOsUpNKqSrwRfZektRRV+Avi1C8Elj1ILoBW09vnU53iUbhWMqV6OyfPpW6QWfCtvSvWlK9
ZaJYB1PoDrJ2Y6k8y8q6hEToTn1yYQ/d0xQHl1MWfR/5tqOkXGmCe0W7VbjnNYa1E2ZyqwmyBxtT
37e2v/ci8gotkubx0EVvp0Suo5G8hHciGXtmN+4E/rBXIdE4yyrgKzgAU+NTpJXaEsC65+R1DuRD
PkxVcqA/Qnlr0xTwgI4qrnfrLkICNvT+g1kBQ9uEFFMHJux32FGWBqKsLHhtREwZS8gh1kl4VhuP
pkdumazVQzwohHMRh4WTMJE/YQ9nLceenBASAyO2kTxU+20o7ioiTixA0X5hjdkbpzdXwsaPOi4c
/YYkPKL6iAyR1mvTq7iz9XJtidgloHXpWPhXMVk0JcWxCVuwZZCL65qZVZskYoQZdpHZyB+b5l7a
+SVxlq4TUrtKQ/P3skusVTUoX9sqvupCoG4l/E5J+WQf3WPjgjkTU79dKqOKxncgICjWxDZIjxgo
XggheYWkEYMiqjQIQueHZrM3WUF0MQThrTm07VLr0IDnirjQQL+BiaufDViHwsmJJ3SY7TJaLqS4
rMI0x/Z+IjmZG3+xc0JKNIBoKlzOy4WSO4Xbac6y4qq9rFVhbujZYZRAWlRtB+tcKIeiJUoorz3w
1UFc4JSMY3nZLKtQ+6q3LJxJV1ZBEe1kiXRnEATNLdSG1ZdoOXXLaCriqpOyvkiNCDwnmsyHrHQa
oncnuzgMei4xJrWdr1BixqvKy/JXWQOisbn5SJvxcm4JqUsbCtKa5Lk6HuyFTm4SENFtP/aOWLUQ
xAbA/sF8SArREZnlpcVV30YJjUHcuJt1phrlJfsO4AHxYFoYfktHgcxa1hj558FKNaM3MSb7XLXW
ZD5D64mnK1UxaqxH8SuxzeJ6Ai74VhZehuNx5LM8IxuL5g7gvh2B0rD6hA3U+Um0KRqoQtwtq9dI
dBlLvMIdbCmqtF4T96utcjWbtqliEXeqxAMFSGGWG6zdg5tsbMV9EBBDZ5ajWJMurqYAxrrzvVAj
hdYNwHXVHMNJdGgOCRcvl5zWcj1oUHcoM1R3atpwHyMxvQ4gLK+Kvm0AgmU5YqZeVD9GbKCWo6wa
Eh94xyO/hxS8qcd6gXvEtk/8+ProF3JnRZ0VL3tbTpfelHH1o7In7SZua1z6/bBtLrvJbL/5Zplc
mlbMpdkpMaHF6Jc0IS7/CiVlUU5Mm3Ts94xog+dpJbW1EsFeXw5824uGOkdbelrVEQCIhfFArIFJ
HGqWVMNGyJAAGry1955i2c3SL9Tq5+CXQcp9jiXj9Fb0OHV1Gi6NtgMtEqpiPbckQ7t1XOQXFUks
+XIigP4yLZ1uV1fUVuvIUziJZJCR4TLVhrovIYesqy5tqJn8ZK21dviVPAnlu6KOAC1B1ZprvVL9
S09Ni7Xkx5GG1Tolh6jtvPpYhK1AP6ZrWQS4icOcwCGgibUXEhqHW2MqNCLNnWrdsESIb/M8IsjM
ptj5AEE406YvdtlPD6qq5Bvd4ZbBeYWacCyHa5t65gCGMV5G+ZCudbXCrjdB24ELvnFp6m1w14Ni
3QTtELsiBoLqEi7x+BPkRn/DXYe2nN1kFcV7HVbTJd7UPog6q/9bFUTWdT22w0HminNn61zYlyIz
lSsdbIfUg3BE0hU54UvjBNWVEdjJTU8Q8k7tnerFcbxq3Ma1FNEFYQvpHoy99hbCCpX6xYqtZjl1
A1UlOTDpT18p9E3hK96w9jP6gBeo2ohOgaLZAYr4I+3HbJdksKuDpENKksYN/sZT35L9K7VBHthA
TDCauLSvNZKjg4uEiBh/ZRV0s/suN7U1ivNmMxmKdycKhbjzmE+g2GyLnpqlW1g4w9OkdPWzDZbr
lonaks3V4c1ZYLZf2bm+0eyvqY16x6zVwFl0jerchxOs5EHTC3dCfF+4sgmD2zruSvagvEGbk1dp
jPNLQuu+D/TD2IRmvmG1e/7e6Hqugj1WEzks+d4kWgB3H7xRvGlXIrEGZmyrEvMxG0RmbdfNQTMT
b5mROXVlc42sFkJRRrdLS2upe5GTfOe/FfpbJIDy8OTJq01FOjYgh+M3BAX3CQQH0TcPPuacOj3Z
Xj61XK6eS9PqATessd+2RjvsQdmayyaXYp+Pg/e1VWoJJAJ+vsyzaVzZAfzdCgKkm8eg+CDVVBEi
8l9To43xdR2L7lh92zvfSYwv5eD7i+7ocSAyDF9KqzQudGI513E2DE91GdxjjhbcRn7nr1XooCoi
s9J6gTDg9+sedS8dwcxaG4SCiINSTa1yP1a9RXql9WIkpfjRghWTptXT6ZMGHRSoANzXiD6Qy95K
nct4INrgoCaZ+YA8dXpMOZTMGjcjeCOP9Cud+y40BGizAipcjMc2Hxk9SjiwK5Dl2k+reoAM4Ujd
uBvxO38OjdFw+ySvF9JGkbrUI6ddpbo5PjPc6b43HAA9sqLjHZbxxjIZgXEys6yWXRMH+xHfyYCr
lqG/iMB2nifaDBtppAR4AU/5HSHwGWgZkjUSoqFoCOvSCRhTbFI78jKHpn9Io15uOxgvLr7S3GVa
OZGM6hjRA1nKINslPVtSvLk5BgxqFNEeqtMmgnZgEbRIPGS6gvHCGQ5n+oZQ3Xo3xol3W2t9/TAG
Pmho0qRXpFgL+nga8YcrfOpysCOoMShNVO5UMS2CSO3s6yLWSH8YshwbiSKbRLecktYZFj7z5aoy
qqa6GOkx4jEh0u4wjSbQqWcVxtVI1g1Vbzb2q5QcRdXNioLbBgr9msvCYOy55zWuX2a3QNvEZyZw
kRdOi84PC0uQQKRHOnsfHRSrKvtvHnJvft+hu8HAWpK6ZhY3Mu+ypZJJSRp2pY72KsQj/aHLE7r0
6OJDAXfFL17NfsI9VzeojXKiKwuIHaReU06UeDkKziO9C8OQsBs8fEe7ctA8w1e5Gquue5Wxqt1G
iUrfKsZbcG0yYb5E7602lJVI38jIvKFK8tIbzWjN+oJcE9y+mGKbqYAjoCkYaFn4c6wAibPt2PTV
T5MG1aLPremgSVHvjUH3yflqDRdZNKly72Sx/4g395Cn/DN3x/6FNLf5kV+/pj/q+f/0f5Evd9TG
fs6XO7xWr28/kv+6rJPX7Hv9C3Pu+Df/ZM6pqvYHVqIO7hfwxuFv8id/MudUVf0DxzYs8o7kfIjl
cNf+Ys6p1h8quzzEb1tHAQJ9/1/MOVXiv427w7tJ6NEm2v5PfLRnLOy/eHNHE+VfifOKh5947HX1
FqrQdRSnS81Lt3FD7kVurKYBv2Fd+cK5dj2gVNAq4HYH0WOoo6zwzHbR68VbNnhLztqLD2N4+JOE
/F+croc8zJr6f/5bMh4fGND/fqMZ03eQjZb31lhvo0JsSQHyMYMqaLHhDLUjp23d5pW9gKZHqunY
7MmksulJ1nBdp/Y7aOpTaePoPxjTVu1QX1h4Q6jkva+sWqN1nFrpWs1QxDqNtaZZyoZMfM3SzOk+
QeGDdwTw4aVim7Thi6FP22nKH6Y0uuYXehqnGgP+ocL1K6n9CyKHpTvZeeNSnvt0Zkg+tb1LP81X
0eQfRJ4/wER7wG7k2koJqg1qAsF7GX3Re5J0S0V9wxrwSW0HE427uB9l7uPmzL/axryZpnr1zwOq
/yrI+PeAztSkalOYSlMO3daJoCB1pb1sVX5nP7AhOULkKGBjmMcIixBipIcNRRG95JmFhRyhzMbg
w/SFCkMbE1FafpH65o+K+LO0+0r7fpEpw6GJpELabuKTbdKnl71fgBpqEPucSOvcakR33U9du4qN
IVlO5cjWa5gP4Pf0da3utiytE+R5Tf5+7uAt/4uwDZBbdFA5u+3o9Qeafrsqi6AQ6VcM8gVtbs5k
gyDvQHrWs6czf0erf4FLErndRIkqm5KuFYhM4d9T3Gyko721duNtppqEHstPvug5Nm9M9uw2GP1D
69O4/OevpB2Jqv+m5P/rK80NCmPu5yP9znJbEZ1MWgtxFNsQf3UHZjm2QRvyMe5smlMEn9KKTF46
UzyZJH+Rjb6Kqx4HW3LDk5jpq5Z0LHomLWo6de/oNXBCfucP/f0/v+qRtvvbVz1ycD/IB4OsCGRs
BdUWBT8cI2I9UbTHJMSOHd1LrldvlWT62PlDokf3U1VTbwe+uKDiWlZ5sU9ZKqCRp4Qan33042t+
eB2TqgF5MeQWWycsKSS1rGVlnWKhv3vY/O7DHH/sh8dngUP/SlTVFoLaHjBxT28MM00Tdbg8ghed
lRE+J0yAOANZ/LuDSRDCxdPSez8FX45EcOMdqSJ1TRhhEm90GdBrTsIXkcT3KsGXeWT9+Odv81sa
NJqOmVrIirE4H/O82g4ZBCn/h0M8YUwVKkF80cSd2FJmWoR/T9bjJP4wJsRC12EatuVWzfvLIzBn
linj42+gDi6MY91UFdctXTZHjst//s3e3VF+9x1mJ5VHsHo2JFkJmWwizwh2QAyDCU/TZFH35s+Y
aO9VNQ7KY+y3y3CMLiJTgk4oZFtT9zExiA4ZOrDHxBdfohIAsK66bw50wAUB8dUSjcwp17/fs9H5
DLMzzJSjYnqjXWybvsP1YNRoXx+bfQZEMduYtEVYJhvTdx41rYZ7Nw1EMqTPlRaAqPow6jhe3FE0
X9IWx3sfoFClpnXwcjUgxwTmrh/CtzLU7vojUEDNIVaFqrh1Kq5ODPZnu9HszJjsuuwDg6y6KaQy
jiGb1hkOXbr5ICbtGSIDKHu7SY2Y/GFCqgpzjfk71wb0hU59NSYhRC7zFmXIYtLauz6nTVpbb2y0
F14a0gbwy1NuH/onrzo3cMwyGt6p55TbqCajUmk1ez81kPQmrhnXTj+Zrs+dcxkMEFQhjRVcJOK7
3CzEjVR9Ey8auD0QKwGYfCxZU0Bu6UH1yrxUpyFV1xeJBvu1j57A0h9JkvvqqPQC+jjZgG68Cm7u
VCIIUsJBIKi2xp2dIhc3pfGgZ+2J0+HdS/83k38uQvNIJbVzQy3ocBAynIU70/S2qen86KR6kWft
dVx94XPt5KSvuSLtgFTWWZKdMnB7l1n97ufPtvzMbqpWY2bCsE1IWpvGdNmlFD2w2YJDQUnhEO67
AvUgdET032LdeCsUcNqwtXKOK73amNyhhD2CzI50Sp32+5ByxSHlqeV+TdCqkaot6p4K38tgIF4K
Yu9tUcTGxeAvrRShU1Ht0oQkeiTMCyML+lUW2NJ1bMxDcF/Y20UfbxzFv0A5/zppCrGZWFktyxSy
OAZw9Yqr8+NkJ5d6DbWdQ4l2QCnuUHD16y6ovkqPHlEpybAdA5rouXLdZc1jnFjPgR6/dGzisGYg
a/n6RRH47tDTkkE+8HJiwf0qLv7Xjvp+1n7YUS1R97bZaaQRDhS0tV8+1B0MrqID8YHkBZITaNwb
Kz0H9G30RdJnmmuyKa44ieM1Sr5ySVv6FZEg5XlxvP17PhAt3b2qHxpgfgrhf35X45MKfW6vjVLD
Lzu97bZ03q+r7srqrnV4LoaeAHWisDBauaXzrq0GS0Uk4a1slRADBxGAQ8FQ+8lmSOmTBxNig+om
Hl6Ia7uyFIIrwXkKu7woiJ/pQ3NRW8ZFNembxPD5Xb0t7QlKHHOFg5Ab51+BQfEg1dTlaFV3sWkB
TdPophU5eqpLdykx9+y9ACf7tPs+aOQpmnAc6LT/8zjMBOH//mazw9ab2OeCvqu2UsFNB/Q7eYgz
OteNWoWXqo1dpGcjP8gFGWk5OCczU6yUCamwKqfXUMHuxIgmjL/SLHFrQayLXiJVULWOprSBBKQe
h+nUyx6Pyd+t4NmRrYw2+AmkuG2UxhgK5Q4hQaEZjVdeFnjUyvYNdKB+lR8XIIRma0kuINC3k++N
Y85tnYU4yQYyCA82DcT7PrXppk5GdYV1GMa8Wd4sAWuQdxRkwJr1iXrG/Gx3n536I8yeo1gr3wL6
NqvJwL42bmLiFWuYhZ1TTK4eFA08iwjemwE7syPgGmoJVLnUL/fRFN5ZpQdldLyQKoTFQlIzF0kU
uMgKjWWHDdYixD5tqadRg+McNG8TKdtC0yJSdaxUQIAnVqZWIXU4/qHJUx8SkWZcIE7BVpqG46JU
Og0zZ/6gVBFTQE8eF0WDlqEaozvpUfQdq0avTvJVENcX3Zi82FVwCHHuLYhqu2IVXZYeTWElc0nO
hjNrtUh9fV1kS2zu60tvjGPW0bGqF9mwqTvzuYmPzD4r990OXuNSS5Kje52tr09M7c9my6yAIUrC
bLm8FltPITiqKLhMEN1WcO6l3nCEHTHt8gHvrLz9MRhofBoFKyh1qAvXydrezfVaumWuPqu13MaT
fttFOhSDoOR2osubQev2RgZZJMOP+59f+bNbyXut+mEHzfsiM6yoSLZxbD8HXfO1GfgGUvQ4WWnB
gViJZxS1z6kW3Azw2zYJKpVVaCp0YzL4ZaUWHupUfR2j8O68NxKz26jOlkuQYwaSUarhjTrCNlqG
ndbce3p2zOJFZaJh8qVhDuIGqqGuUNn1F0mpbCsjD6wNGwy03gnM6Mr3phCZkOefWFef4T6gR79U
8Fo3ErXXiGLrBxOBWTqei1LHxEt/dzlqtQH/Ln1hKeZN43NtnpxGYFEmsVFP1Q4O93Bs/+RirfSt
Bp4gcjZuaIgnRu6T03DuxaPCMLOLFtZqZsSX8Hw3PdmIJApcWTS7TZa63U5rKe1lqga3J37mJ7da
MbtGptASVS2hY0HELyGm3kakEvu20N7Bv8PwXGxqx1mV0kJsAp8g8h7r2ttoqB9BUKBgTzqM8KDZ
nXidTw7ZuV84H132paoOW6vrHvUoMZd600G1i4eDFw3c6mpwFBlnP+jm7jJ2CYwy7w1u/dg/T9LV
GzgTRGC+5aEBWaGKXk1bOZGQ8n6b/M1Z8jdPimkUBYGn7bYNoGeA4fhfPWrmn+qoOlvSpgGloQUv
CAheE/29i0HDkrr+KmS+r0LQAHI6MVOzkfiBGIRbqsv+tvHNEHPI5E52ujuZ0YtlcaFDcAk5rTlh
ZPXZiT1XCXuJgi9xY7dbteweZePYkLgGnIcUe1FU6YsaN197nwOCfgxdqAZKbkITvKDDINvgOqVN
WYfEEButpa/9ifnOIGhwiMIffkZVe+LTH/eH3w3vcVP+sJOZhTKRwCrbrabC6HdEdKWWGBKGIvuu
ly23p9y/If0DfumECMfISZ7nuLOEzZulvB477MNkc2CVHhGeFGdtv1IKrdm8v9//b6D/Uw39/0Wk
/2i1909IfxzWzWv2C8R//Ct/hWVaf2CYh+syfZmju5bOqfknxG+KP2zb0I6WeoSz4GbGp/5fcTxp
mfwV2JM0B46SeqrIv8IyNf0PTEIhxhHuhhfI0ef4f3NCD3/OEyJGP41IPFajf5tNCPNnpxCZJwGZ
dJnp5sgisHMMPNDY5ESh8NnDZ8eIaSZwADwerirpE44yj5pR/TnN/uP3nl05m1w34shJpWtI7tED
9ImFA3/nzKfPdntiH0Kodbnp2uZwgySbYHpuhB8mx19f4GML47NBkb+u33FEW0ef1ETrqnxNB7kk
1uI/M/f6687B1zz+zA97Q9BHdey1NB5yzbhPhvi17tszv+XshuAbyDOmITVdSlCxhJgrV71k/ztv
UGabmo70qkdrYboeHKWlb+WX0KDM1XkPn5WreiGtscs9CWOWMrxv5c9Sb4vleQ8/Fikfhtxx+r6N
OTlcFKvceVKFpMPslDPuJ3PlPSvzw8MtrWppWHmGCxdMue0aYV9iaoD64qx3nzvg1n5gdvbQSlem
7YvXIV0t9MfzHj1bn3kPhpIWPNpKx+jYOtmnEN3Oe/ZsdSZVkiWTxhWiKOCjTxqXtKpqTtS+nw35
bHl6UTt4lZfzPdXse8TVLEzLw3nvPVudzBIH4xT2LH/ESiSxV33tnSgIj2/3m238Hf78MFEmozBr
TUS4bFDaLRp4Jzd+6Fc7tt8ToO9n4zJboYEeKJE64mqCn9ulJZSd338/b1hmyxOUwJl6EUhX7c1t
JbvXwv+rGPlPTwl9tji7LiglogWAQETpl6kNR6ZVtRP14icj8rd2IjJNLxHe4BIDsjen9CItTzmc
fvbo2cGJ7AURw3HdG1ByA03bxoRJnTXa702JDzNF9Vr6hgrYaKmY6CAtpf5JDH103rKfu0qSvYyx
AqImV/PGZ6OtrkG63fNefLYwNRMPCU+Eo6sI7ftEfjN6S/XlvGcfv8OHQQniMZND649ubw/jWnaF
s8KArTxvm31v6n54emZDo/W7ekBdYx48R6LHKB/Oe/HZqlQwzij1cTDcsNAee2l8xwvoVJ7PZ5Nw
ti4TI9b9NmwHNyzlzkjkdRd3J+zTPnv0bF2mMHSVJOxHF1RUX3hNdJ30zvezhmTe8Rn11Oly0Rtu
FvrIZrtug1Hz63nPnq1LDb1BaYbDwH6CbKa0nJ9KOp03Ju9YzIdZUld9XuRc4t1K9D8KpX7y9a/n
vfXsvCT0Sp2ciNGu1PS6zdtr4ZO5ft6zZ6tSjXSjcGgru/Sg0l0Wmu1Dq+X+eXX4u/vehzExq1HR
4qIY3F633xJp3KeJc+LE/GQKznOpqxzqOe4go6uZI1zRQN1mXmCfVxTOnTK7ST3yIfPB9dp+o9Ya
APmwOm/AZ6sy9shhaJ1iRL5FQhxUeRiOZ87u2apMPDmVlY+vVmcd7XpkuA9wwzrvvedwZ+RXnikL
ciOKMEbImOzUNDzvZJijlT6OKIl9nCUx3V5ipLnI2vgrnjfD52ijRwRW7TETXdtHU9EGyHlweDtv
ac5hRT3TUjsumShdi89Vpn/x6TOcNVHmEKGvxJ2hqEzw2BDwrLIBhWpyyqP7k9Uzx/iiWOLkpDcc
aUXzReQ4trVCnAhl/ezZs5tmUk5BZVhsKXlFdzez9NUU4ih53qjMDswyt4RaFhxqUJzvGj/40san
PHk/e+/ZyoxUmpkB4+zqFLN3Sh12z1FSnbddidnaLHUcEuwmHdEBZw9yMDEKS87arEhi/7X4GaLc
qi0/PZ7zGCOPnf3DkGd9yr+ZcxrZYDZ1nQx0n/Rt6pDPkegP53xIbIl/fetAN20BO3twa5lJhL/p
QxBPZz57dmD6OPspKmIxN7fDyU0adZkkeXoWkGLNY+6oBPEydfCIaivrZzQ06iKBe3jmw49z88OB
2TeIo3w9ZA5qHfwLP3slxPj2vBGfrctAK/GBFIw43oNXeqy6sg7Pqr/xwfz1tZ1W6EkAI90NJ+UH
tlhv+GOdtXAAWH99dJDL2gqMeiSmoRMrz0L5i5vf3XlDMluVHVKsRnJ7cO1svEN3i5Yzjk/0UX6/
nZAW+OuLVwlko1DlaDAMMhYGacKlS3vlvEU/z3eyRIP3hMcUbwLhuH6PRdaoZOHhrHGxZ4vTiiNF
L6JyctEFipdEbZxXz+v7y/OePluekTmoqV3LwUVU/yjM6M5qzls+87iNRlfbaPAlqLLSoNwNdZwR
lfPQNsuerc26Qj1ET2bCTMO4zUY0ZVV24u5w/M3/Dv/8LbJD0aIOeUk5ugLRedEJVzT9tz5NV2p4
Munwkx8xW6LQoOkptvnkDmWwVqW/FvapVMrPZvpsiZrSc1pf4e19DZ8ppWgfexCV8+bKbIX6g+bj
S5WPrtUWimvE07DopPLjrIfP0y1iUY1mnFcThIbmKar6r2Vx1sXHOlosf9zHPSsJtE7T2cf75HvS
WD+4y55KHvlkuK3Z4kR+i5pjmLDPTfOXXPMOIvh23njMFiZeYYNwyC9226g51BFGdNOpQJHPXnp2
z0xEFZbZxH5V+7SIB6eWuCKch4nhI/7raOuTnoxRz8qcwvHez4p70ZzKLv/svWeHphWUNjGvyCaz
Ir0wMhMTpOK8zcqar8i0MG12FM0tG4UKyzOxVTz7vWdrsmsQFErShvHJ07bCEw8ODv/nzZLZkgwm
hKyVpHUvp+6ZonlrNqciFD8ZbXN2ZsI+tZHdQ/uaUus+8s3XKbfO3KXM2ZI0Q3A2KzQHt6Ktj1+I
VaHoNB7PGhNztiZhCxhxLEg1xXFrN9jidiIC+bxHzxdlWBUhrkWjm+rFg1LWsevjQXleGWHOlmWE
06VRDIRRjXmISFi7UPzmvNpqHtqCZUmYi5RHq5n2JTSGe0jwp2jhn82T2aoMAwjJmmTpDBppUib4
o2W3z+eN92xZYsILLY/kAxdD7rekmF7so7L/vGfPViXx2WE9xODUzhjf5D4BXCMXn/OePVuWiVAJ
uPNyfIXaZJ15mEDqwYmd6jiLf1OezEMp8InKpgKvaFdEif4t7BCV46GGom5hsfSlYZ+5jN5Vgx+u
P1o1Jkqdg3RaevKC1csqabzvZw2PnK1Qr9FiMU1MR8HF2xyMx8m0v5z36NkKhd09HL1hqH+C5i4e
0BDnzpmPnq1P32w71KOghb5ob3zTWSGROfPRx7X1YawjI8QyKOSti7Dol7g0gi/lZ8Fi1lHz+vHZ
FZGPxDVFkxtGxbCKknG4zHJlPFEtH9/wd9NxtkKRz3R2YlXsiMrYvECXq69SL6xPTPbPnj5bo8No
S9XyuXBmpvrmNxF6hM58PW+mzNaokWJU3hwr5SJNb9sB3m1fOeftW3Mm0EAw82A6tDPBOUlZiMnU
FDJbnPXi72KBD5Olhm+I4pXmndVZVxpEfl/Xzzvf5qnBOgIckxQNeneJtx87bC2qOn4477VnK7NP
TBw/nICCNrknTuA1bZzzEI95UA7nfU1wlD+5TZ/Zm7TNop1nNtOJMTku79/M8DkPSDPIiNZRN7jY
g5DY7QfJcJPIqbmrA+dkVPQnE/3IZ/u4SKOjDLuT/ArSLnfFaD+rhb05a9znffug0MlDqANGZ1Rf
lYosj1E7D1YxZlvLWCBebmyasV6JRWgn8rd2DM/bEo3ZxtIIM0UlASquiWaDs+ha008Be5990dlg
Z4EU6pRz8tt1lF/ixLrs0ItbpuKdtykas60F3byZoIsEYM7j+0BT/h9n57Zbt8117SsSQIkiRZ1K
Wst7O3Ycp3lPhCZttKEoUqL2V/+PVXwHDVvX+IkCLVC0ihbFSU5OjjmeL8cu/vD7mk5WniRyCwG6
wZVVP7ObmMLbPWiqzXOuiF+n4UxAaDEdKuNdbf9MG4YmoKP3u7pPqLPrx2tngzLF8YrUwDvAcOpL
BcGt37A4i4ttBQjG+2UmNunz2o1X5cb9Lq0S6uz7W1D1eodV1ykNApWFNf+xchhS+b34ZUH422Ie
tVEHEhpeXNU7TEG39qwuvB+/hzvxOQH7HlY7yu7ouENPIKRAg1Wx58OdAK0DAJ5qibnSo/U2t0ph
BaCB30R09UDWgpiycET/SvbrqgdVZlw+eQ2K2/6/Ehi3qwSfMyImH1JglWX75vdoZ4Zz4Begwkeq
dQQwlweIqy3gHelXfHflQBP8mjaKK+vTWMontJQ8jsxzvfrL5OFvk7Dqatb1PUZ74O33EIkKyIDP
fkPizG8o6USTDnhrU5dXGz5mJwK/0rUrBQplj/77ZN1OQMh/ifb5DgoHvwX8L4eCvw0I58uWtH2I
uR0f59LKx7lN/VJat2FdlzDhFjugZElA+wyVkLsl6Txf29l3glFDFNmwHXVl2HhtcAlHp4rXd3SV
QKWyYUxCZBElhLPXSXnUcJJd/RZBt+da78CfmDTFIsiCK7On1zAQO/m9txOSg9FbCt9S3J7EmwFB
4OKjPmx+S4nbSgwoShvGELme5j2Ap7Da0czea794d3t/cYCAP3gikOYP4QMZ+7tSj56D4gQlsG1z
NIwUCRBFwzL08z+T3vN04mqBREt5Ow2Yg2Zlj1Nj74DH/GDH+femojRxpUCAG9bwVUTZkHFZHWht
7yad9WGT3pI4tp+XuCMPybGJZ/g65nzv1ocQ7Wtf6zha79DOY2HC33G4CS4bjeerbenhHwrjtCdK
ODxYx4mA/0rG+nlfSaC9lK2Jq9UBa89uMKnCWCf0axyVd8z0115z29XqROUCZteqF7i5dW/RON2U
cvLrrIBd1q95yQ67ddNRtZyO9LsZ+PN0eJ4DXZnOGuJ+dwq0gXE/PPFgIReBO+I3IE6m1sEwapbh
Zk5JL+8NnNaZ4X5buyvSCZYGAJMNld814KqIhgbd0clHPj+XuPuXI6bbLFcnE+abPQx8Xi0QABe6
Mppm/BpwEuIkamicr9DEjFEZiFLno0R/p5DRB4naJcH+t1d3zlJRV5KwVPiaGxTcL6leYMG556A9
nFU3pn4Xj65gxybloCFdhFHnOjXktJZT+ogC4vh/INr/T2l7Ejo/Ik1WaY4a97F8Le9h239bpeEH
S+1l6v3L+Li90lB5mGEiWA5FYNu3MUDKktlBwGg/6jFqPvMeXWy/Bmu5w6faRgAdGTPtwAkBcAk7
ID+1IXepwDptbSzZaE62lHCIT6Yr4F1f/d7cXWbQdx1GEm9O5uBKkujct8P//B59mbF/y+GAEQ2b
bUCb/AEHSj3b22AwXnUPmAP++mgVVA369lMsvJ0FOCMZLy2iG2S1fm/ubM/lyEBHsCaG0DCJQQqq
p1wF0UeOA/++2KAT8teXH5qKT4pD00339WuEptx6BPvU782dpeYAj6+zqKyeAHa5B0BeZAeJPb+n
E6R7ZZjohUSnkpzhIlc3Nu825vlwJ3OGU/2wTyOwhGD4XUihx8PItNc5hbvioyqJtwWOV+y0jscP
u/Q3SSO8snLuKo8GGBHBgwFN6ADBWDjV2DVb7e7XSMj/oTxStEMTOZ7eRPIEKv1tQ9cPto13JqFw
glM35ZG0M9wY0MD5Fbyee7H5NcpyV3cU2iTZ4hL9pnU6w0elSv8s4aTgt9K6uqMW3Wywm8F7k7m6
SabkYaGecSmcuBzL0Eoq0bZJxyg4Da3K60SJwiswhROYMFueZrUYfrLHIa5JE31e4/0je573PqYT
mRLEHcgyWjzcmLd5Cb8ewN75vbcTl6BdtWY1EJHB1v914CFscvzuOtAu/us62ABuQWiDecJ7YEP2
JT7HDJw3r/d2NUcxPO4jZdG7hR7iI6dWfok0H/0+pis6YkclK14mmIQVeQRb53wExG9+J05crtgc
GBvg5LahjHUzjRPAhLaO/FbZxNk38THJEld48a1c3lAj/2pG/sVvwC9z82+7fb2wPWI8wqPXZAG4
d8ybMfHbjxMnMoXozLbHHT812oA1Otx1Q+I53k5crrtoW9uuaGBPQjgMjfJ56qLQcxI6cVlJgEEW
jTGRR3DXJAswXTHxOtbyxAnMmjBI0We8OBGHLAhq17sO/PrAuSs9SppKxQe89U/7BoIrLJGZ0l4l
G+4qj6aZcVU1CzsFq74vj+AkEz8BM3d1R3UgS35AwwxUGi+vLgtKBeNyv4nCncAEoLgDFwVDwtbx
rZzJVTSqZ6/QcXVHHI5de0xXdkJ7DmC+ARh+sJ/ye7YTlslMIrmCqXwSO4S6qiVvS63Mb34Pd+Ky
XIGuAeaBnUa4JMGhpwNW3XzkYPPOpsadyBRh0C+bRNN9MIgHtaevq6cTAf/L+vFvaxVBA55WauEn
NYMn0TafGiHOfkPihGXQJCSAyvpiFWBgE8pCnqLdVNe3Xo93xUdVVc9Te5ni4Dqe2Ua6U1ABb+n3
cPHrEr4FYQLuEt49Dt6iqYf/eTD73eFxV3EUQkDfTB0KBnsZ/75JlJcX4C39EnzmxCZIEmRNL1Nl
DsB5aRrGrwipjN9uz5xNE3vaRhgwHidYVD3SuHs4/C5Q0D3+64CHG/QYCCJ+Csb59tjX63Iyfnmb
KzqyA9GWtjM/xV30sETVCbo0z/FwAhMAs6URl9pPEnN9HVHbnGG56TkHnS1Tb9EU2aPmwC5Vd+Xc
vsq98xwSJzRV1TdhAoQMUBDBE5Vgf7SysrlX7LiCo/DS+Fj2SFGSBvZ1qa1u9nH8yIT6naXQFRwt
OtmCyGDEew5beaW35vveBKlfduVqjoC6wTIew/TFmDrJYY2nPuHurfT7oLETm0aHW10RjHrY7uxc
olz5NEvNvvsNuxOb5bzE6wxFACwDaJRbIcHt263fsuIKj8p9qzcL3zcYsJY/YPA6ZwrIW78Xd7ZO
E+GeqqlwZAMBAqgEInu0FbKPTm2Xn//Poid3tTtbHCS4RsGCqGJaPxxNW6HZV1EKCCJfjF8mFzuh
Oph4wG9Ax6ks68d6gDEmWJx+o+OEKgedA5vFZRUYWZirsVryle8fGcS+E06uEVEUadSuDaZkVyM9
lCB55vN2xH4ZgOtDZHo8fAo5kv4RWIOJv2598s1rWFwBj1RVso8Mw0IXHj/WXJm3Sa71Z7+nO5EK
xOuadhJTkgr2bemPK9Nbv3qtq+Bpgw5JSw+bMHhr67xrImSLRnsWPamzjSabSSrMc35C8yyoZ5ME
rIUfnmPuBOqou2Xa0BN+msuZFSbaIIEVR+23Ov6DSTP2EYhuKK/ULQPecroG4dxLkcVdRWO3NsH6
l8UpEE7oVYYfL272QQX1myxOhK5bNdrUoKbKeQxXYfj8o9ew9Du0uOKjuDtK2VdIRNMqrooyCn/v
tN89InfVR+3G64NvOJOX+3IXwput3D9qXHxnXXHdiOqAzf83VVJ13hb6kyzLi9dwu9qjbktB94vw
1pKX6pzUzY9ewLXZ7+HOJjpU1CysozjaTsdN2kCKGcb6538/+52dyKV0sGBXCpJmeChtdf1mjr68
x+7UnPWy+PmTcFeGtEU47oseY2NjNM9HYCPephd02n//gPc+avRrji7SjTd9TzDyc/koYfu2ceGX
X7hKpHqQEQ0OPFqQBH1v4nurFr/g/0vA8bcTbphABtckGBNmQYVFoS8pjfRLXVwlEokNgKYJbiUC
u8vbdTvEGea8fv4n8Bf9dbxrOHEAQ4NB6QLxtvUohKQk8TP44a4tUV8xxdC6gwuVbu9udAQVKc4y
1m+quGqktC1jFV2WlrShv1dyHdHCGA2eD3eCdAUfVDcTHl6LqWgmeifkR9Kyd2LUNSYyzVxVsGaN
T5WkNMn6OLI/tj6Axy6dptBzUXd1SQCTDGVk8aesVdvej32w5IBk+RnEcFeZpHULN/8Ik3Kj+54D
q7wWVcQ+yHTfGyAn09UQfRM1YoFcg6V/2esfScuLzvL4g+e/s8a4GoUuAU45Li8vX82fuRluSOjX
mgFj3V/DKY7LQFXLpbZoYF2vh+imFan12zhc/RN4o+U+hRU7TaZ/SPVxXVPhVxN15U+QSyuzcbx3
0wNWYgdwqVEH9KuduwqoQUPquPeo5ZYQrJ1UT2774PAThWGl+nXE23CYplXjY85aP0xh/8S71K/V
k7siKBLFS6DjAHZwafPI4+o68TOa464C6ujsQSZyWdRF/DIz9SD6RHpOE2cLjcJK2DhGmXirTZK1
8/B128Gk8tqfiRObWzCOaNXHkCzr/rme6ptUG8+ipSt7YnFghj3Ai9vtuHAYPwdaes1v5iqGwhC0
QbZiNUz66KKNPc4BbAS9dmjmCoZoDFjOkvD4JARMpzgJTrOxh9eAM9erKKyHTZQ9ZspY1s+Lmp9M
HX7x+ZbwCf81dHByjjUbEZcQI7zshNhTi2ab4r8f/u+LOHM1Q1IqyBEgWEGROPpaRnWGXrgrNR5e
+/Nf3uZ/v/+EOrtexhEGobyedngu9NOLoav0ShWZqxmahmEx5YQvOgFHUSxVCsFWHSmvcgtQj7+O
e8BJL8llaJQcXhilN5z4XViAb+w8urfrAOgq0mdpyqyt2adqSYXnVHQOoWmFBBogbnYCMOa27bs3
UFe8bsqZqxkKNmiWZYrPOSvQ7JpjNfkGgOd/T8V/3++ZqxrqAeYcwxG5nFmDYpj0HeAwfp/SlQzx
QOM0hxaqE9VHn1EL+mnL9j/93tuJzw7IHgJyNg5zqXyoht/6mHrVnpirGZKcLEd7OcOJZioSzQ7I
HFc/RTwAA7/OQSJokISoU5xMGDyo/m2LzavfgDjFIayxhCcJxZNT/r0dkz9Bw/7u92gnJpewi9cR
hqQntHmlGQUE6bR4WpQx4URlB3worXR8ycWTF9xCnW0z+vW8MeEE5bwsvNY2wkIICC20PTLKIO71
C0tXM1Sny7LxGaNSMZLH/fTUz9xvAXcVQ1PUjFW0hzGILOBSyWl8ttvkdW3LXMEQqeuRCorxBpkT
xCxDs53qjxCc76wmrmQoFrPsp+ay88hhfG4l7V7FPpW+j3fy2WCR4VQajEurQH6U0YNK/QrxzLUq
GpdqViG0D1hPdh1mAZAGd2KFbNBvf3B1QzYFsqmLSXwCZPgxtnWR1sJvnXX9isIxPqSgI67k5kBn
+qh/1HR/8wr9xInOg6W4T6UYcQC8HhfCyZ0INfecik54LkNIUrLhxWeePIIG9Bnm4yev93ZVQ+wC
/RtnCJsBTVtIBnTifNMmW/tR+9E7E92VDjG+V4yXkH4ldnkDc7jGDbTynCuueOjgkE6rGmrErRSn
gVaP5epn28Zc6RCMX4M+HnA3bIYluuVzSfIwVh/Rgt/Ja1310BQAjb2aETrBqI7BITf0zypqdJOl
U117fllnB63nEYZOYIKgn34Fgz5ZsyVItN9p5S8e4t9qlaTeD5w1oYIg3RA/6ACexGiY8Wv3hALx
181fix0+IzOGB+Wzu13S7+mges83dwLVhrxtGosb0IGNIidS3IytXgq/aHICleD+U6Udktvd8mKp
yzaPJf8IvPVOKLk6IgachqjJpcNBho3JWtugn2quVr/V0bUuUtYuaogGIB/m5kwq9fk4/FqRmCsk
MksYrHDTwVViKWRWNUpn5e7nr8pcIZFUXQWuJW4Sg3SfctGBpWtF4/lF/yEk2si2rAlAGDyp8nRM
nwj3uzBn/1ASDSgPSxmiXMa7KsPE/GP9iFD43lRxclw1rFJWK+Qhqk2H7OhaeeqqwO8ClDEnPPeK
D+kmEqws8VpnlDR3wTT7GV4w5sRn38lkr0LCT+C+9o9xX82nkVejX/QzJ0BBs58p20I8PZrGjADB
rYfxxSv4XTnR0W/Ae05QKC5qBxfxmETWbM3olwO4eqKB1bSl6pKijz+iNv2tE37sEeZqiYat59Uw
XFTJe/l7x2uL0lntZ0bFXCkRzp5qOHSHmll1QCibNPt4H/At/eI35pcN9m/7UGoCJUfcD6G9EWIW
MrFruAIZv1TU1RIZDr5bXw6XKwR6BcPS0/xhB+g7AeqaAJVG9ACpXg6hMysfDjV9F7SUfqciV0k0
IbmQ4YxclM5DcCJ6/mn1dHipH9g/FESLraZylCiyzGlzavnQQr2R+jm7MNcESAIkOaYCT++VLWQb
79mqPduz2T80RFOtd/yF0tMRTlkb0m+0XrzUMsxVEGk9yxRYZ3zQidzJIfpdVNJvxF0FUQgkUMou
dcSwLD9dHs3ZevYKH+oUh9Iq7ck0YCWftrQQpn2oYuNX/XTlQx3tecBWgaN5uUz5hlQo7cjgt4y7
6iFt1TwcA/psetl+KvvhYf3oHPdOZu5yzKrKpvxoD2TmDSUn4OnY99kGqOYc9Zq++o26u3/qkgQB
jlgnSB5uSktl1qAO6vdsZ/sMyKqMVDW+aC2n504CTgw5VF/899MFltV/ahSZa4vWq4HRssfhvCu3
9r43Y/nKxgUCSzRaBF2WdlFy3yVx+HMznHoWp1xl0aTKpR2WCkdrq+6PSw2mhMvZB2v85U71X36R
Ky0aOQWjrcG2iuZh8qpGpqJTm4oRPaEbfNlOw7qxIOvHw+q8LJMYhoc0sH4TwRUf6V2lthEBgMJQ
CeZgo74NE6MffKv4nV/mxDZp0FK8KHwrE/GvepxkHoaln/Uzc82P6Dx2cVqV9LTZVYIBHkdFl86J
X3i7AiRcrAfNvmMSs5Y8xeaIrvk+xH4Lkys9gjvzVqYTXn3Yx5vFQO9Zhn4br+uAtG193Adhe7nx
QYEJ03V9hl64+8DQ4Z3gc6VH6KgXqWmtOG1obOhPjQjFFyI1rnyXqQGSE1smGc5J3+2495iVGP22
NleXRKzewIpECSedYwZYSByk92XYW+I3Uf+hTcJ9JEAeiALeLibrTbhmQSj91kNXmnSkoMgnZZec
qFHR6xLP7VOzjG3rN1NdcRJtSCWDBpMp4XVuK3Fk1oSeV2WuNikyU7RWFQamW9e22Gt6a6ras5rg
OiVxHqSd2PHwMG2HMwnU79Ox++mGmKtOwhkrGJfgsrDVorzq+jdLde+XDrmapAWyElPv2A7K1D5r
qdRTKEnopcGDjcav5wl7WdybqgPGlIBmv3Lxv0sfzn9vnu+kFq5hyqbDvZMkhb6vHubvABG1JENi
PtBiMt3++b//kHdWfVeWZKWpJQkwOjLY3pBAT1nYhy9ez3Z1ScSijWhfsCwTPspcNRAm9x3znO2u
MIkTlerNYvHkjFaZhoPkeYxU+8HgvzMurjZpo6rhExBWyFzW71Ep7+GS7rd+uVZBcJSigYB9wmnZ
whzuy4+6iv0O/a5QJglx56wpxuQ4CIrDTRXBisj6tSgxVyozxVYnukNtqzvomgmczMPdj9Ybu1oZ
fRCiSAutTDDZV/gZPukkaD7I2f79W8auVEaBFj8Os7qUh2WAXlBxasr5o4LFX2vUPzNCmE7/ugQc
zTS1zRJD/aBGoa7niqxJFqR1EF+pznafelKqPdMpVtBc1E3yJYCCdClCBieEbFCynosZIrjL/w+C
0nk1ZfSRh0EY/rUp/vPtmCuDq1JxkGrBlQd6kER5X1lup6wRbRRk8zRXSdaMir801SzrPOSa6ete
002bq2iZ5uXIzH7ADRfCqHYP8e82dHW0cVjfNHOy/9ybPkkzqKdlUVXpfLPoKdrPNQvkVJi9hxp5
B+J+hs36DLs4tgY9PHbmJslKbtSbPlouTunabKpoj6WUeTT35Xe27KYvGinXLxsxsnqA/DCZs1IM
9ZDv+zK/rPtyJD8jqcoaBlitHG97rdanHVi/+LGtpeD3MOM6qvuDAcpwJ4O+roCxPcb+DbePyXq3
r63WKltDNpVHJsbRbAChEwABk21SsI0EAEpsZ6C1Dwl9rA4hIKRdOV0D0yqbK72iAPbV7tGeXu27
6KJ8tGNZfQHHcfikNA5+T4dgXZdJyvvmNiVxSx77dgxpnhpUs+8DXav1ExuHfqNZDVschgUs1CmK
oh1orSrvZEeX+3lMt+Z/axiF5qbaJZ9DNJHxsXkOKCg793V0zHBdCmeS6Oc5niuDa9sQMu0smtcl
fB5n0tsbZPSVyNSmhQXxp9uPM+iygG4XbCw7e4rrSrP/TX2wDkk2tnPU7YUliRUCjufSriAezEqm
P1YzlOFPkBbG4ZUmUD7dm46t/VMQJ0F6N65Bqp5mcSz4AGKR5ZyB2rz0LEe7/n5cXhLXeCpP0NVQ
vy7tzPRT1TLRxnk8ALllMjWFeroHS4CLNxmNuHiarTzK+rolGGX0iDTVWdRHqU3GofJ6qWYWrk+T
UihCJH29tPmq1t7+keq1HOfTNPTw9qfjYO+gdBYTRXbNBCdod96Wz33Z4l4BJk1d+NqVNY0KoytR
jNaQtggOFeKro9YESl8f6zonx9oeuJ5R0+OQRMNjtTQxLBErlX4rY2GqW7j6jDjp2bIaD/ygoO1w
9htinXOhLoNjrjRGISxouI62mCRrvpJDa3tFUxXcoiI5BijT1oqc9tHEn8JBhTeTWOiQ90q3URbu
ak7OmlZSZGkMnHQmhg6MzDRmpc6WpUNtugPe4Ztq+nXPRCWqMFMB7qukJeOVACTjDAu55Btav3Fn
a8ZD5309NV0Rl+u4Z6FQ5mo0K/1tHfnOMsuMkRAqN2ItwDqu5ivDYvpHMy0BSKgt/5yMqdagQrdH
WeDKv9LXejC4pVnGo8rIwtJXujNb9Clft7OF3Un9uFVpcA5AduhvIC+034YhrG6bua5/j2SIt5IS
doV5t/KV3kxp2egXEwDhldchPHWKo1NDmoVGpePzsAv53Gn0yWfjWoaftlKKurAtIaLgnWhBblP6
RqeHeS5NgMPazoJyKabevnR24Nd7AsJWsdFkHc+B6ndznsZwX0/InpnMYLUx/zlWPSUPpJa6zqBA
Gdq7Ss24Q9NoEFtv+lbqfCyDrr+mR9nbE/bc3T5AFXzTi3X8MzwqjI6q2sIGS1VhnRnojdTh9NbX
Mf5z3FgMU97inui5Rje+yCKys0/bMiTyFvwlBi1A1Vp2pvEmPsshlPNdbA1agWptVnme56MJ7nXX
zvYavJntru+AS86EgStTvlQ0Wj9FtIXHIR2O7qzGfdtAfib78cX0YrtKcEdy38R12xchRYMxi1HU
uE8P3pF847tGt6SW9r7jK+9/jmvXJ+eKzcmWpVKMURbovtmeh7TGXUhFD4W/x+hYxg2gFOEpXFkp
i131CxRBW9ocL5rVKy1gI4zOOjKPx0uMG4UAiInUyG9zOsEqG0S8hRZNX68PJdS9uOAW09ad1j2i
ey4aWEFlcuZyvmq6DmzbjNGlyyg6ve9CWtPzotrxLd3BMlz3UYzXg4Si93bc9338tKrelLhzgsiX
Pxu9t/MD9qKSPdgp3b/sqQmbc3Cg8fqqFQE8F3I5UGDRAKnhP6uEW/SPp4SWaAdsZHrbzTDnu+nh
zitl1lYDNcU8wQXrYVqatAEWKiTtHWbU8FCLpkFb+6oq3L4C1XPahzpcn/sLJe2JslbTfJYm/F+c
wHkO5TxVwWL+4pvyRZhkqLs7WomEFbDBJGUD140pLJpYkNOkq5+tCaY3FOyPAs0omOh1mg55kMDL
DseDOHnucGf1lVu9/EiPbhuysJ2TNC/Tkt2Yhhp48K/bQ2zJ/NK0seC5HmEJaGRL7+yyLH0Wr1rd
oWJT5RPa6PLQdOQmtn16t+ljIsUqOEiGAv9R+83Y2vwvRv/uJ6lNvbVZXBqui1hj3r9AIGbj65Ee
pM+2xJL63HYybfN27RZWDNHMv4VlylFZD6btyBHVcZDpaB7CNwTVXBZbKoPhvuqOGhZ67aHP0pZN
fAWZVWsyTD1718UWjujkCNubmgIgnAdijocM1nvJta7bY8phRTHW10KmyQMocsOc6SbotitWt018
S5slNHM+buM+rdlIdkufjKyTOF97AIuKVHbVczcYPhTGkua1ikbbZaRc6ZTbtpuyfgYOLBs5l+tj
0KbJnDc2lTe675S625Lk6K6mRAb2JYrCY84hx8F1H62QglRib+hZCBPo66ZtE1R+5lhl8Pn5Q4VL
359HxlpbpKwKb+Wm2+ZKgF8znPRKmqLjwuY0XpBOWcn01wV04yWbLPaAbA+7b50Y07sGHeEZvHA/
tXIAyLahbYSVHi00sqi3UNhzhIwj2xCMZUb3EJv0QkT7uHW1yhoiVwIW+HI9SZwhkjVMMqpDmuFP
0sWYlk/b3Py2G2CD6cbo9dYsAlUYw3HnTSfsY3Pcwt0z2KBLf57IrNhtOdesypfN2PlhOsZyybmt
AFQyQx3wMzUD2ksrtPhFc4YkplpvQtInQ95NqpXZFh2bPBvBp+GRLvU859OkaHWtDwlP4a1J6+R2
SpCPZMNglvnnHnUszeKjA9pvQRK+FrZcRVcMQxWRvAmRO8B/fSPjV1GXgS2GUJRzoSuAOvFCm31F
ncw0+QHz6Xsk9ejZp6xc/lhnAX8aHZekyVeJ2XTHkyF9REX2KK8ChuTqqtOW7a/pOHYMczlaSd5X
064+DfVCfzPMRIiRPdDIUNIyGHIBC1qFe/FIN4W1sHi7ogFcCM60TOPwBizILi2oIFX1UqH3iTyq
lB1JhnSgulZ9GEQYARVNjyLCIaOo17VMc9Ol4dc5CTaJ2lvDZX8dzKBsZn2DvDVPWaPoYweFQp3L
xqLvZtmsfFqiCdegdQwTh4wfkOpds7SW3d1Qi/AVtfklybFu9ldJFIqndtvJVLTcNPblCMf1Be9N
vlNRwhRRw/SguSEHWCgZTGrF8uNYdhGdQPNGnW5T07oXbdLY5A3NxXy85vj6MsnHJEyr77OaQEY9
GtzSZtXWp69M6K2FqXPNySkAFLfJ92Ai/bnq4a5bzOM073fwmJrHPK76aCi6GU52OZJ+ct9U/bYg
+7Vdf6fgc/UVTimCZNrM8J4czLTBWDQx2+9p1G9hDZHJuvbXdsECfW27qdcnO0p0x+FdlxR8+ZbV
EEdi6z3NdAi6J6zjcvusZ/QY3R17jbNqtO1S3WwbpPfFmIDZVJRbeIginKI4zo+QD/F1s0YC680S
1bDsnqZ9ug4PjmPg2oJ+/IZvTtkdSOJq/NP02EKvGI+P4XcZob0opzystk87q/fwmS7BXJ9gE1SK
om+JOvM4CX/TUTg91hR7fxGFw8xwWlAT+h8omoqLLh7Ko0h7Pc/Xxm4tLUTc9sFNWkNt94xElM45
QJvN+EWow5gHCbc3ZFxLv6H0UU/jmeDJj315IMFUqqbdlzZiar5ve5akvwUdi/VvS6QIfwq3aRXX
eyjo60IZNZhnnXnSy8ia6xF8H1YgrQ5lPsDvvz9tc9pHOZofSPonpdAW6qwJjxWyv30O7oOEl9Nt
bHDtkR/d0BlEjNFHNrQshYI3geQuucWsTzH+MPAJnhpSlsEncKGQDrRlgAjCx25r3qGdCt/pTHey
r7g6gflZFvJpJuhXiMfXeOo4Jh36xjf9zei5XX+kMKEsf0yyDI8/0gUz1/6MIgQqubAauxFH1FTw
Mp+7iMzZnuiNnuxwQcQ1TbrezdKObdFt2L0yOVY43FbN1PweK85/2wDwulTlTUU4cPEJIgC3RGt1
nhX2zL2gAf5ZAgIg53W7K+N10PunEITLes/ThcrFFFgL6h4fdRawRGlxaNJF1FqcXqZ6j2DLhzvI
9ASbXysL2sjd5uAgRP+Ps/NqjhvJtvVfOdHvmJOZQMJEnJkHAFVFJxpRhtILglJT8N7j19+vOHPv
aZYU4m1G9AubIkwizd5rr7W28GHixA27woJLyESy/WnKEZ0DQiNNLJ2QsFFg9m47EWRg352K1XqQ
KjMdIo1aGoGVFGl8M8nZjJ/YZtsqnD3m0j4ZW8c9d/XU0G1Be0vnffGSTvXvxwSE4H1VO00R9Nqu
YrKMeKSRcGGy+Tnso9FOSxmnHgSvwdze8Vnt9HKj78m9quw0O8jJnNobozelCid2mOyirtv5ngao
dGxtqjGx7po0n4hOwQrE06hNS+4cgbTwDFLTtAUdIfd036+9mHy9lWVxsfZzNB2SXpqUuTb1A2bP
LPy5jpdHgYjg3h3jETmI0fQdzqajWYVFPVrNpTPP6VNVrVHf+L3CW4wQvs6ZhZIWh/l+LoST8ZYu
Xv99c102bn3GIhwfElFErm9Oo3um7M39kQmHdNUWhaODlWJJvzPz1CneDXyVJvPzdgSl9tehrAt/
y2aTLzFu+pbu14je1s1afMHnDed+sKZQ6Vbd2t6gqkuTcp1J7MPx5sdFpTsInMWosB7uOfTofOmZ
e9XiqbrzGmXm3xcZV+MOX9Heor1hIj3WFgF20DQddZXBEIhLFl3oG+XR3u5W0zGrDkxg6CrYSJKL
MN2GPrncllT37G9FYvqQpRGJp+Sfw7mJAf27dRzjzKer1Oxe9dbakUMZtZn2Pl1l7c+66N0/zcUQ
wxch+365SRyUeHtAXUxlVa0jXmGpNJ3AYKclgU0j+jsu0eqryTXcgX1IypEhx0UOP+GyzfIzYc8l
DdNHt7bNAO8K+UkKkCd/wWriPpcOqAwtXSIyzcWu3XPOG+SEFmSpc5D12qaxWW564DlYMATCaLsU
qgDbHEYv00IaYDfCCtuohsc2lnEbXXay2uhELp1IBaR47vs5aT3HF97sVkHj9umDjSna+VBHnQpi
Vbofo9GFLd02XvKhjVv7cz46uQ6kyNNH5F/bvUubCB5y5kAn87E8f0pM79aeovSrI8ZChsacV+fc
ZL01V9PYsbHmd3mcDYpgaZnLYIzc/qDjZRDnZbbCoLZcpkbQ5JqGJdlEI6T9RhgQ7zHTbmLOuZHu
U3PElnlhdHOd3MdH4u/XJm8IcxSVGOsHstw4uS+h11OikZxS4DUuqUMaAbRd595QXPWrFrtsNLDx
SRmOdtd1We6+xxRXzIFjKHbdiFOrGkPK5zoKu5HgvmWCGRIozSg6Xy+gSMG2JCWm06Ajvk6XXe7V
10o768dZ5eNZXLhivRziuuq+94uIOCzKYYgvjLUvUUEKNzW9yc+Q1NwuwjSLwMvbsvUtxzSMW7Nd
k3eDmbgiiIfGOd/cxYjO+2rB/7vOozj9WMZ0z7uN3NRSxKhyWoIxjeM74Sg6MHn9WF7rfjJpQFJE
9fpuIak+N9u5vVwjZY0BuRMuQzriIB1IyfLbyrLcb7IsijTMHSITv9apd2/SXfSCUniDjdU4dUSZ
U7p8AqOpiKANhK6kNlk9XBqdY1OY7eb1s6jn+Twyus30Cy/KrpupLn8U0nHaChxCsltEa7GVl+VE
wnc5da6X+eMmxyVY84U8X1eFgTmU5psd3KyY+sTHRieN7h0dN+6lkRnpRdHkxRx0Vr4YFyoax4bR
dIYnmgjmsa/HIXF8uVlre7AwmfoyussyBcRx0U2qZnVlRd7dOCaQRzG8c5eQbXN715tpo64KitxP
COmdOxcDgi+rS3JxUSWyiM46WQh9EJa9jgfavHSDP7Rz+l4jT7yzhihp/S5y1i/IFp0HVc3VRT6Y
1U5U035NwFp09X02WRK+1ffzA/UDy4cdQ7RGtZ6dsxbXMfnljQn+Te+sHorAbiJ8+pTIbTlvOTvv
0ND0xnlpL0CkhR3Nd5antoupd3Tqr5FXXMTN4Xuzzf6w0ulsscQcOofBw1oisI9IcCKz+F4VcfIg
XSZX6qYV3CVLjwd6RyLL66AvNsFQ5nyKjDZE12tcqGs73tbHCJDvY6mj/mZtvEGeeZX85InVX+fu
h46nD1tRSIDlIY4vMr3lDZCfTi51myTnfBjDb3qarMCjmcs1HPpuLn2GX3+MjG2ZQpvguQtGo0jh
CoGx/TA3DOZYDSYYNJ0cvfceSfNN6o3ujWFmZc+ps8a9L5m2rNN+Le4yMS/TfmtMK98l6QruOgmr
/UIXF6E4uU0TdL407qRnDOfSFAOtXaK5+m7pbX1y16kRAJCrbjkSSvdHhRPan5aeMv7Ubqc8iNh3
I3APoHmQyETdqxiAGondPH5pVVUqf65MzAyKrhuisPacrPNVrKOF4HBdrsZlSbNAg89/gAVjLjjx
GFVMUtrPX4EIm2o/2a37xMJSZ7a9XVeGWV57mczfmVs35b7dmONNa3vxO7Zr51te0oz8FdbFr4tN
+tQaAF/noW90Ci3emdQ52tU1ME3vbT44+tQcoBBAGyqvYIwwxY2JcKtQxpe3lWvNl4WsOG3SdsqO
xUOZnWUT25FU89ta3Vinsu92stK6p2nwblmO86ehc3i6jcabtAjWqe5bmvWaRByjO7w2pXuW2mK7
UD2V0P1bhsbyjh/7L7Rh2OoZgDeUynm234voSnnZw9uufDLo65oBtSQbrCur97fYvjVs9aaZyM71
8qEpLiH4qJgrcRx9a+byi+zc14h9v57l1qnke6ycIjITrq3j6HPvbkHmvK0Fn+WdUO7TPi10tlCt
TYzqqy6pY8XT1zcN9qng22R/NXEGwNCsopODnm2TIujT2659ZGH9ZYqYQ5t4ZIWIskv1tFFg8Vq5
vK2AfSr4pnSEIKY9yjMd4xtN4oZQxoX1JhIagO/LByezWUpTI9DE/SYLMxLoT5TQ2jcxEqxT0bdp
rQCI/XESjjK6kkAVjbm99eInyzJhF5/LvIaMOfbX9poFqunfZB9DhHwyKssG8G4jnrKG5RPQIh3U
k89vmykn69IdqJUZEuFU1K3mbZonlj9v8fi2DeVU9k1Z1Pa2JEFlb1DKmVvj3MmStzkwUXB4OSp6
FsKzRYNxlwk2S+0C6gJ59ZvG5VT3PcVL5GzYd0G98z5NLTUpALo3XvtkdZYLzvwg3dBLOnVWOOOu
qOTbzp5T3fdkb23kuDw2WO5+rrKvXl4/vm1ETpZmh32mrY/Geo45bsFs5utZ2vdb+LarH3lnf9mx
3BViQRxh75iNXk/D8C6UNKV45cQ8sl9+5p1Yp7JvDY6DZS9amGIeiR1jM6KRaicWaBdmQ10YWCvL
m7PSlst/Wmj994sOY/2//oefv9cNmAG9mU5+/NeHuuS//zn+zf/7Ny//4l+Hp/r6sXzqT//Ri7/h
uv+5b/g4PL74gZa7sGTvKAav7596uiA+Xz9+qo//8v/3l//19HyVD2vz9M8/vtdjNRyvFqd19cd/
fnX+5z//OJrX//dfL/+f3x2f/59/hE9V+djlp3/w9NgP//xD6n/I42Az3J6jhXecnvPT8TfuP4Tj
KtOzLOFJx3vua1TB607++Yd2/uFoxe+UcpRH5MAW1dfkePzK+geXU55n0WOJGgR6nv/7YLf//u7/
/hSMw39+/q9qLG9rEp+ev34xO+ih5prcmTspC6si55RtW1ewDjOMV4K57kzfa70UvkHT7ta0rV85
3l4S9p9v5cKp4i6CTpDmaXMeELZoA1ZaAvwYE5/bqX269vkVji/VVYKT/GHuSkDtpnMPTTolr7DH
nyUm/7sQ/n1/PFlMZUO7dhn1l6ttnJM1Al8YgtTK4+RWqsTFL5Pq9j4zAQ58Iy0niyFYkyyIKRY4
QZLE8t6h9PI9zpzoVlkeZuMweESJqbmGDkHtxWn3UW6Ucq+2rKQ8I7P5B4iEk4WVnbRJ0LoMaWcU
ZXIEK9UMGNhWP5aoptxXqsyRfjy3yQfmjxuT/LfRN+yHp8/TpNVH0Rs4vk1UXHYzheuPf5mjv/j0
8pnr/NOIWDRohgXOFzkVta+NiGCbZEMwp54ATxOWeqwm7ZB6N7osfZodWZ8FnVoeQQ+UGTrHYpnf
1I2IqVGZ7Z9bOSs8aZNI742kiO0QKm7zvac3peN7U1NGga4y1/GLONbZoShH87vEulEeYgrqHyL4
HkmYZEXxTY9JW+yNye2WM3do6ocFXL0OUjta3+u27HIfJfUyYqwNtSdE7TF8p6/W8qHPnb7kSLHX
+VquI0YOS9+qC7DNRN8kONvne1E6ZX8u2mOB1iCs3Xy8huwxXGxg510+e/bqd52VdGFSpssxRa+G
R1GIMvcre5X1eT8qx363ufAhqRCa7tdItm5+VjvJ3Oywo5LbPu0oNYfU0lMnrLZxuKcLQRzfmlW2
qCBq3eTR6Rxlnyna1CyH2VmAru3O6ZXf99XW7nKSyQZAQfdDKLbUaoOkA6QJM526lr9Z0Oj8FmrX
OMK6gNQfrNMi2nDY5ty8mmg371z2UQThJLLs4n1qe7SPxM2+kqFCbj6Gllt0zlkqF09954VtDWBG
GBE4lhOnd3nkOhA/YsOLKP25TbpPM5xx9gWzogxyUaniHLihKMJoynuFD6HyqptMZnDz4CAomGzJ
XJhhkcnuRtnVVocmxkJeMOu+sn3qtn30bdysJN1bg4kqm48EyJYZLWX9DXu2JHRyz1x9UZXwnbw8
owujNRbznl4zC9L21RWvqcN/tRm5bLnSMW1Bn+8T1VWf6TWfxDgEce14BzvBAA1iZnuTSwXncpzp
Er7hArifBKihC+3kx+8X3zFwOFl6HmcyWI1nW7gXnXBWB0lzxcItpqDJ4grD7tq6ROmcXiirlIca
hv8rKeizOuD0hlq6jnJtxcmhT8JpG/ZLjb/MCLECSuFg2QOsi6q7TLvafRzbpTuL1GaFg14QLrST
oH90Y36r57xe98sqbb/MomK/acO8NI0M2urvx+OZp//y+SyhgIq0cDyhrFOhGt2RGjm0xbEH5Frd
1t6qD+ORR41pP1yjeEllkMVLclZNJYxXOljIwBww9KtLYzhYXSxeOa1e5tXH04KzWqDxx03Nc8xT
cjvpaSWkOYqgL61WBVM2x57vrPSre+XFX8ZnzzciPgDRgLhMdnbqVyCpCszCXUWA68d0mxQ0ytqx
nZmZD9rvPBlLvaY+2kOok3Qb6KS/rSlHtYX/05HVOWdrmHfr/NDqzZT7EaK1CImzi0Np9FQwxrqk
OPT7Z/558pLDgJk5ymRkCEJenqSudrQzRcdHnrbmG9hPf4gWHLNTeKD36Qbv+vf3e9ZA/O/kcISw
NNC0Ekor4bJmTlar4eT1GBvU0KinWZ/aCHQL2rQ9j4Ebb2Zot3NFlV0W8U3m5fmnee5M25/b3ngl
ln45KYhbiFyEKaVLICPs51DurwF7sulGNjKjebFrzHeF6yq4lvn64ZXX/dVtpOdpLegL6TAVX44v
PANOxhyytUFb9/drWxa0Z2iPLPGxWL+DF0R7AOftY9kU01UE70IFi4CF4FuZTR10S8u8PNiOxmJn
WNQrQpuXO+dxDECECBstpVyXSOpkI2lgrvcWlYEAxDs6b7Vr7JZCJocqnz5CYocsYk0yjNo8oYnc
1N//fmx+dXfpMgkw+MH17VQpn1LTjq2RsgxuDbSSG4p69us8pYK+JnEfQh4w3uWTmstQNgIjCmeb
X4GuXq7Xf7+/Ukow9dm49an/kuuIhCCPOTBVWbUFQxNBqxmydrmtG7vwo6xIz9TaT7vfv/jJBnm8
L2CzTeCv2SUtVtjJpKA2qmAIN4GVmXW6wwVKfCziltBogpb8jljNwSu8lje6tDMdQPeB+ZvqNC/C
Whdbs8dEN1nC3z/Vy53g+aEcTi8OUg8zTnUKFTJHBPVoYwy2qKAfoUXVeRTL+MkqrO1yojPu59/f
76edgFFwCRAd5zmIx8ztZBSmfuzrmgLfCMkq2ODhhkTwcp8beKfkMi98SNfDPW3BjtBLvJxPqjP+
3ln6/NYueQw7kcfL61PJ1uxpu9BtNwVFk5SURNPondmZRz6NrD6MhdMd+tFAhS6dvVX2ho/mJP7o
DbF4Z63Su+jLOj/POqt61JN2X1kgJzqT48PZErNFzKvZqcyfcH5o2cSxHZVEDa278KuhbuIAXm5T
B1p3+feUoo0dHOmcN5laZOkvVM7jAIWeop5vqLFH41GtqFOSecyCzUnGr11TND2lQcOilOmJtAp6
sWYp/J6iGF+ZUrD4+YZ/3e2P4ZjUNtuMDVRGLe3lNx7rUfWrZ7dB38y3cHzdu9RYoHxUooDnMxKp
O0Uz+GrDrdEar/VY7ry8DHVmHNwkX/LAzrL8su4cCBgxiajwTbPjEIUjaFMeLQb7e6nqIQ1oNWjU
YRMf+TVJLpMHkB4v29Htejk0UVMcWF7brRV7n7NYxFf4UMoImZ4Lz2IUqcNhraGgElyPP3TiJQ+W
sXQZI56k207opo9hh4qu2ldLs343oHklO4hZ6nwedbmEeIhMSxjlilJ8RUcSfITX5gtqDHFjIEkt
/RIzA6i0FTe/zCd3KwPKAJMTiiFKb5QxZ4mPdlWdi7rx+nMic2z8ladslGF5o+/n2pthR81tJv3O
On7jCvGO4QsHz0jSg9LsDlC4h/5iXZdhX6a1RI6QpO4PtzUMRAyL3X6y5ejNfkt6SEm5zxdA+6Ht
nlSUOGUAx0dvYVNQvK4yWpBbWLBtYTGNwwc4qfVDEaX9kxvDgg8WXcKW0lCynhJJonHO4rLg5PTr
pP21W5D4Qa/t/I246wOCmXLZ23Q0787YXjBDy0SUx/vMVZHhS2SZOFIW8ulYA//myiS5JgWfzA+8
DLhlX+UkGmlvvRsNWZF81ypJ4YTVNdX1RZnlUQIFXS2iKoziaRFDjldUXUE8RYkDFbDZeDLOn9a9
LhozfSgL21sh9K180AFJAtScaOzacFGJd9ho3JkGddN44SKrdQsiqc3zqiucze/WEbbLTLb45zrm
2ycrYtf2Jxj657Rspx25MSOtCvJmnbqg1YbH9yv67JNbr+NjNg2eFcAHE18U0e+fJCtrG46y3H7A
14wfkjwZqjAXi1zO12LV6JiMyvzQGXn7pR5ncQcZ0bszilkUNC41swuELFDP8ooxD5Q3ewsIxbZc
D9NWw05rzNU5572c7xLlFJqy0slZY7VlXmj0XNGBzAiMoGPvpeNCQ4H8MrYmklDD7l116FF/xvuJ
fKsPy4T+KSH2hPnkrzqtSW/zZcESP2m0X6Bg5jVggqYXpp13eZhO+cjcRK4zcIwkJL/I4NpHu8yH
PtC01IAtKFO1+UtTCxlMzdL+sIoleXRrs+kCvWyjG6xp7k67UjxDnQDNkpEcu3yX9/HoXqydbRUB
TcSN82lViRHkSbFm/kA08S0yrG3xna21mwvevFmuadgdy0NO2yooG6bQYD7NkolwiGQk/WmjfTUi
3ZxI/QAvktI98X0jgnywrT7Ed3CtDilk+9yHdx6b+0LVHhN7qNUDsMCcIaiIzOucybrAeB/sElLa
BJ23GyD07iLKHiq0KribHmzc2Hfi3Luu+UZuSLYuYAGwuBu+YDpctVil92FsVxOMK6QEXLCM1QOy
oRyKrfaalowtsz/NfYHgEbIlgFSB9urBMot69R3I+sZ5jvv416YejCikxiq/L/bQ3BlTi3/GaKyO
fTDogsc3X6PqEnVRUkIva5z3NHqGhGG4mOT7xWB6X5Rhuj/g3UQPpa42wOFiPI7rclx2ptd/WNdN
8dwbTko7uRiehl4Uc0T2jmt8gXBOUIfeFz1dlGjzNpbpVu5bvKwHuh9K6EA43bg7e2NodropnGBu
phaoopms957GVzt0Ohdovl7aNqFBzTjfNyvHi19Psl93FsoT4cPD7cDCt6m8SmHpNczYIcGZz6vF
pSna7XZa0uJeiLnCQLYwIxSEQ6cBiwpUemdeBiAd0OzVRH6hG+PMHKoJF4HFltdUCmBBgDXFMIqP
M7/qs/hPhPZxESz5Ii5SZoQH77KT1ju5WiRvSG+8ESYHuvu9O9iEc31hkevm/XZnzKp6ElByPnMF
60dvIHsKs6WtvrhlN3uIzfI0DdMoRdoRw/JJwtW16lAkdowhdULLb3+mrf17meKOc4kThQpHExbg
jauaIQrq1gSQFJ1nv6djyPopg6rtBIAHy+epqJcGiiaT5czqxzXfaYjDU+AOwAth36xFcQat2gb1
sax69OU8bz/YOSX0jgicoO3dOfbHKYnTcEPm2PljI+zzcV4QZ8gO6l7pi7rYxv3c13kDtSlucnUz
ztY4XyWJ3d8WSYQZ44YbK6ShrOjLoMOqNfObqim/VtvmzGzeAqgr6OqcKHDCJ3Y9pG1cmu9kW3kS
kUWd6TBOKTjtTLVBI1sT7S6Bi797tK/FiMGR1ciEfUMm/cVRhGOGpWdPdzRNHPcyT+1PrVqN91st
t+Ec7Vv+DpYmJ2GiEgGSa47jeDA2TPrm2riax6hJz6wox1qr796nkQ0tBAOcMtjaHklo1T/BQWs+
y3a+7Sab35kuzhBl/ZoJ1y+SBLLkY9gHFCtM67QdWbsg0INXuVD7Fr2PG3J2aPCs8cIRdOVP4bT3
Vqrh7CUy785BfsR3dIXLh9RcgHQnUZnLK1ABd/0pmgMqwP4Xhy1LHcPTl9HckBDOV3k+Bp7HpnYx
ie44gebafLRdWoQhyE29JoREk35yhBunQdPlrRvIOc0+lcIcEXq4crqDNy+OlqUCUJN1YLs+wEnq
3sBLTp60spMy9PDy63zch5GrRfD54Wp71Uq0aBgJTo1o3HZRMlsVKmfFdMLCvfjWIqWRF1vltXOQ
asc4GwWxro//pTGg61yje8yTp5ryyBp/iJgtj72IFgwg4Nf9AEoVX4oNaayfe+1YcrhGVR2I2aqX
kIILjY+abV1yP5qJ1s+22ZHppR2X9kcI4GMSJJHZfUko8dybUAh1gGiv7QCQ0+pQuLEiPBoGeJwW
CLhxadaZtYU6HrFtR+4U+wVyhx8ISFrbR1V2ZLBzHOvQMq2yQAkr7Ctqxc5XF0no45StWbHr6g6J
qNN7wggp81aIfum1k2PBWWXISFfkpQGhQ73XVQk7vxR1hAslnURGr5NUmrXTmEF5tB0Oqt4rvsbG
GLMUdU2DZKUneXCdPv9hE+ZYZ/Rkt/YDMRcreTMbFIDcuwng5DVRUNjrcONtDmRksJviihMAPVUr
mqYPlzyBsEyu2bwjvKMxZVQbueHPXoJY6vfZ5M9ggqYaRIMqYDfl/IQ5jrXhpRBJhyCXfbGLJefn
kG0EeY1jXALOVrSWKgSuduh+7GpQr6BJv0ieTRAEQeZMoc86dS6TaKQQDRk9DHlvvd6SqDkYa2eF
9jiKvQ33/hVI82fkQptk6+SGjmlKcdrMvlk2d857TrBqaeMHt1lhnUNR3SPLaz56XTYTfETF3e/H
+Nkk5SSbY5+xAbMUVinWqScOBY5uyia7D3ovba4KbzE+o5OYLlYY0P7SEf/OUY/oOxkjan8V+L8B
rznxmtfckH7x+pYrPWUCgtNn65S5Z1SpS6ae8CB1ZgDrDjbWB/N0hnPEGjiJhG+75uL896//bFF4
8vqAu+oZIHFRjJ5Al7k1OYVTTagFi376s2I2WIGcOrbkOW2qYT8YQ54FBjB8dKDx8KD9yEvWx2RQ
kRm0BBxVuNFUCpnOsMX7VupUB1Exju+QTdlFoJyOGNia3XnYI2c1vgizJwpTTfFhWxtcIRIU/pgo
rGiKPfOdp6dahhWk+8ovna62A/jU9URVycUCYC2tYrdVqopDBJ7dEvTtGtlhTDWsP3hG3VNaEsax
kW66RLt6gIT6yor8GfnUjqmETUXNFSzJE+ST1nyJIHidg7Gros9ADBDzi6JaX+NxHa9z8lUcAETH
BcrEVeLUodHgznR4j1CLDtIEO3QtolZpy2M7qTv0PuxUBI0dmqZufu0df172NgvCtR1gbde2fzKe
jz2l4TJRAVSJPHiQ7nexlblB47nrBRrW+RVA5Rf3s+ASWMC1lhLWaSVDTF29WV05BFHsbSjGmzal
nLxENwOLP6XRNV2u//ZnpKjlMcIm5RxY0MeN9y/EFmes+f/NQGHZNrsgGVzK68xn5+95AD5jXZbr
HOMLeeQunBqRybHu+85iA3fWPr1lzWf7EQkrW3lnPIzYE/masO8cGG+CFWhkt79f3D8DVSRsQJFg
ssQqZCEvX1OIKNloqTJQ0Bzc/TiiEpEjTiYYmdQPv7/VLz4iDS08igIcWEqf+n4Kt48Ldmje1Nno
wDXGKvLr2Kl3rkeErek7++nv39ClUsjLUXmBcfLy3QrUR0aHY0Lg5jrbu4D9Z7RGKj+0jr1etfac
vXI/dYwDXy5JG5aMosRCyYP1d4L61dVq97ZgznQlITw2AJV51BeVVdgq1znIXnrbIZ/HFTWshjxa
oKn+ZOTZmvvaaQV6rjxLmn2kp/G6XzyK9U4WW13g6mV8nw2GzkLRrADEa+01iOjjXr6G0f8cT/AK
x3ouO4XjuafTvhyRtK0mMEYM3njRjUt+U5YpWWerRecj9YgvlhmPtZ5ue+eFWrbXejb8fMSxqVkw
OvB3lA446suPFgPcjJUVMUv6KAnQTZuHRazNjyHKbZLVePFtAcXg9zPl5z37uJMi7jThh2h1umc3
6KDGvvOQXSgm5UY15sJE+f9K2elXdzk6MkmbtX6E3k9erXYGqQruYtfOdtcRLGGo4DSvUAh/scxs
y7JxTCEgp3vZyayn16I7ih5p/NK59R7XlyaMMpPkutLH/LOzX9kof7GDOIQHWjFflGLWvHyrUjdC
z51LnqsqjSDZSD/X81DuaQ1MEv377yR/kYk5nuk4FBVNjiB1sl2xZzjAE+UcAAR8BZTtLhv0sqEg
7ThPmwG7Emk4tyCpQM9Du+6yNFHXU1Wu+1zYUezHNNR6rcfiLwo6kDBsdjaSO3hIp9b009Z5bZov
KLbovXzjWlVz5q5Z/WmQzToGtsDl3G2iUvhNlmZfmODoWxX2A6+Mjfp596GkQ3mNuAP+y2lfomqI
TfxUSrLUsbUcv6H8+bHPS3V/VOXgJtb1xhcnT90I7GJZntxu8tbbIk3kd1IEBZ0td93XbAd/sZoh
IVBqpuCnGKLjM//lFO2n3i0ds4eyYUSPlRWv52ZvmxdiwtjcQ1hwmOEovDIQPwdGR24IRReQMGps
pzbnLv2AkUwnI22ftuw8juIilFbuIQ3coBtzzu22bBJXyTT133//CX7xtp7kcDNNMhSe4GTpxQvn
TeZ5E6l2Lm4TqqE3aBaxIcDrCwOhbvhGlvoar/fZsPflqeM6piN5U/d4hp9uK3Vaxke0iW3FrnFr
ork4Zg7EbGkT9sQOkd/nA8xfJKWUPlBLLyNGk/0mr9BIDZ+dRWWkzI2VVMFKq8BuD1jnWvCtxmKh
nVg1IxWEdnMNTQwia+5aT8mg2ZqRg4LPxHrR+621SsNfiebtQzKn2LvVcb++K7ENfCWG+HmzgZBA
wCIgrrDUT5EYoyjcpnZB4Yxx0geEhsWOoLH3j15P57//mD/d6jmrdog7PQeG6mnvvTzKyiypUaXg
jfFha43lEHWzpsiY6L87YYlQCASPlWYKEO7pIkndci3lDOIFNp6Gs2yj8wrYB+mwxGKql1HYmk3/
3lTV3/Qb5KZMVlce2Vv6aEb27Ef4l/XJwYAnSRRvgYdz030lEzyRVpDlzrXrs23d7NuigrFH01u8
y1DAXvdZX9/hvWUheomd8xx3gOu+Pm4fvx/9n85KmycDhWYNH4nCp62Q6OBgImqXaIIWO8IJabQv
dZybrwhK1HPq/mLxkL1AXz7yhx2Q9NM+FDofVdnWagmWGo7ePkWKmATYmBRq51DofBicon4Qiz6y
qPTSwR+sspmio1nHMzmXvWDYSsEPkXDCmezDjO6+ekvufquzepG7BMGp+04BSlS7ORfi3jDa6aZ0
+6Hd61RgrkP0125hpLI6AkEU+L3J1rCRk8+tGn1K4UOHLxMlFaiSm5ngfV223V5iBPAOD90IGT0C
Xs8XeQK2uFopPhL93JF451sPbpjm45deSmia/4e589qNW9nW9ascnHsuMIdbkh3U3YoOkn1DyLLN
nDOf/nztvfaaEi02sXR1YMDAbHiyyAqjqsb4g5xWoI/I6LWVrbfkI90+KIzPeZAE4rEKWjU/+GVM
Zruv2rrjCi+K9VWPkxBiLlYSjVeFJXgUv4j1govMG8JhLQVG4yFFxNNzIZ80/m+YzNoXqxy6n6iu
4JQcpJjB2MSvAlwgBrwB9idDoWy5lFN6qsAQZ27adc0PD0+w79Rkaqjqgp9ybG4HMtyIiZd3TYr5
g81AeYCTDcH/pRn+eK7fI75HkbNUX8ISTQ3UDsr2W5x76m9KtzKaAjLoTqGKC2uj51aG0NGYZNeU
UqToMEVxhlQHWCkQN4rffKKEpgUcr9HjcOQRTyXeI9JbdMXGRAHWWXPzM0L0N92hVwxaV4vqU6b5
lbgrcoDCrtY1wE77Jpu+ZkUmfjHroPxGWTTpzzTiwbQpj4wIY7VJ6blwTItbXx36FxPpGBFdkWr8
3kxeKJ/Fh9IvQlvqOLjHjSk4gR4rpR1zW03RxUCkB8xan5FIBpAb7I1JiuNdK/vZXgQvVO3Ji5jJ
Ni4LSXTRjCwbamTcJVyQ3FT2y3gc0J0zG/m3GjZV7XhkKaCdszcK9gAwoGIXkCo7y7Q4sK1ezq/B
0KWWrXO2QQ8wjXvfCZANAnSR5kJxVTYF/H/wZv0IrKdtVdcLEOu3Jc83lF2Q9MOPgrKpgtKkZ23F
VsccrB2rMjrlgt7h8hyq1VNFkLvLdZzrnSQo22vwQdljFJTy57PhBzI6yYC0UovGCUJ4cgXzGPOl
z5E1WDoaSoX3Q6Qu96Oeul4mI23pTylHNWSsSmkC5w4WFExN2I+WXUKA1lyT2l1gD7UnuJVEAhhg
qCB/UTRql1U1lS/cbdqrFI/71K7TsUPrKmitF07SKPTUaEFvM3Ui89xoKh3T1Q2o7qo3zHIbUFZl
iNFmSpyMwzkQcoRAejuLWZF2gPzgTy3Xy6dkIvFtN4GiAglBmfMojY31a+w7n1CgBx3rudaD2EUu
CbWxDlU76rToRgiuAoApcxtkUkQ0EQFXHxPOnjfcbLzGrgTUohzuBL68skX9HY7PmQoZPClcIdWY
UzXDBl3ZsOeQr/pl58aNCr9BKKbt5aD/h6rxNhobxHzQmBxjSBTMo3HjeblF+Y9qa4vuCqXlVv+O
LqFkI7BlHphL9Z2cmN2xUItxlwR5+Y2iPXMmT0wnEc8Yrkku98ghpygpVQi/aD5CPILwJWcY1sy+
Z2K9fzZPA60q2CcmtaG/8gs1KcWOMqmIxJ1qoCclZ8YXVHQoXUSAlY5U0KLJNvRheCDueA8lddqr
rIzD+z7zkWM8A4h01CCl6pGCSLTmT/jO+YX7u2jg6g2Qim3+7dGbI2iSweHoHfSslR8NNW4nRzjy
W54HzyvD9lfeg0Qg511gxiaXW6Bbb5sCjpAnglf3TkDd1JU9MPYcOs3oFwkf/bYdrHKXt6PpUDfy
r4NwyI8dpdL/9t7LS5ARJz/NSQaxgNnVUCtyhT0T0FiaysKuR04DtYPhm6I16k3XFtLm8kf/dc0+
N8e1l5KLxIydfzMGbXlhGqR5O0TZbnwxTX8MWH1ewR2AiWSF3sra+CsxQ3vcseHQcFqDpjOrQcZs
MoIYkpmThbwEHZWi43MWHr3OxMBHlt4z9r03mQ81NalNZXpsfZc/+K/LzfkFSN0BHJUt+vccIl4d
FXPTHxHZhfskIuDthm1qHJRqMp61KPrVRWn/hBO29ni5zb/nMG1yKiO1oMrAVGYfLQroCELBHxwv
jCNqaWFxNYCvADmKdclKU+8MqCTJbO8adzdDNs7v8ur7PGtEHI7yq0MyIwydEBTIYOMHqX/re0QZ
j0bQ1d9IOyT+To00EtC6GIanyfPY2lnZ6kOBztNjKETyp0bwgddAEJnaXacV0hddkDxkakLtBraS
dy+CV0TlTkuhGyl5RT5AmArxx5QpaujogPV2aDQ0XzLkfZ49UfaBOXFNPvZdZl1PqCQGW1ntNJBJ
TZTemV40drY+1JnhFpAvd4NmIRYTJah/bsoqyp5HQwrCTSooxQ8Nq1uUZ4YelcxRBWrSCBHskFBI
EVToRSHQdgZSJ79JqyPRJtfTWcCztyr/ugMKU953aWCmzjhFYb41FdArTgn3by1r8N5QMMt0brUy
gzG/lVBVadDjL7kQDcm3FLGK05DydULXg2kCKrHm9/1Oe8QMcrbc86ivzT26TAWNWUA+HGAsqYE5
pnqorIdGkToCkc1lYotrIfOdma3AYiGFxdMhtMyiFTQrNItYT+Bvp+lmYEOz/ULJb4Cc1M85Pkpb
vLElF8xqdKqiAbAWV2o4RvpTYYnjHgCYuekiUXEjAeXaldj27sux0UtcfumXucSBUPamlalcikpp
CB+VwEKotukMEljooKxcs98JK8BXWdsAPqggz4kCTZv2gaAYtGVFnR2WZXkq2kk8Atcs+c882Hl5
MK58oPzeiHPRVihncs4w5hz0No+CUND4wg7Bhc4pR133jlmsB+q2UOVO54COlhOapYn8GJQCbEfL
Q41GQoi1QXsq7MYTK5JtbozIZ9mVn8YvhekpCTXOqHwE69R80sjAIR1Xq+WwndLSvOWZKp4wqtxu
Og1B1V1RRPlvMLaUP1uha9b0Xf6G0nCvRxTWhKWl6gpD+TakdSzcwSPB55h6W30NSUhtyU2nnV1I
mbXxvQoxdVURHB87KidIkBQG79eoMGH0+lSVVrW/HGPfOUXyPiYynFy5RXHOGKukwrNAIQN3QtY/
5BRL6cmmKuavXOv/+AG+PUeeCVicfShoQU2e1yfRolbRFOx7R/THcN9KYt5sRhCn96OR9ZKtZ2ex
/l6PgmdcpDSUMPShL8Flp/5zNJC4RptLwZ6g8jT0tXI9fRA5WxiHUuX4zZ28lkqnNcbhnsTR8Bgm
glg5U9gPSOXWqHgCWw883/Gonx5jP55UR8j0/CcXX+lXLA8Gd3FRyx5g3EYnY7SCuzgBk2vrQlN7
W1MUATtHWEs+SlMB+j02AIQ5AIr034lXJtNZtspnacgRHmGXx+dP+vxNvwGPo8rKHk8+X4XY/XbC
+I1hRl5YaA6wYCl3dQEaqzB5Sg84ZuqA8BnSI7k5+cEUNKshOg1DeihSU/0aIll2H3fIgt9z9KhV
pOLxgDwJ3pA+I9sNSbaIDfIUFm/fboy6tPJPhhFh8MSOGlb/Q2/4r9j71+FLldf572bOzX9D578t
fmWfmurXr+b6uZj/y/8PWfykCF+N6Vkl4A2N/y4Ik7AowuxX/ZrK/+f/+jeXX9b/RYHtz6GKGhRZ
g//l8kuS/i9ybYpsco5XNY70//f//JvLL4v/shRqCrClqOzzb/5D5Vf/RaWQuxqFD1XlLkTN87+g
8p8vCv/MP0GmBE4SUZz7NvYAdwsIBdNp0HsyX8OLnKSqg6KMgiZkv9HGxNySAvvxqmvu/ue5r4UD
3m49/7Q2C4tmH/l+yHnvRKL8p6pk34ZweFLF7LOga8+RtHYxmd0T/2lntprEMQx8iNbDyc/VccIv
3pLuh8rwb5Ioau71Xhzvc0wkjnmmGl8RoiuRme2C4BpCZIqUXJ6JD6Sw6tROtBSSxuWPf7vH//NS
8myJZ8rYh1UwnjKzeoZBKoPVSqeDUqD/frmFt3vsPy3MjjZ5Bawir+ruJAneHgv4U4VtO2jD8Vup
5MbKTr7UyOxm4Mkj4uJmal4ZbJtdkbtSutdFcyOsFcQXGpgXwtU0qo0QscuTkFjxT4LmsK9kQFf6
ZKb3TSesVa1m4IH/dNfcDNLwcfwBRdifrMIov6h5nm+N3MsdH5HDDYfAjhMJ9fiyEqV9UY7is54E
7ZZFqqEeTM7jBAIweCy9xkQbtOujh36w4FHWlRzejkRl2e5MNT4EZVfeXx7gWeHzn1c+L6xXV6Vc
TZVUCZruFCVj8Gw1uuxq6BDDG8OpyzYFBJrtwdTTp1EuSMVUCTSfLCzhA19+gcU+Ow/aqxfwpGry
NCHvTkmMmLMZ3JVK/UICf9+kiDsk7M6ldterjyDFyRiL9pCYbhhZwMDbq17rHS6CTlKr95OP8kIW
7UJjpWsWVpd8/v3VixVdYFApome68U70t6J5HRW7yx+9NCFnUUvt6nJUdJZVYKoopd2mQWRPVFbr
IltZuG+Paf8M6yxewY3pdVmgBbX6qhbXSr+Cf1h681nICSq/EsqEpeQXXwuS2DXX68i7QYlkJRgs
vfgs4kxtHcWqRAMlnhNVs2kRRbjc6UtPnoUZydStXEbR8ORL9yId3nkrRMyFiTKHfYGPHUmZB+ax
HIUICmB8XafaFYihNTz9UgOznFxqIQYfIFN/Uoeq3mRdBrU61SukyMa7y32zsI3OgR9aEtYFhUnj
2Ip4ewipb3uh9TMXssOk+Ve1TuH7ckML82cOvxXB+Gdd5ZnHkMxII0Z2xA2qwWtMNr5dbmFhmKXZ
skVgIER3WzaPBcL2yZDtyjz98bFHn5t8FRHEUg2DUcNBLPXbdhshL65U8hoGZ+m9ZytWyLlONQUP
J0tEFAvM2kXaZ4UtvjSDZss2KaUwpUJoHHG6OI1N/KBX0Z03lg+XO2bp8bNF2/WJJOFiahz90HhA
VxenIu0euOv2Y4+frdxu8LkQV5p+zPtxH0nesRMGxCagt11+/kLXz7EeMiZuZ/F9/ViC5JHiL1W5
5o++cBieZ5Yp2cmU9zL9GGS6dHZY+2qq/Tc/9m9qNG6xlzFt+CEfW8TibCsXUMzPcAtETUeIDezI
tN1Z/ggVk4cIqpJbd2s1noVoMUepUJuzSiWmIUzzjqUYbjsUamzf866qMkkcqQjXTgcL4WKOIKxr
vIHanpYiX6pto6MZz4R3kjf5oUHfYyUqLU2A8++vFrYUZnFv5jTTQPSwZWug3qBMH9t3/jCSXj2c
egNAgpLZlUJYP4iwLynLUmC5PHeXemi2sqszhaIMz69uPmfJs9pe+8W3blwJpktPny3sJPfkOsxC
4kZ+nzXXbHPbXiGVXq8pNyxEjrmFqGUpMAtHIkeWq8He6/JfcUTtbxR9fcV9+t1PAH7CHfn12Gap
4PepbzFZZZiw/vnQwrUpBzhXi7sSlf7L4/DuFKKZ2R4tWr3SgQEwjo1exkhTUw2HNXz52e92Es+e
LeykKwPYpqVx7DzT3Pu5vDkXMndkmlfm/1ID5757NUXldArIv/jGURRirElTUEoCqAm4jmvZPB70
V1KALzg3/KqBALzJhFm0fhTlNrITPBNiHcuEy92z1PWz1UtZNxrl3NOPkgx0ra+KEMfD6CMHXt58
ti13kVJIOsy6Y1UD/giEbznWB7ZB/hNQyVoZeqn/Z4t4VKBBqLlB94TKl76Vv3V++SxL2D5c7qGl
58+W8ZgjF9VSLjtC0saT0o1wFhPbaX/56UsrbLY9exg85Slo1mMdXuXhfdk0t6lKiUcItpcbWHj9
eQ0jw5Q1D7iEHtMmfMmUynpKY7/6lHTFmpTUUguz1YsxBWyVlgFQA3yaaiVDY74bZDeoQNhc/oiF
XpoTCtpqjCJci3QW8bOGFBTe1DaObGgMfMSiGpnOuXBzNRT+CLCkOOFP0nylZKjsLD2ury6//4xB
9+8rJY8/992rNewrTSO0eBSfJrQVnUhr0mDrdUny3dQF70ZsBgOytp5lG2FKOlw/TapZNgIM3ecA
3vXKW/xJX78TSczZYodIakq4AeYnoUeZLPH76ofUiO2V4vkYe7TgI+D/J5RzbVUVLLtQE84MIBBr
ZYfnhbor4mY8gvFAZ7D1zmyuyTiaclQG7hSO3l0IB+UgVt5oox7iuWHgDZUt+YZwokC6umm/eyyk
K2dBJcM+qrJMszopQ+UD9ZsMH8RPMZm4MGUBEdIYe1mzsckCjBnWCm6sK4P47tGNlmeRJsYVxUJ7
Mjl1BqBBr3uCu3zIO++AROl1Z/luHEQHQUHeAL2Q3LgGJGDXaEcIkr5rQ5yFJjCEpoaCyeUXWlp4
s8hEIic0O4xnT34ndYdGLbUriWLITWTV5eZyEzPCwT8TdxafFB0eJbaAyQmFBbO+sYIeTcU4SSh+
i5W+z2J/jFyVfSxw9bETd10odCKJWlJxNfXi6zAtxhNo3+bnygstfPS8lpcaZ+lVIRuPaE5s2czd
cPNwB/LArq8A9NvJLlqJOe+nrUkjziYaMi9eEoe0BJDJekq+xQcMes07Y1O/KL/xvWt8R4pc/8fK
hy3M6zl7QqpYR7lPc+a1cevfDG5Uuh2pTLuzX6IbRGu2PjgAR9kE+2HlZruw+c8JrRGa4F2X5+PR
H9RPZ5+UsVE/r3zO0jjNJo4U5jEkIj4HSdQH3Uk3tTPYsYOihaM40kZ0oXOtTNKF3UGdnVKxP6d8
g3XLMepxsS6MOxXDc1s3i43Qi2ui5wvfM6dGWVzc2smKGZ5SvItw4qxC7aCp3Zpg+8JHzAXbAxQn
OvS94lOhYi/EjTdwgaSn9uTJCVTWdi2fPyv9/2dFz+kxaVOgr6RY6DRXfvydYJ8dQDgnh8zXzyps
+KC7FGgquwZkuh+JJ1uyH77LNb865d2YfvW0cjigP1X8xrUR/eQRuMyAWW0smbYIiPkOEgGwWN8w
/SOMz/6uGSTxiHSO9JRFcMTbyMe+NbCa8WO3lDlashYqtat0czhC77KL/HvZtJu0na4sP1+ZYUuD
fx60V9t3rRL1RtMajk11lYw1cl4oKsufLi+V8zR9Z1dWz42+enif6eDmh3A8tl3bfGti3CpRWIiV
Wx8+wIlwN2yxi9euAONOdqJY0krEWfioOQphCAFmchSPIfLfgp0+BfldaJQred2l6TzrMTSh8PhV
0/iE2rVoh8WY7308id2MffJYCWPxAWsJzm1ztBokP2tqozw+dVWjOrmRbAqlXUsrvl/g4emzA1OD
C5TZT1l+Kqx874EhhQ25UaffGpojlXJrmeR8cRIXvl6eCUudNttxkEOMStNI85PeALUPEQOQP2Vx
Q373/mMNzE4wVlsExqQXNBAdAvHUhKDR0RVktV5+/tKeOQecZH04NE0jZadCNqcfEGfMbUWNzK0D
Mdvjai1dVQhDPCq9Np5gAXKGNLvskEO3+qL7iuQ2RRfts7JKV3a4pR6d70JwuNpMU7NTVJn7ZOxv
0R17iQft1IbJ2hV6hhr5T0T9S0a0KHETa6v81DuDm2zLHYLxW3VjbCU3d0wX1KbdX3W7blddZzvB
/bdFA/CM93X//+gpvxM49NnFi+qfRzmW43zjjhtt+0Oy213p+Jvc+dXZj6fTjeI8f/mE0NFGtCtb
tj/9/LlGtlyIHfosq1KVOTJhUHtOZR8hGIfYfjH09whuby9PpIWTyZz25A2Fp4jDEJ38rCie5VDK
EKBp1ZWgsXCQn4vlRyVOYiJmNydkPGP/M2x9p1Dv4+mF8/zl91+Yd/oscCQVaGm/pYVW6DMn01Da
EBsIH6KCcV++Fp+WRmEWL7B0h15fnoNsl266kPOhxbXV/FgI12fBYhDQDpU5Ap/kCZNZ4WeX+baJ
SGshrNxHlzppdn8Ra18W6/MeEQzgIozQzRTfzY1bwXq4PApLs2i2+jXqn5kZttnJCpX7OsuvNEN2
P/ToObu8D6yOqEVZpa/05iRo8aYVPGHlQLMwrtpsYeNFi9AnokEnMSh+TV392PjpFdQ4eSVMLz1/
vnpF5icKrNFp8KXrIZR/ofZ2AHz+63LfzBi5/wmI2nnAX51oDNCFvm9xIG/cyUVYbQvqetNd1Tfd
beJO+5fEFrdS6jbPlY1Q4K9s19qtEzkoVDlrCi0LQ/+XFDsaG0I6cP1QgRiForbLxOpD0xZ25tuv
S83CrMzCsA798EXSwa+jGWYVD23z+3L3vX8RRLTj7fN14Jix12bWAf6D7BpWq2wSLKpdlGW4GIxa
8kOolOpqkk2u4pebfH9C6HPsTRJhVcsOaR588wa7VhW1TgOR2csPf3+ZQ/F9+z35WA+o6XbmQRKr
R7MqrvwgOKLa9iVV+xXuy9L7zyYcGp+t2SeTeYjRe+hV9Rhpxdc6DdbAYkufcG731YQe5VSTBeRh
DxYuJUgKQIZ8JI9TfQ6kEO38Rs3Xsg5LLc02ji5sCjjclUkeKbJzfJORdrI5wLhG//nycLy/+SF1
8/ZbIiEoUPBFtXDAJFEDJ5SKKELWT0Ut4OOxdihaamW2eWioeMawI82DLOU/kFW+rq203Fpi/9TG
7XVXK+328ucsDf1sE4F2X7ToxStHM4fAUQnppkRjzzGFNarCUgOz5Y7nHqxNIZ6Oo1l8jpOdV2qf
DW0l0i8M9xz+oo69bkBWNQ9KoNpJh1Or+exr+MCsKYYsvP3cFKqVrGZAd9M8GL52BQq8wQ8ocr3Q
e7zc/UsfMFvck4CGsirQ/VMaqkhVduU1DjKdHeA5vUvRX9l8rJ1z+69WoBF7vdUT8g6m8tQLaHPm
EyDzcKcIvy43sNRR599fNYDDRB/UYTQd+6BrSR5VL5avPUXRGjZrqaNmC9srW1REfdk68JedB4Ej
dL/TKtjk08oH/Nkf/r4O6H9SuK++wAh0bRLjMTrqSS4+TLpc3kHQyBw1kJU9F/3ioEO0wYJI93NM
HXAzbgUNg/lW8Vw5m4RdJZhoSZSJtgsg2JwSzyyuBakOHSzPATF1qFtA4fYF8uy+dPaYaRCfncLN
VAm1i9PRcDMOY7tPW1TW2aHkzsHSXlk5sy+MzxzNMEZjPWb9FB7ZHSdnNKtvcahUG2UUNpcnwMIA
zXl9kI5SuUIC7NgGyaPXDbeJF2+mBlVMIVP/OxLh/56M9DmeQRD8OJ6C7CzjexPJ/T42RjsWb6T2
dgyN3eUPef/og4P025mcRpgl1a0uH4sYifUGjVZ78OWvlx++cNlFJv/t0/NSq6pWyy0Uv41yXyl1
7MZqa+Z23WjjPsWK6cHD1QYBZG5vY6oxZeqyuEu8ovg1loWPSIrXhnar4uUcgagy7V7CYqwWAo67
Uuvve4Ski21JTeElQHViTcV2Yf784Qi9Wh2qj9257PXmAQHr37nRkV5Fcm3QtZVT4dLzZ/2i1DmS
fJ03IKWulLvUGJWN2CnRXlEE72OntLnoi16i8a4hO3HoTGEbNND//NB/EjAedy8P7sKmPcdyxWPY
x9gXEGQjq0WoJ/Nu/Er90iWQskuf4JDlqfF8ua2F/pqju7IuotA5sTH103Wg/siDDL7hWs1+6UNm
u5KS+UXYeE10LCqzt2XkNizlzhusY+J9D/y1xby00GZ7UnfmiXQ1mzdDbkJzio8NQgQrY7HUP7Nj
hyf2kdml9XTsVAGV0V8D4vR68vly579/xUDo7u0inlBkkPoqiwA+Nep3MU+675nZC18U5MHLrZJ6
SUZWMCtfROUss3e50fcDrDY30037iiAAqftQ9KWTIDbiEkZ2VZLfhHH4cLmN94dEm/MZJ00mYIvk
0isZ34Co6NBIjquVi8z7Q6LNSzSEpar2sKQ8iC2FuYD6Utd74QZQ5cewRH9Jl0l6KylFVeiHxurc
diyu9Hh0w9D40B5KWuvtsGsiuIKsVrOjT355zGBtTtlGaz/29DmKCx+XEdIjy8HEEbAPfiZSC6Do
0+WBXej7OYwrVjjHdo3IQdkYDr5nPCVxeyUGwcpqW5ib1mwpi4gspUaiGQfZ+NRmj35Sk08LnHT6
7xQW/3fjR3rkbdfXwpDGWSeNR6XHu6DAAU7p/A9Om7mJGyzlwNAyru8BgkmDZn7tDTFkAScfymZq
f+G4Cm+akozeEaAmi8G90Xp2rP1O8pVVu9T78tvO0aOsKqvcn45SePLQ/1KST5N+mwnZyui+vx0g
z/H2+WGtp5mglVyCMsA13mCchNpEVFNMbrpC/eSl6QrgbWmWzoI2uk6UObEKP6RRKjpabOwUifyv
Nq1hrZbi2yxwW9BzI4Xy2RGKrp3GFOw+BiZh53rbR7KMJm2tcM31IT46qGdcQY6OodcaH+ubOYZL
htEflf5kHQICxed0kAKnKPRxPyRNsf1QkJiDuDTI+U00nrtfq29MuXkuouS57NdSDQvTaA7iyvpg
qoKAzm8a08ICQMmRYkpkOwjq4VDIbbwTterH5U9ZWBJzqBZ+rSlqXMF0xJ5V8tGdzU6m5kMhW0tp
LUzVOYyqies6tbpzxIPmnQa505imnUprZ6Olx8+WNNpXpR5JA/mfxoCalSASJTrmtJZeWni8MYvX
XtN1hld37bEmN4cytJZxw+ixeTZ6cXd5BBaW2ryyHJat5U+qhFEON95EhbKy9vJLTz7//uoqMlpy
NcWWWRz9rvTQTFGwZhPWYvXSw2fpvaTrgfajjQUcH5nXEgW1l8v9sXBmNGYjGodagqhsyNlEbD4Z
8XgzWN2dESCR5yejq3ip7EhBtr/c2NL4ziK2h7htWMRJCSlmQPUqR7QprlPBpV60knlbAENC8347
ChJ5HgkRsvHYI1Wx1VMDtGBYexA05fwTGsjaXhj16JgBBb3HrVY54H9RbdvCb3Fp8q1N42XdtkeC
tjnb3phXOglhN0G9PcD1KChwAAmyJyKDvGkz7GM4GQGO7RLr8+UeWhjneYW09SJLUNSuPEa5IG8x
+A02iYoy/Meefh6XV1NUSPSQeamVR7PDmLUov0eC+nT50QtDOy+N9paJMUCkAJ4CA6vKzbac+p+q
Wbgfe/xs/kvgklTMdrWDkneoJ0qIt2Ln5E712ha8EJnn1X4tqcYBd3OAsN1jpcPnGEGzN3gH4gLz
sU+YbcWNoedNLSfRcRSVF/wDvUMta0j0JWqzudzCArBFm9fvfT8pUVFX2crOwNwoi7qtRp1mW9Zt
glUEPmCD0CeYaqThwZdGaSOkofGx0+S8ruw1At44Q0tpbtgkCOjW6mONScPofbv8cUsDNIsdVSE1
8YgG9hHuG3z4qsohjxUZnnOluTWKePuxZmbxQxfLrgrQoj9gyKEZWJ3FvivGpzBfwxsvLJR5ibmZ
urBVQckdK6+2q+yGE3cUrm3/C+FjXmLWLERWkjj2Dgh1OeNQQ0ReYwQubBTa7JZp9tqQ502cM74Q
PA38vp1W0gssEgV92o91X2Pm5A0PuApOK1CFpa+ZHQdKATlns7KsQyQZ3h0K58FGintrJaQsnPvm
tWSl9VpBriNw3uDZC1lxPe3TZHpOYRb2MK3JqC99w/n3VyEXG+YSkzhNPaBAqqNejWi8Xssrd/Ol
h8+iolLVadT4PLyW74H2/5oE8+flZbDUObNjgSVFbYE7XX5MNUW4IUe5514rOriwGzZHtPtUT1bO
BEvfMFvXVpiG7NdTQe68uz4rk/bCGkl26dGztZyIPUJJUZEfldA0nbrC/KA2YvdyDy2s4zk8uS1L
ISizwDjE8CMgYlraeK3nWT1i0Zv8vtzGQsybo5NrJJDPTpHeQeJapcSlW+Oz4/UDDoSfP9bCbFXr
cZblQIelY6ALDmaAThPKB7z2bCNaufKc77B/1680dbaIA5ItkzYMxiGousHxQQYRlHr8ycYIAeRE
2pWd+GJNaCQ31cpHLYz7HHorjI3eSZGXHhF3CixnCKsablGPo+/lTnv/+dbc4nocY6WOBnDDJT46
nyIBrGMrqmvp+qWnzxZ1PE5KJrfGcBQQNRigBOJ2a19+8ffnLKKTb4PRYJol6HN9OI7qPXaYtloc
Gm9lHb8/V60/omWvAl0da1CRZWk4mtN1Gv+MlRu1+lZEK+f69+MR8mpv33zqxRyJl8Q6BtrPUQER
0Ed26uGsjpb2FHy93D0LjcyFEv2uQS/PGofj1CUbZFZt0zxpVrod1coegl+XG1nop7lwbVJnEmUM
GAdGK9mW9RK3zUlG49sQV75iqYHZku5qURujifkjAenDwSZ1ygK9u7j4SaL4Q/obKGadG3812iOF
dRUhmOHoFS9Z154s3KenZu0QtjBP/xLM6nydK4Q2HJOuc4SkcwNoMmvn8D+V878jkqWcF96rd0fR
Niv8Qh2OSAH+tjq7v86va7fbWL/rz8hVfcpX4Et/4B7vNTRfyW1ENYF+OgZXDRiQzXQytrqTuZk7
2NLOuPZutUP609yW22yXrjS6ED2U2RLHE1UpgYPzcUmXbGtdjR0x075cnruLXTfbrJNAT0UBYfdj
iV/yFnnOrX4lXiGHcqrs8Zg4axqPS18xW+5p4KH4zYnzGEqyW6hPVr0mn7CQIEARbjb6Y66YQ90P
x9pSopu4LrAEy4D8J0rkXU2tpsdsGAoCpXKnXielnrjm4ElXUjCKn/ACandm1VinGGfjvWWV6qMV
F/1VKnrZKY9w6kx7qXakMVBuiqgPXXihVoP7p9Gs1dv+iC29M6vmqD4U3Xwsdukbzc6uzPvhybtP
b/SDucM01ikpYNnBrXHT2ZODMea3hvriVjjUnwtnTYL7T0h/7w1mEWbCR6WBMjkcEXl3WZyOYD8l
V0Am7dvPm4er0P6RbLPbwd6dvj2PruQwOUT7+e5MFDuj5iOg6+FWcM3NGrxuIV78IUW9WtF62mKv
WNXDUVS3AXArq/siyf3KprmAjUAh8O2MSeMW71OdzxX29WZwBVvbo19mC84vzAeIHM3GBIaPjL59
XgDiyo632MuzMCVm7SgIKmutd6Ztu4FwetLOi44/42Z0emfkT3TVuLlt2UAtNprb2gqDgN25nUCg
zJ1i3xzaF+t7dKO/eFgEjbbmBBtvJaHxvk4ZLnSz+BaofjXIOW9YMQukk3/MtrljONWmp0/Ck78r
NjoUhYY2fReKzeUgtDTYswjXDEJp4PLDcLCycr9wIaTp0pfLD18IPH/mwKuZ1LWqOXrnxdWSGjZu
k+7H5ecu8fP+9OGrB0deC9Q05sHdi/8V4wT7PJEUt70J997uO4Kntr+B6uzgZP5bOZxH6tCfcDS7
rlfOZ3/iwzurdg5KNCsjiz289ogbg+vt5E28pxS68TfN3jt5J8Mp3WpjXYtbqDqbaCO43sbcKFfN
tnXSx7WVqpx3ivfe4pxeeNUPPXYuBts7s/p+3PS74tY7dKfJlYgiCbOnOyJj9yBfyVfFPrOfCydz
gkNznd8Wh/pW3lN0u9PclSE5T9P3XmUWxsqyG6JaoEOM0h0IYP6DwZZ2pto0+2Ifs6y+C9+91g5u
JGe0Lbc+Cp/L/Vrzf3bk95qfHaGqLuP2kJ1nhKs6TxTV7dD1HHMX/Izu/L2G/vmNcmQH/IJq7v/j
7Mp6I+WV6C9CwjYY80rTC91JOntm5gXNyo7Zwfz6e3qkK2X8hUbKy0iTB9O2y+Vy1alzzu3N8N3a
Fb7cgTgJu0O2w5Z6hr+2L0stXjpH2JTOuUjiS6wCZNy5e0ZmbX7j985LhADppj2DkvUHub++8kth
xN8f8c4IDHd2UebBx+az81TeGz+KW/TqbNXOPtIb7PJKbXIpAPv7/XffwQ0+5iB4hbEdq5vyvr4b
93LvPGJBn5z9jJZre2N6oEzY24HaX5/bggPRAWku4D3u2GBXRxBTXwTLSJSv+NsFx/eXheLdbNQM
uvDMxKpVvet17V4oFLtBunL9hy/FFToOzXSa0uSXS7TZlVAbAv/cgx3Uh+iuOLBT/VL79Gdu76xz
u0OV5Ed2a3klrvLyNv7NVlK89OLCPzgSOlKNl3hEtpcrb9ipTRlUgdhHh36f+9kRvSb7bNP6oz/B
+PtAwElV+7VOgyXz13Fr5uzOtHIpAlto6Xyp7sfb7IUG6pwFSPB8zY/J07AWTyxZv05K1odDaDeS
TSe+Tw7Ds3mbPnHE0OKLOMgzdHjjz5mizkmGSnlUsBBzimzlp6iWMNTBrhuLJjD2f+ALlDg1N65S
Q4kYY8c3047v7S/ZgR2io7hJAnNXB31gb7LzWqZ2wfB1DG/b9CUB4d10csOzI74aZgD68E9ORIth
JtGKKp5mhI4PxSM64sI/+VfrhX6tpRd6aAGKIy8ZUc31jGCtQW5pOhfrf3eO0VYpmFHgk3UDyHNy
Ct3Ct4tP5cxdHcgLYrJxNCzkMAwOoZ5yP69CCxY8m85L1hL0MUcxEjzg/N8a8Y+im1ZKR5e7/7/H
Xui4xXoax+jS83oaBtvrS0hUxD/N9KWaflol1r5ZeRovXAdCh7IBah5XMTUvEbV1pNsc/byQtX+s
Ts1W3hRBekh26a0T1Ih71hocPl40oQPc5inE1Gp4tHZ+zsoXMLqsXAYfZ3mA/f7XiEg8twaLsBtI
7kD2cthE1rjpQuZPSq4d8qV90Q65CVG0jl8cSOPPX5Lv0R09JodyR07GnbM1bmUQ3cePzV15DFfe
PIs7dFnGd0cD9GGjcBqc9PAbpN1RryTP9lvxIF/CryjQ4/m4rXeK78MTvYl+9gcWXPcCC9G50KFw
DlQjBh5hppkH3El4nnadP26bgPmXADnbgOPPj++qP1lQBNV391g+UjCdXCKHNWf9sVP4j0pmMYsS
KgrYz7YbvzRiN8b2bUsH//oE/+a2PjpiWuKGxdHsZBUmWG/rre2ZeLK3+/G2xXOx8b89xwi98539
Q+6zW+GXpxavdjzTveZ3vgVYYot/t+59frvWx7k0Wy2/IwaoCs9Q4QHP1JR4UFNPPQGl3Gpwdtcn
vHDudH60eUwZ2AzhYxtA6YbpJs5+Xx94IX8EErR/TTSXNi+dFCYKbuqtcQaF6anaTYG7S8/TgfsV
nlDkqGAd5S0aJ8780MClXP/2wqrpWLu27UDVNWITp454bfU9saGn6K6s2NLgmkPJulnxZoSngkzf
NrpQms8Hw7a313/6QoAFpYV/ly0ZaZTKGb+dne0vzbP1at7mT80p3HWvyS/nFVh+shJFuhjxA1PX
MXaRNbtxBiGSk+Mmvjll0K+rvCp8E+MDS/44IEObybB2214M9qOPaeGDU6D5hJqwhi908w3QdP/5
223m4YF/+yM57n5Ib5d4j7GPTBHadTbuniPZa3p/IBSK2PnP6fUh37xeX+Eli9eiimGcsmrocbnl
JvsD2dAt42Rl6IUMmNAx/tASykEFh7HlVv5hOdRkPWiTqpfqyXl0v5V3bVDvUpA/2Q/TcdjaG35K
PxXDCh35r0wByGGNzYQAHmDnvSfHecUnLl02OvA/DFNuQ30Rl82L2pjb/jY5pucwCCE5gDzlsDX2
5g31SzwOc1BxPF7fpoVjpvM0lZkzp2aJ+Gw0by3ruYi/K/dwfei/b/UPjFFvBKhA0mbkCos17Izz
cGOfkofiRdxMx/oe+3NMzo5fr3xrwdp0pGYVRbUDnUJ4QQjDS6G8zllJDjgfnygdoFm4owkRPExi
Tl8k6IxJbPvdaG9taFVP1krEqWlI/f/9InQKoBw9JE3t4CvTmZ3VsQpcDyxMyL+Z52Yb/ry+IQue
yNGcAy1aw3In7LVJwpuhu6M1Um+m64VdfCMtsKUp+1AkxcrCLW2J5gAggz7yIsXX7Oq5Yt9rtjLu
0iy00KEYTKUIvbyQLgV7dZdC7EWNtl+0T3ncbvgAljC6YlaL+3Lxs+8CQDaieol2OwQGQGAnZdDI
etNe+CstZLgTZEWJ9Kj1gq7Ym7q+7zN7JdZdOJY6/G80ScqHHB6uD+9DfpfK10h8u24Flwv0g1Op
8/mUwoAuI+S0Tk0/v1Rh7o+Oc1Rj8dAa+coWLWy9jvtTTEGrSnZOAJE5iB7Ssn20CVszrIXHvtBB
qdmch8VsFE5AGOvQoABMJIQfewYlF8IDA2SjOycv8/0k8+peGVa/Bw4A2LPWFYfJ+V3TsNuwUtaV
p+xhgrKfENnKBbzgLXTOnybsXdlUlhNIY/TS+iuaNX13fnDdymPJmnDjknFclv2dUfIsLKOhcEXQ
DCM7xzPlZ5ZywANSuea7lz6huQroomZdh7b+AMSjzfcxTYZ9YSXRmUGpdOUqXfqE5h8In4HHhFRM
kCMj6oVzdCvN5lc0r+mg/L1mPjJ0zVGEAliDgVAnYDTqT9SKISY3d6k/c6k8MibiVwJejZ2wJrF3
+zR8prIbD/kg2IFFsk68rKkUMoppawcUpMPb1grb82wwsukMK8Z/SbYzQXO4ixRBLjCu2teCmvKZ
xLJ8ohOPcXOn+QFql+4Dpdnst5ZTbXMeNQGNSOcnbTPvoMHebZK0RIdfNBvPdHbSG5A3AUsy9SDA
8miWTMFw0cz05hny4tKMju1UmccLU3FQJJn5Rho5/eI0kz+crKB805uAPoPgfCBBbck2sKCp+zr1
HXsu1NhsCwjPVjvoo6M0F6XU2eQjMihNOYI0rG6SwKFgtUbNaTR3WTPU4IhLM4qIQ3SD3xY9uW3L
wvbqqXOq/WwVKOFFUe+Vce36cnKh9UNA2XujHNk9GK7qznMxIrc9mc2X6w5swXB0pFvu5mlpx40I
IpMHeQP6s2G6rRnZXR9+4QjrILd85lFdZ8IN3InNwpsatA4PGc/AxwL+pRJMOpYvxzIOrn9uwVfq
yJVKJW2RdXV3Ku3hQuw+pJtkWms/WFgqHbhSjLnDS5vWJ9t4Noo7op5zvuLpFobm2s1Y9GHIIbEZ
Bq1Baxws66aLHQaZ9+hz26wDk1tTVclEbSeYjKSA6Hg6eXUOuqCmLk3/+tovzEGHJztd5CRzHhkB
K9LNhDMzJjcpqTbXR18wJB2hzKCpShMmRdCn/TPMhmyMkB9c5nxTlTB8m8vn6x9aMCGdCKsUNkT8
MteFGnZ+XwFvkOfTyk2+FMPrqOTBsEuL5JYblKwtAlKzYZN3HSiPRtnhOgi5sQdXkS9Y67llEQJB
nssDEvERA3E3wnJowIxQKVNtl5zQztCtII0Xghidn7mUlA0Qo3cwZbJX+d7iDYTXoKS51ke4tKba
Bdh2Mu3d3HGDrKvupYnmeKlWgsqlobWLb3ConbRoWgtCm1f7KarQ2xfmfGX0pZXRbj3qjLYZOTnO
JfA/mxQiY2D7ASjHbM8RODFW4tOlOWinP4vyMhwS1wmylj9GQh1MOa4VpBZmoBPtdjIC1sSQYYB7
R9yCG0S82qIe7hpamY/ObK697BZOv44EZrJLgIAQTlDxedeQ0KNTf5i6z4XZOui3a5kxFE5hBGhC
6Taq4PXzwBkLKOvSr4NprGUklmZx2aF3waAJghwQdGK10D/zVtriGTQHRycZ/lz3LUuboZ0DFoJx
CcLBIjAnAEKmm5lEvqiP2bRyjSyNrx2GJrPSFMDZMHAtqDCOdm5tmii8rbPmbi6qlY8srZF2Jhwr
jCXkQcNAKh7InJSeJUooJUIb93OrpB2HNIMKL7Xh6rPsKY2GTUmObQHEgr3ihheuEh0JXJkjydwG
+NnGUmIjhhq1hrK97bopPkIvePRyZ1o52Qsb8h888BA6ydhO5FTZr1NSeaONqkddQCN5JdexsBns
Msd3Bivn2crp1HQnEoqtLBGV0y4+Z9Pwdn0vljLiOp424e7YRXVJTrVMjcOAzuPXXLrFoRvQT+0w
J3vKGpLvuDDUH2UV9ZkSBWJ/Z06Q3Rm7+D6ExT+4ccXbjQxLccPGsoem39B6VRWP95K7qt9E7iVg
MKMxd3cDZGyDrhpBQ3R9DuLjNzrTTp1BUrebRaVOWZjam75ofUi4gAapGjxS1A9QR/oyRmsdYAuy
IULH6JqGW+ah1ZLTIHsHMg9h+Yz3Xzb6vVV1vogHiP+pHm0ZfpgaQInlKVo+Oub0m3Fka37sbxbq
g+faX4TWO7vo8iayhAXSqtAZ0VbSWryG4EKIF7VvhQlCCyVY9sOVOcLNsTblN3tUwyFuptYD9RPb
0ybCIyVHQsCUxPLmqWyeS2cePA5evU3W9eJunHjyvc2K/FtOuvxc1FX3fZgL5Y1RHJ7DWk1Pk2OZ
Ww4x+WZTt0RSvMIYgp25bk62msp7gGmqe9A7u42XQml3D1kytC0OpXodRDffm6Bu9Lkt2y0EuYfW
d0XP/EYZ/UM6Nq5Pq4ruocluvSkAdj3HLKdD37T2Hqk50FxNRouTPFLf7OzCL2vWvaiiyHvPTpW6
cSEkdoSc9LwbDROAtKjM9gQtFBtqqRKNAbn1gKcLpNcZZ+h3LEzIE6DwEdPNOJmJ9AvZIn/pZEN7
nIdyPMVNVUios1ObeOU0ND+v2+5CaKATl/ZZ0g7JMHQnPs3Kr4Ff9SEkJT7nPXS4dISaeZjIoTk1
RfQTigDHlLull8EMVo7egv/T4czuQEUV4el9qsnXBp6VFLcy/B6Vaz0vC65c5yll4MOcK87rU5nj
EQBw1o7jJb0x0fiaOuwrOJafP7UPOgi5nSOrhcy2CNwMJYXY/NbLNTrGpTlcXPu7o4oevC4uO0nQ
to6sRpdLPyqqILGGs+rwiO3ddPe5OWjBTSJZPhiXtHg00ZeUyZcirv3rQy9cQzpYeBrLC/UVMrtw
K8gJkZwEpQm5tryx14q+C6akg7imOOzs3O3JKbeLB9qMhpf05utQVw+GI75fn8bHp43pWBXai8os
Mrc+Fe2NU9peXFub6yN/fAcxHZ3CO8uICXAAx7y8yP3xkQU5tU8kdg/GrCIkpuKXcp4er3/t47Vi
OjClEXIaScPh/QcfMisPQz/dFFN6AiHZw/UvfGy0TEeoqIowhN0TmBeJvXVb6TGn25RgeYzzeA/W
hRX/sbQh2tmwc7uPoRo6nxqVbx0g3aboU5kipvMvZeCyqQrCyEmqaeN0UP0ulPv1+uIs/Wot4CAj
y5Xh9mBiwN2EJvy3sit/XR/644PGXPqvs8jbQYmys8jJzqx50wG3fyzr0N7ysVmJjpe+oIX3tIpL
dJo7OANpnJ7mzs1u46lmW9BB2yuv6qX10QJ8WxigXgzH8mQ26dcuzu+yao0UbGFoHRqCvNbER+UY
x8qWm7j+U4afY4BhOjQkpSkaFxkovg1WbUv71MpixTcsrLiO/OjsfmrmNnOPVlH1SKizBjAlVma/
oqqIV5Z86RsXT/HukjGT3rEJ5QA39bVnm5k/Td8stsaUtuBvdPxHmsZFk9E4PArrVADbxecvkr4S
tG9+yup11EcLnREbRLnukarbPuLQLP4ju09Jx1Omsyq1tTMOXUNnsNQO9a4LieHHbsVXcIkLC6+X
7ee4K8hQlvUpBs2vx5P2QbjFHQLNlRDu4wIu02v1MdKEDVI8IeSBJfOMogZfJvXzaQSOyPw1FFXj
WWN9jK1sxZL+aqT/92nB9Bo+1EFRIhFsOA1f+nnTfHXfbABoC4/fMAVYbXVnPk/fnqoHEXnz0/X9
X4DwMb2iP7b1PEM1tDlN0iZ+CO4ea1ONovxBxzn8bUu72Nk87sH9bBQAbDWd/aSyLNtVKhy3Q5XX
kVe3yqQbI6nrPzVEBs7gqU1+55JxrycEOIdsbMZ9BlUYFHuarHljSSroLhfU6r2oQAeaN6s8+WVE
pFjjuFs4NnrpNZcXy4gKvK2rEn2qqsZy5jT3Xcnsu8yYo5Xjs/Sdi22+O/zJJLoubBsCErTRGxJo
EZxA6uardsXGF5yuTg/U4YE9QqCUnFwRegReBfo9n/ONXLtKoZTMoatmgsKgjIcdyvh8C1aPeu9a
05puzUIoo3Pb8DwHYsfqrVNf82RP+nBLJ1ehAtnfQkZ+PzbJCgB2wRVw7WatisEY5liMpwriYa+G
EHQzdIiVPdPtP8eqwnRUChhizYkOTXaCyORxGK0bUrK364dwYZf/QyZm0LyxUrBXXeQrEYQ8y5L8
uj70goHqElQyzjurLCk5OeYf1/0RZT8T9M+z7JPDa/GGKEVMaB9aJyfKz7Qe76fS+AWcVumZVfLl
U1PQMSahGIH7NxFPVvAUghReac3oL3gAe+snT7H49xS3c2vbyTxZp3KytnUyb4bxm4gK+Li1QGSh
PgU28H8/EXfRYDeRY50IlG8D0tTJLgYH2reGEPeXXUfxGURd1o1qxm4zZY3Y5maNSqJpWclpbAsO
swB1EEhMYmtnjtO00uq1YHl6dZTXjVUWM2jeDXLDusmjzppnXDiSelm0Qunfxo8dTjWkkO3Rq43M
Y58rqzG9IKpSs2GJhbxjLr73PCohWCUYFkd8YXM2ba/b3dIMtC0jNhBcM4NTaZJ82PYDsh8ZGXKP
x9PK5buw+npBtOUSch22M55QmyaeFZug25vXyrpLP//y93dXE5ikAYpIDANSlgr4T9lB4g2EROlj
FvfKWblElmZw+fu7j6BXBLSx3EpPSZv4dqvuh65/vL78S9GQrjib5OXAkURL8ZaR84GBQwF9rlVh
eohZyN7IR9O3LGE/zA5HdbcWxvzNrNkcei6X7abMywhMA5H8njaV+8AGN320LPytczn9nGeyNe9n
hU1sdJen+ujCukUBTTNSj6h+1GF9sPpwrcfwby/hB4GhroY72jVafYbLs26KZp/RPvacqj0qFQKY
bXxpY+M+RHzq2EgMi34tBbiQcGe2dq1CGNU0XQ6VgLjj2zBBX0kLxuDI5ukGmebIn/PaPphNn4Ia
2o4Pad8KL2r6lWrYQvyt42cSZnI3nV2FRHv/NrjVrwR06V6XG3dzSHy3ylvPmJo7i0NO7rrJLRwZ
HVKDPm9qpD1otZMB78SJAxTwpQnJyuhLu6gXjLGDWMcYJLPCijZ5bG8io902JvVo+MpUvW2leprS
zqPFyoNi4fLXK8fIjSQNnnfO0aL1lhhfJXge0vCmz1Zuj6XxNRdD+qwKU3OcT2Z1B0rsoOrxMIH6
bZuplWTY0o5o/oWQHHUUlpYnt7rNVO6T4btrsRXntfTztQi4TEnmxG4BKS7Ucdy5BswSpQ+oL8xq
ZcsXAmCdOCq1CST30gyNQV3hxc2ZWknAsicJtOmYfXKJtEOqIIRmxQOOiVOeOdgqQuuXWMVPLE1A
83CiKS07cRzQe47RxoXYVz/d9eDGCdm8yfrX68du4SN61RiqOK1ZRYKcLIMdiiZP0LvIQcMsYg9P
tdyzyOd0eJleNLZj10TTpFEiA/cm0KuTuLFfRWgKoms0MwsGq1eNkVYtM8sBVawk4x+rhkT5nI6H
0WbKv75YSx+4GPO7Gxe1vwhkEIof86ycNvEwyQOcdHzPZrompQrheQz2wX2j4/HK2eStmYKkr1Ax
P7IhTH1ad6bfh6oDcVhNGpDX8FCehILG5ogOml0ItfbUdwD5PRqz5UJYS9pbMUcpyA+H8lAVzgz5
0jmSXo9a313tmNWJxU51Q6Dmjeq9ao5obkM91JnCG6hnAUDX9tbLGBb92Rau3JtD1T33vRM+KtpW
fla34pFFFRrFAM7164xWHtQcqI9+29lvjOQHHxoAQbmIzklX11tAPsdt2o3JmXaAeXmTNNV5KgXa
i6a08HLRJLtkGtSrctrRt9wmDfIhmQ9cjNNR2kZ25KGDvnY2/LRlGu7QgZccEf9EdypTxVufu9EP
FMNT10ugDvMnCTO152kn9/Vs1jcynPNNHff1viTgGA2rsL1rQ2ltEwVG9mlg9Was3Pktc2e5S5nR
bHmdx7eiy7Mt76hxYVStIY3EJcTQ6kpQL6K0OeTQLXnrufuHA5G5qVJwZcLHuKeZdON+EIRt1NCI
05C57UaYsfjBRy53pSmLN4fO0VvHotiPRdRtXGWeY3hboMFLtp3nsQ36Nv1dC4hb5fFYHOyagMR0
iF5bKJW+5NGI5k4bupUKVZYNS5zvQ2HGzwV0AW+Flec3tdOWj4nT2x4fe7FzKQTpqnlN32vhGOi8
G6ornTbEu+jI2nYvSR55fds89FO2kvxbuBt0cMbgmHPWXbyqxeLQkwmwgVmXfpsaCgmSZlp7Fy5M
QwdQDB1yOsOQNiejNh4gdHkfDc1rnoSfdBb0X2fBScQK0wJprm2nQI7cl23kDepzHK1MR0K4fQ+l
TMBPjk3q3EuSPcNR/Lju5S73+0cOSLt3+CDiRNrgra4L5tnGHTU/N7Bel7erOh5Tw61O8WS/8kTd
9cRaqXst7KVekU+KXg5KjQqvOeJ19b7lxOfhylNjaXDtMWrEuYV2jQGKKdCwE5CiqA3mQYd9JVBZ
Gl67Vbo5I/0sZ3marbL149gWGxA5ot3BSY0VW1w4Uf+hA1O2YZRVyY9DCJBMzuM3y+h8Ek/S5wCV
fMpu6MWe3t+OPEwmm7PylFdfqXzpu7fPjauFiuDKTuqigAMcWNye0SIN0TY6F/GKVS5EQDqxT5qw
ybAt7O6Y45xC5Y10j3nyJBvuMbqSI134xl/ymHdLE3EZo9fBrk4Tp2ABhQophNntttt1l6jUEUrd
EbNqhk9alBaWGoBqOZYCx3JJseUN35Go8UBuvxK7L81GcxCkqWjYJIaFp2nSHPMeQl01wSWKx2kF
yt/c3dK0TZ+u7/7C6fjbCftu6czStPK4Y+o0uUB8gl3MfHCrNbXhhd49pouSJnHVd+GM0ec8t471
6EyBEVLnOKDCsglTK9xNqi1P1EheaBr1ewVk2GaQEwuA3JDb61NceGz/TcK8m2IHtZiuyGN0lrdh
+jRdOkdDOYY7abueK7kTNJPb7xiE6g6yqsjKE3/Bzf/tnHv3VdM0xoFdyO97LnC/nttkDZn44ZYR
S9B/HYEy54QWo5UfmR3FXtGmL+E0/lR5/vv6en34yzG+Zt6JQrNBF8v8aM90T4Vzz61wpWdgaWjd
tAXEuvt4io7FJLLbqDPmvRs21spGLyyM3r3diCRKLFtGRzOOdtb8HNtsV5A1mtCF3663aTcdYHvp
iDfAlH0zkYgCnH/FnyyNfHEE70wFIB9h8AkjN9ngFUnq2f1aDfzDm4lYeqG3SpFBbt06OjoUeSWg
bdIw2jmqui+z++vWsrTol7+/+/HRIJM5nQoQPQESY9OXoZ89A7DH66N/6Avx+y9L9m50SpwWOixD
euwrBq7wejSzEVm6lN6MSZc9dmrGconYHD5TlMT3tMuwDBuJzuwhPipnGm7nCJ3MdUY+JVuF0bWT
W7WV5F0qomNtgKTN4cl9A9qnjbPaM7pkSdrRpVkp8qRmCRLjyY1Vl3veGiv+bGkntKM7oU8zibs6
OY724KEjaWcD5mvNtt86ZEv7lZt8YQJ6QcxxqJMozOHYzDN9qlUOlICVzOZKHLtwHPTGa5FwA8I9
M6ROZvKHz2QP6d/GQ/L1kvpdjQ+WJqGd5zmDFlDsqOTY8QSyvG/C+XP9NHx4kxFLL/1HJJUXfbvk
WIwUkYD5VbSoRqbyZDf5BqT6v4vZCZK17NvCjv+nkZo4Zt01I5x1yl5DSDyASCq6iY3xthGZ8C/8
eCunfGlbtFNusIHGw4AFc6a3uM2ODnumYwixHbHyAQF38Z83FxZOO9aRSYeepTQ5mlX/y6n6m8kU
nj3YtsfiEs16U3cwXOdTrIz4mnbMUyfNwB1Q4RSm/a3dgbAsnfgtBP0+lczHB7RjHhMW1WQ046Mb
7hKlfMt+VMOaItSCQ9frpj24cuYkaUAUX35VoFdp3Hs3WVuahaOhl05Zl1UZRXP0MUvMux7Knnnf
rqQ1FvZYL5xWKrLRhlMbAYAlqc9cFh+tbIo3lhNXOxV39q0Ty+QhUtxceZEtmK3eXVraGR+kSIyA
zuD1rrux8IWjlEeBJ/SbdkhXLqWFHdFrqVOkIF+RutExjWO0zU80uSsnNMxJKI2ufGJpX7RbXHGj
L5FrQytTMxbQeeuQEuf0c15X7xQdrCxzDEcmRyutnxVqn37UikOXWhAtZ+XDdd+4NAPtiMd163Rp
quKjpCVqefbGLrl/fegly9LO81xCxCi2eHI0qtqfS7jfYtwABbxDe9BtJsyXwqCb659amoV2sqFs
FFohwwXOUEPL+vIXj9XK5bE0tHaBI59FZAg19mOcGfeNW/mcNitHb+Eg6OXMonWgk6ym5NjyJuDx
76nkO3SkelytIeEX7iK9fNmzllkVRfTBGDgNszMhFNLJTwn9UYi1bV5YIL2GOTi4XCsTa1/bpddX
39PPGpBerIRaQJukYQiHRPlNjp4lj/bTV7N1vlsiuZ+5ccrs4vG6BS04C73p1RHADrkZPKwVbtVs
b4rwnHbTinl+TMdLANv5Nx6XAliueZ7YccyVmW/M0BKetM32VMbE+JVK3m+MOJluQhWWQWcW9k1t
snEb91R9A63quClskgHagqLU2Arzritm4vcJeaNR2O/QIkpA+dHKHTVr406NXba9vipLFqp5B3QT
RigW8zDALpunaa7KB5fH0e+x55WX18MabeRChKZXRRVET+reyvGUI/nXpBD5ZqDswVTNvUnT71kx
38u0JRcH+5k6NTZEcxggszZyKe0wsPlhDlHErKDgeJfka9D4JXPSvIaVZLEwbSdEcSj9VuTsV1tf
+ADbp+v7sjC8Xh+9dCYoy8LPdyNQJSY9hA3i8uiI8vX6+AuuW6+KojMw4WQGvYQD4ltbQfkmNrsf
DrGOkO+zUckb9hCE8q9/bMGB6AXSopJROBKAZBLDjNGCZTw1lwbV64MvrdTFst+9hK2sxy8nCoIk
9HWaIu/SQl2bK05j6ZdfPvpucGBR0L80EyOYywaC4qCZSc9MkWT3ud+ueY2GQpxzKub4SLnPimlH
KnCJcr7yZlw423qhCfK3reGYuPmrOhigDtQWcjuWeKTiGF7//R+jhYilt+eS3mp4RDCBPEvlzppq
+gg+zPquVkipsCwiO1L0uZ+bTnIgYZU8jRyVQ8eqPsWOih+gHXOI4UWuaqURtCVlpmfYDou9FOwY
PqnJGivGkolpZ13mltmiVxuH0cb+ZBC8ytMN5OtWVnHByPT6lNNneVdLGgZVYwc8B/cRNT775v5P
hWqgADz0RhgoFYQAYjNRrxy8pZ+tv+Y7hqTw5eroeGmCmTtEwkkClbdiWguRjd4jyg0Hz7kqY8fa
6tv7sMzYoWwbc9cMDKILWZneyckyNp2sO7QyI89bx/y37fZ27MPbiM1EVXcyC0kD4aTOKZugpgzL
iPnKBbNgFHr9xhDlWMy0DIMyerTzZ0puyNrBXRpau5RzC43fllmFAZ2YSjfckC7SMLnReamTuN+v
L/DC9unqC7U7loUTISk8WmOzyd05/gl1cvJyffQF36MLMHRtx2hJqQhUga7z2ijOVT7Y4Ivuf6Px
a8VGFqaglxdbq4ZmFIUFcprcZNG4rZJq5UwubIFeVOwqq6vh20BdMt2VdrU1awVT61fCxYXV0Rt8
hVEZYBLA7TtNYuPks29NLmDu87ZYw1ct/X7678XVocVf2u3l90sJnE6S+q10n42sWcN6LwQQuvpP
aiJB1MooOeYQFG59k5P0wRBNehx6o/4C+HFBNr2F+cwJW6tjLCzbX5Dlu9u4A+dtTbllBJZlnKom
eSjHZt9E/Q9qkt/X7XZh3XRZDZpSyk0QBwVFbRzryPxlUPNBQR3ic05T77sWVRFNDiBQR6NthP8/
zq6kN1Jei/4iJGODwVuoKUWSztQZeoPyesDMMxh+/Tv1rdLuopBq1VJaosD2ta/vPUNVmDdEFmvO
NAtJtu6WIXrAEcA3LY556MCfBwWlH/D7EtuWQn4iptYMgFGfeVlB6sqXSbG2nJfWgnY+5nGoshSs
hWPe3w75DljrykxR//6ZktFvs7UDZ2Fu9JZsWaMwAiw0qqH1CMwp29h16iGFWgnK87rbpqU3ZRUY
/VWv2OmOApfjUcE5JZdjiUuJk23shESbibrFJpyAR2NNZCJrs/uNMCGeYY0p8F45d7+5kMdYeaGl
5a4dsGmqGtYrhBjvh3ZvgQb/vbPmxPEKe0J3RKVwAL686hfOWr0nKzlUZHKC0qZTVF6a/o4bCFND
StYebhP3KlUDDO9pWr9E79DbhptC6OEGdqqbxoUEEdyjy+L98icsnAXkNIhfnl6D1g6tnjA/MgU0
WhdCCrmx22x3+elLkaW9O3BJSRsbtDhasoLjj5Oa5ZPBebRlszFuZrf5Oc4FbH9CWr3RdopW2sIL
86K7uXQNvHKTrOVHx2pI4Jhxt2cwXX/qcsH3vBpRWGKNuG65Efb3CJrDOJY1LKCOyJmONZWHFORm
Uqe3ck3/bWmOtEMpqUKjS6EXEzTGXNz1I9xi4m6WK424hXDR7VygvUNTJ6xJkOZ74kz7MfzdNpFv
r4L5l15f2+Yo7NpLPtgzSNnVrg+d3Rjy58vr6/yj/5HKaFF7hzphToJ2JNBjDR9AAl9jkpwfl3/F
MlB6cS1h4rXH7zH2fOLsxx5l7OjX5Xc/vy3/I49hxlEJNWOnCJR9cql+Dx3DH4yVhy8NjBbWkFXq
G7cxnGMTs0fQAr9xt1+J6aVHazGNAR5TmlN6VEaeeKIWtTfINZLUeeKH+Y8iRlWl0LYBx+uosh4O
WVlc+ZGkP6IK+RL0Sdw2iGra3/YSLKLMjtJ9k7bTStNiaca1SE7LiUR05uZRTZAvtpn4EInc8lnt
XNKt2Rov/YgWzHYDCZm+KwnQNvn/qCzeWlpvhNUcWHcVAg9jqF/uTdrEcx6xozmnoI2b6d5Oxisj
TgtmkTbjMPIKBH/U5vdqluPGzZyrQLgm04UzuNspG91hcuxT5x4Y7MBEOkkGZ+XisxByunqGYn1j
5wKypXlk+S4j+4mlt0kyHC5H9EJk6BIaYC5kJclMdRQlCEQ1zrVK/rn86PMHKXNPq+nLMZ3aPAcB
xx7RO5fcd3j0Zx4E3GCn+smNbOX3goEFArlnQxor0XA+O2W6nEYIISAXu7Y6dib3uWXDD/Ahgn2x
48/z3s267eUv+69n/m8vnemyGlNFAH6ELAKuDU4D7lwJuOAQitSvwnn8hqo6pGhLNNXbgXWPYhA1
ri64v0Sqyg+w1nBvs7FXL+BU9Z4zsDwY+OxgYt3sANU79VnNZN7OhWHetP0AqkwJvxYQvMLoKCCr
mXssb6LXyLGlz6OcHNQgmz1WndhwsOW2HTP5pldQHLcK2R3iMLb3lRNvO7v4OUmhdnbmRg+sy8hP
8F2fapVU0JWFP8yOGWP13ss+PiQw1fFJLeCaNTcG5IPMJnE3sVm0B25ZbFeO2byvXMKCoTenW2bV
aGhWtN0kudHsKpn3j5GCEF3RNxb3iTCNLevG7s4gFbsL0TJZmYmF6NBRABT625UDpchj3f5usneH
fBPJ2q639Gxt24DknwvDdbAyqVUAzNXGMRK+rB7h/wTm7cqKPRt/1NVhu9hU4wKcmC6AqoGD5lEh
n7IMidjlhbr0dG1XrXKDw5i8U0Fuk3fm5FszTK6pmuDFtdEp4d8A4vZsBlMuvrEhfoic6YEP0cq+
dHbwqatfAHMB2dpiapqgak0/TU+SOx5oUJeH5ex5hoefto8vO1MHMk3aFA0LwuI+aT8qUKeJ8zOJ
f173eO0yB73duS3mtgscqzO8aWpOpCAFdrYBqXvBrynq4SO07VVMamTTDFm3Eelplrm72FrzLFga
n9OkfBkfxlNYB8xYlCGr6aZzB7qtBZrOtkjdQ2YhJb48UGfvPPiE07L98jsNA+l4nAWkxEq5j3AH
2Y5WlXluC4n/Oa2g2l2v6cQvfZKWJ6H9kppWCvmvjOXsdypHuDBU8FkQfUb21pC0m8uftBBxeqm1
LITlRHEHNQuru+NhdZhd+nr50UshoQVzycCBbxxEXML68pCas31TQRj5ToTjVfdCTIge1E0aosUz
YU25ZGdYs/IipX62bfIC8Y/rpOlcve6mWom1lQv0EZqJ3NsZsQ5R7VbXTcA/hTFiT0OPeldQ1Tw8
tlbabmMWrZm7L0yvXnoYuxECSmPfB8IWx9qykdSLlRdfCAbdO7bM6iQbawi8KgqFX6c5RAUUKXq6
Gy3Y25sr581CHOhlhgTlBHdosiZwzeQ3yYz4xijVowoF86CDZayUPheWql5fgPhqWMBXHesIQihm
xAtvMGeFwpol/cvBcDbToy7RriQsY7AUCUEqbqvY69OHOnymGbtJTl3VyvHHwljp/SwNmBZ14LTG
c5ExErDuHbwgWLDcz/aHHYmVetzSh2ghJyH0CRFwm8BiiUKVIDHqTd+ZBztyb0HtLP1KDKPvzvnK
/J9fwI4u1Jl0RpnxUTQgMCe3lsk9p4geL0/J+Ul3dKXOfrbGqQbaIOgUnNj7e0tJyKl9XPdw7Uy1
i7GFIBM2v2i8Nax4I0juOU69spqWXv00+V8OogIcYBYXthnMznzoSlD46am37F7nIumI0+9+eT4A
Hjk2Csg0WR316VQ/d6nc9zAyujw4S5N6+vuXx5eSJRMp+y7owvqjt+nTUMJD+fKzz29Lju4BGxXd
SVcRyq6VG4OR+AF57IMjn9ES9436OrEyRxfnxLVF5mONjGkynJci5aZnVslzh4W6siEtjZAWxbbV
kh6U8imI+/wbE/m+quzPywO09GgtgPPEnbL8pOE2dPmrCpNbKrOr0ndHLy2QZAJT3MZxnCWGR+D9
w5vVKyyWxj83WApE3N9LphpkWDkt2uZxXI4mHGfAN7PmbDzUcE3bulYqVjachdDSCwyuQ1sBTCoJ
cl4Ufi9BzU9MDnLrQNaIyks/oUUvx4XfnYewDtJpO8Um7Bv81ik3l6d3gb/n6DUF2AMAtM6g4583
kNs3io3bZif+Tf8WKnaYEusPMyoI4Q5bs5sBq0puwQp5uvLHtchujcRtW9fA6VP10i9CGK55dYiG
rOcoWnrJZJFNTTFjgkDuxONciI2Cbjz6wMXwIOywfb38JgurXNf6DFUk4mSCXUJYdl7BrFsYCK1g
l5YerR3lA6tI7yJBD0bOBlgaVuQBSvtrvNilp2uRXxYlFOr7qgss590eXun0+/KALC06Lewra4It
T4XncohcIJM+oIwS4L23lx9/Pi1wdB5flFq8DSekfRN/p6D019DpL6JkR1B5NVFo6tv95R9a+A6d
0gd23FjltSIBGp4Pfc4sD9tH4jFVrtVRzmdQjqMd3WZKRSZZ3sGBk7u+0ZBqh0Z+srFRBPNz9G2u
22l0np9rDjLiIyzMEpf9UEDXEpa/QiP58jgtfcVp/L6csfBgx+Ha44xtQ4v4oR0azyVn5TdU1pK9
MKNo5bxdmg8t4kue2ULUCDSWzA1BUt4bmxltVDBRU7KSqS2c6TrDj6ADhUsF1m5mSj9ys2PXf2ct
/CfqnyVA8ZcHbCHwdKKfM3ftyYuwQ6YJPkhC0g/RiTVsxdIXaFEt0tzKmr5lgTWln6RKjlzQG5qq
XRQ5O2A4VhKrpcnQgnyASoglQ0GDKKzBlSsbr4ymO6OY1ridJjt/DutkvzyzlZrbDHXUpO5/Q8Gu
2QhUG7dhaIb7umYt0CmWsxGREb6EcLKGAUxGPuEh6rziaMgDIQTbXTVhOjGQp1YZW9hzYKfQfO/g
bQaxnjVvuIWB1PUxhQS+yh4GFqQGtb3Ybj7mUkbIZ8rDdS9/Ctsv4QlNwIy10YiXn6HdIOfhbSLd
n8vPXlhsOgnQTp0sZ6Syg55+VBXfVpG9YeQmt+djlr9e/o2lAdLC3h44KfJ8oIERPaWO61NoFvVs
ZXBOg3Am2dOpfwTSPpNpd1jGQK04efoUFeKTC/Iy82RljJbeXzvEjbJzCSD4LChD+L1ZNI+/VVI1
XijHeWXXWvoKLeYlh7xFPnELGgaT18ABCMh1v6uUHzfXnSA67c8Vluyt0LQCq6rNDaUVveuzMNra
Rqyu+wmd/CejyW4j2BwFdRQiyCPPGR2fd1c+XcvqBTpVIA7neSArAo2yLIESdpLNw4tdcvDqr1qq
OuUvruHiIgUE62lxr9oX0n1w8ePyoxfODJ3lNzfoGU2mbCF1mRb+ZLrGkfZlsVJqWYhj3UQytmMD
AGPs5tjIb+No+F2S9rVL5HvV2r9KQDIvf8TCOtWpftASgWI4w4Vw5MXBQu7pQb8E/k8986PaSnfX
/crpQPmy4bmp4cRUNFMQlclzpJKnaRruWds9Ttka53LpQ7SYRiI+AFcKlfWpeyLIQSv1jfDXePh9
+QuWpkOLZ9eCcWtS1maAg6fZTk5ehx45Ke90LP8wOAhRLeuT75d/bGF/0rVcIVQGMXSGoGg56ChT
lVeHVoUvdZ6tcW8X1q5OAIwIS2NpofyVjfZBKge+mt3KwhXn92+d+VeMdtJEKcxcTLiKg/iAPlJY
07uiKG5R5f5hYxg9AUNHaO+BaH15wBZmR2cCFnNHQj7ABw2fImG9wNW+gR+fvOldp/tRhGj0boDV
KP5c/rmF+45ODwR8T9HOmuZgTob406aV2EVJTnamQt/b5yieQWnRDpF5q5av3UwWFoXOE4R5q2G6
ER0CaW3BOthm+Y3drwXo0sO1E92Y5y41WIhrT0RMrxzV6BlSvlTdtFKZXvoBbQcwWlfEohnCIyCj
d4qQ/9VutusNo1lZAUsLWgt/wDojJ2FwhDkB1coIlldJZPb7y/O99PJa8Dvo7rYYEnE0jU/V3c8N
dAevOwQtLWlnbRg30zAbcIW5H2GwxKfYK/lKErLw3jpZD8Z5EKBMpvA4iYdyArS6fWqbdOXutzDi
OlOvh5cVakixcUxI9Zzn0GEGaXMNpkbPE1cpLCb/PjJw1S9CNE2SU4I/FIDeDOUfHufiKeURSf25
cZPMc5K8O0Dokvl9mbyxIZl/tkjVIVnGbFi4Qzsz7Hl30yDBOEYJRECTeCo/W5FTtGvnhAZQ2Zmh
z90B8x62xhj6eQbJ/ZlXgniJ7Nv7vK3TDZpb9PN0vPhhl4xBVoetP6V9/80y5hCVgoILP++V+NEX
VV15wkoEHLgNYKEHNwSxTcU9ROzasnqvhbIbr3A69dJCh+WuTdu89eO2g2S5EtL4zY3Ubjc1PKS/
NaEBHEFJ7TbeCm51oPJwmBEObmr/TJIkJNhBJX8F8Hr2xxYCrLYiToD7Xv1mRUb/Y0y4k3hDClY0
i8Gua0p5A01U5skkpEeIozebmRMYUnZt/wK1tT+ZFZV3UmLfck0IFzxmcVqEGyKi6n8S9qNelpDa
6/Lcwk+l7nhgruoeeRw1OxpWxVM4qRn/3f2v5aqFoeMIO+tedEdwm7GvJAN5cF3EpWua9k/L5va+
wK5wH3Nu72gMzE0EhuRG2im96WCi6VdMVf7AVe07E3V2Mwjl3yAwPPwhAOvKu6zBzloMkHv18gKK
a3lIKs8aiv6HIWjx1hhgMSemhQ5Gz5RfWhxmSETmGzXGzHfDOr6jE5UwK1XjxoBj2rhNQwnxObfq
B+sgK1nlvgEbmGaT0BYCUuk0PJUAwHyMVkzU1mptJ9uZ1BC53xdhBgI1m2/mgfB6M5klf6tjMbeQ
DKLJYR4k22ZATfmuG7PeL+3UhpJwZLobZZXjezGmqJtEtlNugVMZMj9rmbnnrcvuYp64T42KHROm
mhAZ79E3PDSDyBsvH3gGYVoOAcltaxmVR+ysnG/YMGbW1jFtGdS1rXZOkvgwyrQO0KZrvRnbAK4J
ZPieGTMbN46kxS6zy/BR9JO6AUutl8j0G6BAeNZs69QtdmFaDif7ULckflN1sH9KM/4HtX7jQ8go
ei2TFIEji5J1W8C+qxsWWmxfxjZ/GMoyqSFGX5R3CZR6na1skvkdIjjEc+ZmfEVP10oB14qtxh+b
pui2JQMbpBsNe4c7xwgIkG3cFC3JXsNUud/dQcAXwhwsGDiBB+7W5fQYlUZ7aCqeoALQD0HvOMU2
r0j8mpdoT7pwo30P+9Y49EVhbN0kf0HxwryZKtG2Hlzghx91pPA6RBSbqbKIh9kmRzLnyUMM5lO2
N4Vj85U9c2lD1o5ZfhJXxFZQBwJoBcxFCv0RQfxozrZXnVQ6tZa7VhXzuOuCyHE+Inc4aStOtmfV
a12e/2BHZ67nOrOWWtHcJejRHOdvpPHkw/g6fcJdtr6Lv6tH4wd9d9/Hl+6xuwvvrafLH7WQ2utc
Wlnz0pKxC230es49tBhC4JPS2Ui8hoM1Wsh5TW36/PxwXb0sreN2siPWB2Vsqk3oANWT0+xXYawV
4hcSVXb6xC8XoZBNKVyUKIzrxOR1vIMZMt9E8qnq4YtczbvLA3b+MxxdMjsjaQUPqLELcmj874Yi
bF8SNSjTy4w1x9rzP8H+KxF++ZAO0H2gxpoy4A27AwbwJ6wKDiQKrxSB1aFJAAxBxDAv6yCMnNui
bXdFnsCItyArKfz57IXpPNCUlyGzjQg3Utd6kLb1htzlqlSX/YNLMptsyGw3D050LYcBIkYbb+AP
l+d24cV1QNIwWENp5RR2M8Z0Ix22F050VdeA6RzA3M4tgLbiOYj67x3/A1ggiNMfvF9TwVp6dT2l
M2HCB7EN5yjRZ70rOQzAi17JlST9fGjBkOPv0JqEPXMocecBrRJkDzkLelvcj0l510qyieqKXLWJ
Mx371HVuCMQn5tcEd0IVpjcAktkjq7g8waf3/XeDZTroSQkKxk2WzUFF5MZo5U3Ym/DVrlBhXWMU
LgSvjniqLdHytFdDYMdkvJmcHrne3CPvEE79efkrzl+RmQ55Qupu2rYtJ6DF610RV8kG6jyfSL6Q
bc/ZE27ou35QV0EPmM6wyqMU9ejULAIjLbywvyFrsNWludBuZ1MZwozYMqvAzOlPqVCg7MwZ6nA1
vYVm4BoR6nxcUB3m1AJFX4yDsI5kzF4ad/peF9PKbvHfsfzvaqI6zmnuS3sKIX8VtMJkz3lpiQPP
hUQ6KQwYpaAGBKf2qO6Vzwdg6X0x8u6pqapoH9UT2Y8WgVqkARPgeN+LcfjVwlIX/oUiiyEIlFPi
I0WMd73NzVtatlDcMo3xEfYM5qs5GHAPEI34I8MImvgOjalX5zUqP7Mdl/ekQ/5AWlv9L0bzGPYX
cfNyee2dX95U90VO7Ri5apZCL3+ujjQq1MZtwue6dL9f93xtpxEdHVSTxGXQ0spvR/uTTNU+rdqr
0h2q469kh3tJ1cDA2wqzG1lFh6gqd5K0u2qOVwLmfHRS3RbZjSLa9aGqAi4mebBm9swo28sQNiRG
5z5TkRzirlyj5J+PIqqjsiTpRQnLtTJI68xHNdOT2e+av5b9yiJfmm+t9jOG1lTEITpGzBxwd3ZZ
9haxzD4OtU1XBuz84UJ1xlcmaASbXoUzpZr9icBkangr1HfJoV6z1tBZGiZts0GvdIYeMrA7irv3
sIqPkBHah7mpbyMYWa2cLv8JRZzZEHSYVpROKUBTeRMUma928T09Wn7rZxtieIZveQ0sMTfG3bAl
u9A7Pkeb8D5/49u1n1/Y6nQklyUnYB2yggZqqPPXcpRs19eRucbEXxhCHb/lCCCeT9i5IC1/VTYM
oNg3FWYba01hden1tcg3TdQUOwpzRlm7vnCdW2e6ioMMAZLT4v6SUI8qpgmq4jQgZvOM2vEjz9dY
eUujcvqaL49O6tjM5gyPpry/yU1AsWzY3nh5WBKU5sc1XOpCjOioq6qebLNyFTwnIigNu12qIKhm
RW8qIdyvaJxGHrTk1iwFlz5KC/qUhn2T5mjSc6jzOfW3tv7B3MGr0pXC7NLztZqvFSUF6hHwIpbG
bp5xXqbvAHH7tFvZtP5TUToXiFq4V7QxC1T4rID44Eq+jhCe9fLvnfcwH5tt6jcH+gGjLuuZ7PKN
cWN89G/lW/4/8qQSz9k4N8jWVraEhe1TR2+5Q5nOUSTRIm3E3gI6cSPa4jm062Z7+bxciBodtTW3
PYAjE2dBbYr5vo2qBP4/5hqpeOnpp+X4ZXVnkyXKvo8wjia7Gerss3S6lfr50qO1cHfDtjILoNuC
ZqwSFKSG4hnWSrDFuDwuSwOvhTyWMNhels2CXBl7l6BYY6u49sJuzZV86f1Pf/8yNMgdQJJ0MLNc
RTdNo27TUOyve3f296Nz26jdYe4BMzHLfVfczW7ow7JjZUkuvbgW3KABGqOArCpQAf2vhnBU08Pd
dS+uxXXNRtseaGkHU+94WfuWQ/Y0mtacAZamVAvqGLabyspbGvC4uuu4s+1J72zTuJ1Xxn1hZHQI
Fm+kjGnssEAxeVPXFRK2XKwN+8IOroOqIHRJbUJMJ1AOWLSZkuC6hfc0zaUHvmzjO8pZIWQufYYW
tGhNuOMQNnZg107ux93YbqLMWknWFiZBV10XCvQLuG8NQUpf7AnqCTXcXqbr7ueQ0vl75YNLSiOL
WOBsDeNPl8zvXFrvSSjuQzO7zgQa0lF//0YknEaY5YjoYu78CNCu3I5tiko5n7nfpFa9vRwM5+8B
pqN9SxKacE9ggAFIWv90YL98nKepgLa+1RQbdBnId9LxdvDQowx/Xf7J8+cqlBG1T2MnxkSauMfG
GrbQWxcb156SDaSsb43EuhKqSHUUWdbkJJRAYQVGA70kADDTXRvBdK+tpbODPp+FBkpdDcdJVRU4
5vW4g15qezAqpz9UJKUfbox77uVPXlrs2m7GVTrnhStY0BaTQOPR7M0PAM+c+LpzROeVl40swvp0
TDnw4mbs00rsm25eIywsbQraljZnztQIJxkCyKfvxfQqoS6E9HeXuH+c5OflETq/KKgONBtCo+BW
e0pBasezK6BR8gNIsB4ADytjtDAHuth8NjhwURTSDuIiEn6UQBSSV8VK4fS8QhelOspMydqZog57
AnA1nQ8JHvkku6J5aIbBuO9iGEx4UOyab2dBipuYFc0OLk7Vfh6M6mWkI2u8LkpDP8rmeoWCtvS9
WuripGBFYwOxgmjI7obReHLn+cpHa5vGZNmoy6cNRR/cie6KepAo8Mn4upNBB6QZYVIlLawfgkwO
06FHFxGSRqW9ktGd3vFM0v2Pj7eVOVZfYTGP3edsfKurAs3598uLeOnZWpjTeAqtzI4HGGM3u2KS
nhmKbRG9XX76UohoeUtWFKgLZQiRpqs9SW6TEWpSVuYZ2XU8WJz0f+/MyuFdrtCQBYHLvRlzK/ZU
Yn2YpblW5zx/2lAddJbLMrFlJ5COuvXgkbz9MCwI2MkER6nReikk9PGTa6SUhenQcWi4T1OooOLX
EmFDuTayt410pCeMaKXPszAjOujMgf9p4lQYr3FM4TY7llvKqtaDdPKjUHA9ujzvS5+hBXKYZknZ
QdojsE7JXpm4j1Yx3LLpOmAW1WFlFR3asWX4CuQCXpx1Hgc+T05r+NuFfUjXn1e1MqIx74qgaKHE
NHUvRcfW+kkLbDeq5xLdCFKOXWGTU/awnWoIbDtJ+MqlIT3XteBLBxfdFNbppVt/jlNyT2L1I0vC
K5N9XTvezJCHww4YIYmiyjsZZHo0LMvdmoW1Ztq9tMa0qIdqdA1fedxWlODPTnY6EtvqEAOB76M9
93p5iS3NkRb4RQ9BejbjbHTH+NBkHRpn8cPlRy+8v45AM2MnyucGTOgisrxivFeu4xP2JwRN/PIP
LOwpOgqtcCY7KcbIDqCy+FzMiV8zvh/Amy3T8XGwYDBfXUfZojoijcwFnULYzAepie0LxXi059BV
hJ7pmrjvwkTo6ADVu2YukoEHHDl47nyHI87lUVqahtPm8qUQ0ERhMQJ1RODpmTkwCCqKlwjG7D4E
IpOdm+ZrlqcLm5XuVGw6HRMwZ+CAFZseg2Eg/pnZSpa1NNXazWFqbQLRqZHDFxbJ23AbisybZgDb
wtozy2dS55vLo3VeI49SHeMikzYL4wit5F4lzj5smXsMWVq+jCMhB5ZJW25JHkKcb3Ls3o/rNss2
blrLtTL2wgsApfb3fHEOGwfXbtApHyDC45NpX44wfvYmYNK4zwyozqwcL+eXHGCyf/9Si6Z5nPB6
BA9xehii6SGtnJUK6vlHUx22w1u0xmwxdEHT0k+lss+mXNOhWFrP2o6VW6OdExNLoSTJfmruSfTk
1E9Wcp1yCtWV740hU0M44vkOoKYwmYHD8UryvBAhuux9T5lL4jSjgVnEuQ+xjmynSpv6ZZevCRUt
xAnVaiuoKkOcdwrBlocoMGMPIS1fiPnQtGxvNADvXZmZ6EL4Zl2axQAKegBFCj8zI68YfkE8fHs5
CP8bkTOpui6irupKId3FqVRt2DM9cj8/tt+d/4mgumm39sPkW1uA4J/jR/eDPIs789jfJofsMftR
/OB0u+YUvbCIdb31vIj6HKrDVWCT4iV3urt+WjPRW3q0tp/BGTp0moag40PbR1b3r25trpyK/831
ucHTNhAIbpOiq0+KM/D/AVrXqfxQRt3zkCYTtAaJsn0ngXR8UY7zt8Lpw23SjuxdUt58g7dY60FZ
ONrEc2UdocGCMmbs5j+MGYVNAclQ5aVW2HkT79in7IZxB/8D8i3Po84fujrbG1Aa9O0xcjdmnPVX
XYBMHSlvFqKi5KSKMeW/DN7vZpFtWuN/sO9Z2QrPbyqQ9fx7K8wa0y2HwYWzcnnXJWLb2Oomm+56
4/3yij7/fKor04+K1MMAqmwwNxtqeLiKwhf6Q6phZdKX1pO2KVYd+Gh8RBvclNY3E45e5pA/X371
hUfrAncjUCEDCmJo287M2Rb15O7pXKzBFRcG5h+FO9mPoyx4E3QpeW1C5yAnCWJVoh6r3F4h650m
8Z+AgPCpFmxl7sgJ8aCOpGc7Zc+xFwr1RhWxPWAHPjPb8LJ8nrZ8mK1r1hN+UovBGKYVrFYUYFIj
HDyUeWLg6nGIl1lh+xMMOi7PzX+SAec+TTvCY0MCnhB3MsiToUCPzRII7nSmt3yMop09j3wDJS2A
dHrLTT1LpdG2jFq6mxgFJdWt1PcpkxxatsLY1GIeH8bB4G+mVRqlD9S3/MFCt3+YW0UYnFdD+gkx
8fh5kgXkPCLbqDZTnDIIprvdppLS3DSoVTwUZWdu01LUB+jDt6YX1130VstwOIqOtbs26ZG4uQUH
VkuYm3SuSxgB9Abua5X1mnKe/hpYWWxdPkIR1QJM2ti0Ec3vM8DvHqDJ1m5YmIzbzEzGw1DW8y5J
rWqTJU3sCW6KXT5ndJM5xnCXDNKCA1AGGJpSHy3sLH0ro+LOcVx1dEGh2CeQCIGnOEreObxHNrlZ
qm993UBuSsKBZMpwq4B6yvBs8CH2yDxmG0zszxFg110vsBlensezmQHkKLXtpyyzOeVuoY5RNoC8
dCva3hfJmlfe2RjD00/JwpcbAIqRSphuUgcUlOr7WiKlTYx0p8wqDlyJisLljzi7UeBntNwjZqnK
KtBIAlP8FBI14rWUeOn9T3//8v5ZmQxgmUO1RPXJzi4RT8qF7se0T8frfFSZzrht69DtqpEWAZHg
urTdUTa5BxT15vLQLMyvq23PmYv1CwgRdiBhv4t4ehxs9jZEzVo6tjBCehu/hptqSkr07DhkGWSU
+KwFx6BJQdo2V3KyhU1Ub+S7Zc+A5HPQ+oIqdWyM051g1h8rdV/rqbgrm4ZCLgkUH1RG6MpPLiwo
XY+lZdyQIc3iADSo+9lNwRheE0taerS2pJRKQzT3uzHgfPSE/dhDCPnyVC89+bQEvizWyQ5TWG7k
cYCD85ErUITgZHHVjc1kOkdBGompKtytAnsKoGy8mfJqZaxPr3fmINGVVjoiqWE4VAa4ED6mcXyw
m+jWaMvHy6Oy9HjtPCTESmVdY4HaxfRjZNmmr0+w0NJa6/GcvfhgZLSDsDOQvhaGGAKXwwhlyI98
dHtvMsRt7MqtikNzpzqxNg9Ln6PFM5k6Cq1RS2JlVm8A0OCYp4da0sPl0VpYQ3qjnxqkJdHQyMAY
zX6X9w38X6u6XamlLGwWeqffMOHoF+XgiNn5hxUbPngpXj6Ljfw/Z2fW5CavdeFfRJWEQMAt4KHt
nufODZWkExAggQSI4dd/y+9VPk7crsrdOV15sS00bO299rOq16+//pnRWTNURAsvXFNgCTTmJ+LR
jUNu/GncfP1w9l/g+Zepui7xF1XT+7rzsgPxHIkIoIuyfeUPBt5rBTdIMzL9ux6dgVyNC27DsSty
/5BN2phUDMR5YOM8vfsNkcFVn3vt0zD34n0ewvHb2HjkGPZ1/qK8kr+XOpcpsIK2SFzNFNyc4Se8
A2TQvUYj1HSvYKF6P+moPRSE8dcWB+C2qxiQ5bB533awe0ms7fiPnHbhR5ijBW9QIqoTkJiCR/RB
s49Wor4Vl65fidiTTXM7FX2ZurSEBtfIJo0KKNA8362Ogoryo/ZdvqF5YTacTUjXl3Nnr70ir/cZ
xBrwGMnm/UhxWKJlVhfXJdqWH0nXl4chCtrd3I3uJkK74O8K5Gecom1Lfpazq++KsHby2JR+v4P6
o9vNXKors5BuA9Br8GNaouyubkN/2/oD4IoFurCOlvbqqZGjOTJIOd04ELIpY+Bx5UMQOhqdg1n+
UveDBIIu983dkgm24UT7v2XUwCJpVN7DNEX4+VwVURyAtp9yU/Vb6lfNYbZNnjAt7E+41HZP1A5o
CCyQFvvmzS7b6G7k83U90FBdk0yb+7AVt76XGZgeNTQJJ95cu7XHAVwNDNz5vDKVvWbbgDvyBn9T
6RhVXsKFFpuwp05S5nmdaO32SQivqmuY3AIttrSBSnhggmQy3bKpBtq9Mk78l74cTuLcYk6VRe+h
MAPqciwjAiYmC4M3HqxRjU/xJos8jOERza9mh/lx4I9ZDGVCdshEuVw3us2ewSLN9m2rl0OIxbgH
umAGFJaLXcctS8OyRcXatvSHYZV5y2dMIhM50dOi52jrV8t0B6im+wMWmuHPaBHja9Bgejg5ET+d
ICfJDAOUOcFFIEzaxZ0/SRQlmdP1SeT6atlo4UXX1sO/mHoQY5c6rsboSc4qHpfwG3rgRFLZXG1M
BZdJw6HZqfUjNDBq2zas2XQcLbj4tWzLBtFtAlnS7z0EFZtC1vZlDHR4YwkyA2GtzB4p7uCA/sty
o6UNNoHQKM35zbgvgsHEXjlINGU2ttrV1VLfhFnOtlnhjNs8y9vnMsJ3FjXy/cnCOjSjOjA3nGGP
dSucAcR18EruFG1B+Octu2NhZjfg+o+x5AC0b60mJPWkE3yCrsGTAqtSoyrv2Fh783hw23l5zS1e
E0Hj+L0POs2eWpEdS/jgJY6XBbcLDYJHb2m6Xccasje8QubZCli8i7GL0oxGw94X0bCdF0YSZTCC
LWlrENFsnfIA/aZeRvi2aiUsW9HRDblc24kaXcFAiizSFeyAFnr0zrYsd9OocqvU7/CfFgBEArmP
SX1qyE4U8odbIpi7A4pfpRym3btaMPtdBGVTpQDP1t868CiOvFLNYxHKbqdJU7zxOWp/YFk3SWRy
nUReR714zgMND4SqdfjWKCB2i7mClI84XnNX61pQ+IhNIP+Au7kcyxZjk4B6QpaEU/RaJVJX6sHC
srfecL/q6jhyOU1hFTu91r6VNzYimPOGkfkRbEi+K0vlPC2uB67W7BLiw1UW8NTY973uoy5M9s2Z
6umQtfmik4rp5W40RTjFsEyN7rE0IOn2vLLHTuPV5VWLO8DeB0JrjKd2NuMhUx0MFULf+rfjiP2p
EcsS7OtAiuGuJcsQoxOyopvOUeJ7Ufd5ooEOQKy/OJbGvbFtk5qylQrXIorWjgGqjodZWXgDqwlY
LcwZcQkhcu58PP39jxCRDbCl63QzHSxld1kuEKco8THx+hLR7nTj+tsJeYor/vgAGbaZ6FCMOS6D
uY5Ml1QRWuMz+UQReWHdXlJanYtTVokVJ6iHrveQWJmsePD6YJtX5p8EA5TxVcSI3APRZQiHlJKL
cKtLdg2dgEDXLy+QvumunMW/87LxQpHszCtZK09oj1xNg7TzUVdP8H7fuM5d7dMLt/szAddaeAKj
dAZjp7Y5kko3v0OEd4fec/WT1/QAGAzOJa3ZuR+xGrK8HGZCZY0LeA676VB+DNW3QdrnrwOvc09f
Rdgc9ck8zxd1lK6/0WM3bqkxQby4RXFhnP4upUIGYRVW94G1LVoHmqNACeZQuEYiX120r2MERZvA
/nMN1gUgT8jJiFxfg3ae79vF9htZjfldtVTiVg3i0h3xzGtbS1bwmsAUgIABDR9QCwHQ0AEbAtZ2
/wKw0f3Xg+r+l2H4y1pdS1UcA8iIbag5GhyAT/MwBjdjrzOT9COSdYu0I+QyGgm1oh7QoAP/2uhD
T5n7xCrguwF+sMP3njcg11d8VrdG4Q6XA7j46BW4daW0mtl3oPRDiYUPz5/YtMaTaPUJmiRsyyWR
PsgzKnNxYWVe+FLzecgSL1L+VU687q3tvLlPQxeZHZikyzaLp7EnCCb8qNsgJzP4sWSZuh8cOj34
NBJJoZlwYhdFobTspum9jXRINo6R4RubxnnTWp5tCJscKPyM871e/PAbXeDajdJBbV5DFjZzgmry
/NQ2fp/OU7kgrUg0gJJlsAdF37uxtlbHSuXt3QAqfQKEBwDfrjuUU1oOvR9t4JwFNoBxI3z1hjhD
WgzGeSvIiRvQKqffdX5TJ8LLqyYFyLSoYrB3swfi+BmGnPcvVM70GTL3MSYuQABuWN73QevtXfSz
JXUTup9MOlG+1UpAPerQ9mnyyHzXlsTspasQOYnlMC44BWUdQg3WD/0BCdLoSvk1chlCmBi+NDQm
fWu3aFmcYNuzBG66DKW8N55fpk0IU83MEc5OZi40LZXv3PS+0akhY/NR2aXYLrNAxYbJYjsEVG2r
zvmOQjT6BTnL/LiwUwVKwqJVXKDnOolgdgz6VpSjgD4pdg/ukzqidbl9ryiAOomCYOOeQmosUm2m
8G4wLiRmbeHkt3MxukECMRgGDkHcEXk3fQtVlYGJ8qSuu0IrIAw8bNCJ7Zr6hGod6cviSPfKz3Ls
b9WMTvXPRnT+oXMrAKKRREU2vAwGL9GRyt7nEeDwEAr6xAs9nTgzqVOnjShuKVFObsnkRfj8cd7X
uCI8g9Q97qvCPRVRvO5gooYe3WUGGURW3bEQTf1EZl5uzUhgG6FrL3GiptsXDD2IReaVd8E45Qmf
rDngWjeAv6vb1Pfb4MbzXHfXNk6fzMLx7tCNl6ntjH997N18SVzHd2/GliGOUZO35yMxiY2q8h1W
9nD/CbN200+qiNmQsweF9ytH173TI6Zp3M8dmGc1afkxx/l/XUxZtTHceD9la70bSQayyRfk0qrO
8A+kKMv9bIDTjTJEQHEI4uCt2xXObTTbUW2DTIofZQHfxAqx56sTjL+Bk6l2rY5wrzE2SFwg3rYK
jZ43oh+m1zmM6rsGMvAxyceleQL/IIJX19DhgjIibb/3s9DeihpM2rhlTehvujBs901I+209sz4l
s8ZOXNfZy1Bmdley2h3hG+ZQbCQRbT9ppCsBFwiv2nMo71mKail7BtYaZZbSrY2OvahsnhF5LmbT
cwu63Uh7e12TZX7PI4L/H3keTShoYbcOjCbKuOakFUnjQhYK17IReCzE2gpbY16jfEGCif74ehs+
s9Wv5T0hoDx2LuHO5Zy+Jio2wNjE9VgnTXMhwDj3Cae//xGSiQXzMaOOPeil93HJ1CRxpT2AafMS
wrrmwgl6JiBbyxJRxTGd0Qj8ajk++j04fE3/+PUQ/b15lLI1+K6obeT3A9L7/AFQyn0X82TbxVdl
mn0Ax6NT9rAcgoOzU5un4rD3y7h6my7Qjc/9rFXArDQ40I3l6sj7OjHkRV7sFTgT1KwlinNpOrkU
KLzMPXkq+uwBuKabWvLfXw/amazkWqSIdY0Gmmxuj65T7zgoCxmlj2Xbb0zNYmnGj4hcqmCfGyP3
/08wHEERQliMUW/QUDMbcHGc2gu3X/+QMzeKtVRozlwSRKBsHVVRHyhlIIOxh96dd0vzQ8tLXg/n
hmsV/9VARFBVNSNchb2r1pMqRp7tzbjznS7Hx4qp+7zumgsl8zOvfl3yr3DZw9G+FMeTeuujF9x9
y01Tp7rD0fr1qJ35Pf8jUByBgyQojxyxdz2GEbnpnehNuf1OmurAmH7iebv7+qNO+8hfwsg19qdA
S3Ur8no+RLiBzeAyA+OwmYafwmQXktLnPuE08f7YwSjkYsQbs+kAk/jDlEugQ+s9fB8e0fqUfv0j
zsyyNcGKkjoCwsyHJrySSe7WqTseClS0F9bGqnz9+kPouRe/WikllQ7TUpCjeWfv+nZ5rg5jiXp1
PLxP37u7Q/SBAJn8m/ZgLYQzEdoZDCXdsYPrEBToplGQf1gabucqVwda5fCSK2FyDcLeCZrBnYuQ
6DM7AlutprYEvI4uOkAEoQ6Cs71fXerZOTOEa40czZnrFRCGHETxzqLTMn1D/HXhEDv38NNq+mOi
ISHNRj0s/OCq+VnM6tc8QPuc6+zfTpO1Rg59OZlxbRXAcy3odzRkfD9q1lyogp+Zw2tl3MhUbp0C
NrhVwNsdNLYVEFMOklLN0qKlj4lfUgSXEj1nirJrnZxCYDSgIsgPXGZxY3/OTYdr0hxDn5ww0cWT
oxNb/+MRs9bD5XwqQvQVFUcI602MTHXx4QZL8P3rdXlmf3FXyaQmkiBcl950KLzPmS4QWQOACQ1x
1EwXdvwzC2JtYVqJcIxa8HaOQ1j9lh6a5SZ7ob557kWskiPhPCFXSTTKp7pMvMU9Ih/+MEQLijfV
MxQtaWCzeAzrX/82Vqul3Qehxs2LTAd4maF0ooFAhXl6c8re0+3XH3FmsP5H9jUTDqB5Mx844Yjw
hUhRbLqkUTxXw1vLvuZQsgGwPXW0njdssmWGE5I1ALgUk3e75F2XRjpqti11+auiFQEsEbcUFvud
U9yqABUvqaxf4/6Um7d+yryrDEZCx67syvfBH9WnU4eXLDzOjcRqYnIHHpNBR+sjOvgEBEfTxqmj
/sIwn9ku1qw7gjxnYV1HHaN82ueoZDTSidHonUwNvWra+sLHnIlE1sg7mGhlpZrJcJQF3XJf7ZBa
TaYhvw2L8uAR+0p8cakUf268VpPTV1VPkNUpj53/rtlxVv/EBaRsjb9rrWHhHJyStLa8Uo1+mdxo
b8Pi859m/BqBtxDKp3ISqBULDxK48Nkl3e+vH/13UT+++un1/3GmhX7QhbCECA/uqW6Vw8o6yX3M
X+WIbo/cjti3mTPEYNGqo6fmbNNWk/9vgRtdfTZhEkaaEx4sx1M1AwyBGNb19yUFKV+Wy4VA59wM
4///FxraWCN82R4b5B7U1Myxa68ksKs1rL1VKA9iuqBfOBMf/BfX/TGWqGxkVCy4iC4W9iblo4bt
aF08ff2mzj38NKn/eHg4sEWyMsR6rKohyTSHaadnHuflEnHlNB7/E6i7wToqMw5Smd2ShYcxtAcn
LJ+Lcvo2l9mhLJpL6tO//gg3WIdnfUsZ9KdueBDlVdm8q/rX4qgLh+i5Z6+iMzLnIRzdYD1i7XLl
cmhreLY14SXN/ZnhWQdnk9aqCLidIX3Jf7QEBgJtD+2pzsr3zgZXX7/kc2ZG6yCNsUX0ftCCAErh
75VNzTZozAttmjc2ILNcT3e8HJ8Zm03sEH+MlSrucW3vY5Ffcmz668aPd3Qa3z8mWlRMnWbGq49w
lBO7wqmGFP1Z6q73WyctooDuaB/WF0Lqv27J+LDVrB5Qa5+NAiG/dEJ7AwTfkpx+3PPXw3nu6asD
UvJCqWFg4C/TD9s9Kf3r3567uqgNSy6hVKgzVMu4e4skEG60EfLtXz/93ERehWw2ykrtzGY4hlHf
LXEGe4W4G5zsZvHkfGE3OTcyq6PQ4aiNhF4+HeEQ31z1trU7Z+Hm8+tfcObp6xDNyUyjXWgejnzw
+/uos8OVnfL+H5++Wui9AxqIq9zs4Fl4OQppb2FDXqRff/Uzg78+k8IaEPYwCirgj8IiXVTGr5ac
jOkCIMiFFrRzH7E6kGoxZigqtNkBBcokEkEaijnNL7Vrnlm+60PI9zRXZOAVuiLcKGYKnHlZFCiH
tupHjppowi6aYp37IafX/8dOMaKCB1LjhBMi3C0Rx460bGRkL+yF556+WrxT7bEaRePqCI/IZJx3
LaJsFbT/Enu4wf+Et1WIewQth+NUfgMvJ3arH4OL60p04d51bgmsFvHSThRVnGhExbjSqR/x+iVz
AnVp3zxzGv0Xzv0x9GzuA29uYKJRapWUPTgF+s6dsti7tMjOjP46pNWuiFDjGLKDHMsPV0VXUJs9
Q9H36+tldmZ41iFti7HJOyfKDsyM+fWgCUyRdPQvcZgbrGNaVEyBKyagE6CYcYCy7ruovYOS3SV1
yZnBX0OdR+4ATjfBHkVEb9Cd47C8qgrgIvLd14NzZgmvWc68yIOgyovo0NZ1g56C8pZCFBX1qMxA
Fug0zvPXn3PuJZz+/sckGqAfEggEQc2HACsBz8R9IL0rLqywczNotX61g3yTUuMAVmGV1hbtI+0v
Lt+//urnXsHqBIZBTeUGZecdHeaiVv05RdAKFO8VbJG//oDTYfKXaHhNb+5zn5eRg70NJh0C0IYu
eoT20SZWscyBA0je38OFpesh3lsuXSPPvY/VoWybwGsrDYGJ9udd5LX3pM3+aTuCh/HqVYduowr4
4R60xxfQYUMAlod/ysi4fI1zboqq7NsMUb1ThTfz0L67wyVGwN+HhK+pyXpAQ9cCTO+x0ZF7bRwR
JSZvsgsp0b9PUR6tT+IWvfMQ0oTobupOgpWkR4l8tJfsn/6+jvmamQw3D131RY+7ddv8bPmvSd4I
ChMaKmHSHPyb/TBfY5MdDk+UasCnaENxDJdPqh13i+YXNtO/rzS+5iSX7kAmEp0WgvPk5gL9EfAS
gmWkvaRwO/cBq6UMwb+imvjZQZgfDnyst63nHMvRuUUB9JKh4LkXvTqNc513xejjRRMrN+NC9h15
a0eZfL1XnHv6at3CuGbyTO7g6WjY9Mwm1FHMzYWHn1kBazSypB1cZSwWF7wodTzX3Q/L+l9ff/G/
JoddvgYfZ1Cc1IC8hwc45gBXEfEk1DBbhO/HlWVI9QTZdcaUjNFbewFPdGao1izkEc43JAgV4Dj5
kIYz4vfOZyk6DC+UUP6L0/933+bhakkHY1staOOcjmXjLDuzhLjdCKFfVLnQdOy7Coob1W37DmGH
DyedF1x3YQgfFXJXuzRKjT9yGntzR/cQkoyboQZiEkmL7FLwcO59nkbmj0PXDUENpbgIoyOu+Qw4
kVWclTT8/PqNnhvf06f+8fRadxXyzU10KKCrp9M3Yd+d5cKZe+7ZqwNdTBmLGmhbjrND3XhS0Q8O
LEeDMfy3777aCGrLoPk6YU0CXkGU9Fq1z1V/Yd6d2YrD1QZg7SSrZka86UJwDVvJ7TQc0UYcd3O7
0Zd8dM692tU+ADf2sRR5hqA2Gl4qQo6kqS6odM58/3UfJQB+RubQmh2cznmz0fzbdWVA4tnQ4ZoO
0GtVxUXIxZkNed1QCasx2tZjC0pfWdy7vdqbnB+dQN6VwSUqwLmPOP3MP6YpxT4w5SXByThkS9yJ
IovrSPoxhaVsJvz06wl15n2s7exhg+ajVxo/hHJvW09yB/+eC6fiuUevVrGhS1AwpAgOZmh5PJlF
bBTtfnz9vc8stHXLYxTSoIssTitt8xQJgkMg+eO0/BvSnwerdeawPDOUwyg0m+t7p3CSzOB6pGF+
cekTzs3W1WpriMuMYjM9ZqE4ltnA0nL00sVAbCiZatMJxbULxyMN/+ve+8uWH6yWnUK2nbVLu0AC
ZNyNKzL/mSGZfTVmut25TW1+d+hofsf6KV6GuQt3kglQkUJ0Lm4VzO/eFFxhNjWMAlUcEuN8m1Ql
dtE0FY+6K9mrhc8XnJrHfg+YYnHf8TC/5pkcksDU4dGgrn6jPY9fMXD+U9KAJl5Jf753JyN2OF5V
Soil0LZGTb5t+lluwprSX7qK5MZ1Z7gTVqZJ86gdPgaYis2Jhbb2u5BD9exy2/SxxfXsOJc8A4mb
DfeZU4ifioig3+Kfe2nhocmkN+AJBOjW+T0CLPiqe4dtlRLmLUJC5h7+nVDH6N6/As5weXBoMEZJ
T6blarTCEeCq5OSK1Nl4V5VLg1aDLvuMnC7fRlWRp21fFO/wM+t+GCcg14KHFnLKaiyrLRzjLRDk
KEFONYf2qgVJljtkeqitk70tDXSQDu76cDHsxWOArq02LvMCiCHmA9+sxYCIRkTzjJakiqHVi8PH
0una23Yq5AbXU3eJsYLn4YAfvmToFqOkSUuQqzeFN45xnynn2PozeZJ+IzDEYeZfB11PDzYAh6sK
/PB58JqSbYK2yUGnE2grEiIMtlhhtdqSsg0eGs+d2QamVWhb8twuvKVZ54YJjA2rGH1s9oWTZnka
uXbSoM8opkOut5CqD9tSd6d2s6U8OLqxVw0qlYdJCLtBv77aoG3yJBLvTRoWLgwnbW/3brvoA1GN
uXLDwd3IqfcfslD370PoosTaEunuoZEy8QLvxz3iER73DetUjAkbPUykmx7R3A51ses6b+D2Zjs1
he42DFwFMynl7eYJvZ2OtGEs5mX69MPCXEvYf74ClVLfECN1imNE3019ML9njVWJNage0JHZbcFg
aQ8xIwOOEnO60Src2NBvkrbX8leAvOU99OB+iuNmuEazlgLAQmQpfEdPRKcM14LGs3fwNh62btUI
2EPZ5olyUPUC2PbANQDZ/Zu8a8K3fKLN1jeVuAdk3qBR0KVp2DF0kVUT9JqzUyfoDIg2PaP9q2fn
BnLhETp7EtabfBAYdDLYTVDgKfBZgW4Yb+JmIYxe846O28GLQry6mW+9gtcbRqDMLVs/u9WoP8WF
R2s0f6EnOpJV+80zJ6Fx3aprIZSHxdjJa9944cMyZuKGttmUdF4RvJOZjgmhDnkYXWnSWhLYtaJl
gD1Mbe3ueRPQPZkwMytql1tpkZCYcl78WGCxuYtqL9s5oQt9JfP6V8rmjxaum1c+KIS7bu7Ifupn
L3bJMt04ITwzY4YO0i1s+ep9kE3ee9gPy6YhpqRx4xjomnrIEVoE0Ek5axTIo9nnKamq34S78lh3
Jvp0welAhyvaR8FeyQEfEZF9Rc3zNVvQKht4oLD4fbX354bAv9UZ/dcyH/PPpcqbRKh6mg81591h
GHxYsJzE1I6plqcQNuBtEkVjth0lq+9dr2wfq6EC/ci1W1IEzaNuBnnol4C9jRUnIqntwCDXrxu0
V0bsNvDRgVkzDVE5NfkH1IYE/WZtgN2utAE6zsI2JQsF+kZHLM2b5mOUlXPVkXJ5RcuEfM4b24D6
XhcfsD+1LEFlofgeTe7i7bvSVrc5mJw7NecSTQKmbp5mWtZXEYT/saTwsvJGpGE3I/ezXT35I/xH
5u47GyYoeEXvNLdQw/ZHLLLol28KJ4b/EN3AphO/l4w87qScktFWfjIF6E4Ug6L7UYwsRf+tewyZ
QQq8lJkTi74k2wlqA2/rZ0G+E7JuTdz16PtN6qAQiQe29K7OeHmXBXC+mTqDgaQZ3bgtb+EcS+lh
zieBdhumMX2j4i73/PBpWZz2aRzk/ALWWbgjoKBfh+E0pV6oAtz7+3nnhwDLJNEJ8CNYJ94WyPFT
riJvt0DsB6l6Z4/93KiXxbYhBPz49nVG3YRj0wEZMfJfWM70o5ybfiM06X/kykFqYazqHG0OxUOv
4C1u3GbYmdbBSVosZEjNAtMunw7OhoVl985HVtyjL8Pb5QCipl3g2aRynCrJySBvUKztt2NhiutZ
Wvup20bdhtj4t6IJ6281dDbHYCi9MkHthd04HnWubMmaPaYFZkjoyysJFeZ2hKf2Rmo4ufhmHGLQ
dcJE4zX14HzJcAv8EXlp4DMm4hZN4g8DUDZzUkat89khr3Gjo6y680d9srX1llsxyvy1hgvOuyB1
CTPMtroBIoPvwj5k6Thl+oC+bjRBL1pi/zZQKkAZdCioGCOoY1zxHDgMrfQ88x4kuqdiWC7UTzPJ
gerJ7YCm9QisoTcVTvTQIEcNn92q2jEpyzcAJGtszD6snmfe3ddDwGF6xliS+UAS6XBpd50W7YvS
w7CNwrZ69ebyZ6eAXE1tEMzXXoN3FQDl9YxgAkseQgRxNbNxvPJg/OuhV7WrooTmA4yffWytyyPD
TeuDTCBcbepaoPXYbR+XoL2tRRQrLHFbY1usoG+dZi8L0S5TMHrnS0DdNy5UGzBRy9VrFBBzcKWD
pWWU3LMALe9xYEQzJHISPL9BU01hksFh1m47bI976Iqsi15fnL7LoBp0nVdEPhFJwVuagNC0ZU2f
msoFmHViuBpI5COYVlNs0aDkbJw54w9LQ8kG2xZIT3Qcf5Owazewj5r0HbrzURMf+YLe/QxFaj8y
n+Hi6yXOJZx/KFhbaOunBfNwspURSQ3in3ft9O0LjXwZxbpyJZhUdkgsZouMJ+5mZUJnL//gGQ4A
1tLfGo0hT7NVEWQM2QCYh6kIc5Nx9OGlHADLF+uyCbdOVk/JEPrjDfOcYYetEM7JTWivbANcJhy9
vRbKyKgfEto6+YfvRNVRuR7ZSKJHm3BspbGPQM1JJWfYEucggLVmMOxgdrvc2bCJXrxgJkekqhl8
s9DZ32IpfML6rornWdt0sRqWxgA9gHkFa8XdMgmiIZjLliJtBa4BsfVgOg5KgDPd+7mw2wl9bseu
ZigpAb+0qfhSQQ0smsMgeQWjaZZXdzws0AYJncKzZ+EuHheTcW6Zkzfg7+kS2z3rHfdFgm32e3D8
8juJwNxIggXtUGJBvFxK1LQp0fXe9ugra/tQ3U/BWO8y3x2ejeXmQZY4QOqpYqkLCU0ATwQOm6Y6
KpYw7jVZngHEgpk3nJDqOkZHt+UHCasgwBfc+qXTskxzU7ruRmWzvAs5yViquHTvAulxbEW8HhmU
fdJ5c9WCfkYlGvY7D9hyZJPRt1B1oJYm+LIZ0UYMX3RaykTzU7ecVDr77em5S1qT+d+GXqIZZwJB
RHkBe+pDd7qt+lNTXD4vHsyz8zb77Ejg+PsKjyoRXp7YO1DA9CoJu7rfOlzvy1Z7AAUHORKHaL/a
gS9QHR2uONwPp4psFxFFcHpy3em+kxAW5SNuszw0Szp2A4zeIzsvSTkuVCeKSQQz0yTUExlysRn0
ou+WaQyGuF9gqh3L1pseQL5etlydUlpOtJSn0N7B/zSDiAFThCsJVI0b2nUImhqDGN9oJErqcXLR
WK+rg8EZK5NKD9jhBHr9eeLxrHmsM2JVbEZ84wZx2hVAbLhhwl/rCs382VGIAZcc22dXmqHbKI5q
h2wm6sqrDtq2jfaVumG4mB0wvDQBEYduLURbkMDQ8tZMTbYbTmiE7iSwQvBC9LWhtEqmqIfeP4Ld
L7BA+tvIIfa6CmfHbB0pmgcdRu6mywd+Xfo4L6B5+D/OzmS5bWTbol+ECPTNFARIiqSo3rY8Qbgp
oe8zASS+/i3VqC6fKUV46qgiIRCZyHPO3murey8bxX1jDdINB1yiJJoW8x0BbeuwWcZC7UFvuDqz
bKLsNTfrX/S1szaeoaV4i2X9olXCvbWtDkpQ37b9rghKZ2vlEsuZ4AgSNig1NoPpFLukyfSDTewu
gZXB8KinWvt95ZC9b981YpM7VXXICawCEJdUWNEUJuyobNds43T6/IqL0fvWd30JHMaBYJIi04d+
wcLdtpaho8usvF/l3BDjUFTluMkqEsE522UnPx/SWKuhXyBPwn6zyVfBP5Rj+qK7a33C/5j+Q8a8
Dtgu6XfVWhtEbIGmK7E9Rs7Kj0TrM7tfCrEW8dylzjY3NSLU3TbfYZNzToGqK9ZNBa8P5xWFZ2Uc
Ut3p841pTe1LNpb9z4XklNfaz50fXD+ywsrvzC9LAruWOE6N0HWz/jqUqT6FJg2Dbd/2MjL1Jtjb
pSO+uR1OG0jW6/OgL1GwrmoO5TAK6VHWAX+4GbO6eWwtzknRWBd5QxdJnwKMkEkXZW6htuDk1oQz
sfF+Ue3aRpR4uDazoKv3OW+Cu8Yf/Qd96IMjcozZ36Z+2p4Gbx5joRIPUApBa4xftSJ/JfHJL3f9
1FLF5HNH1WWBM+sII8tzUBK6W/hU8MG0Cbxc5+Aq6y8VJIUfYC6KKTZV6Xh3eVfXw5OZo0p6zZhk
ZXFB0Zxv9LpfvyAVMI9wasy9twY9bgz2+WZICcRL7YXOyZPb+gm2GRzu2I+6PGqDxrhJTAPsRMVN
AMHez91PpgVNaDZSfHO8wo7mUto3nMTGbmPNTf9cTAUmSkdTPcgXZi4va284WZRKx6If0gbGwZkt
uDHZurr7carZEVLK0a0Ikl/mWjb3nFWGMCVf0IzeEfreps+rxY7SZC+pDwAseubcbVbbh0/TWT28
laDNMygkHQ5Mja7WP8nczdtZtvixaYU0u6AA7SJm8jd9S4DSTeqMv80MbixtnX+mvo+hUw3lZuIm
PpqB0p/7yk0iIWyLTQhc7RG5tRXKutXHsHeT8WYSojmr0i1gwzTlFqGW9g3YwHIIOKMdKj1IT94M
qiNs9FbfguQoIlmLfD/7Wr3zeqe8bSeDZgutdNA3pW3vbAuDpwrWw8ppO6QHxKAwbddzRW0UWTMH
wLBKdWNva6rmaaQuwjQtGyzWQe3GbloNO03DLZ8JN98mbr7cLlJBl6kbb2OsUxsHRMvcdlWTUgp4
wW60hylE2D2/9qAkOcupcmvWRnefzJ7g912LOmbPfmpTSiUzKOcnr8TKZ9nS3tuJVJukFD7Z5K1/
NwSJeSNNyBEwouwEVapY4g5k8MFnCQtOyyL4oRyWadh30j91WhLsm0FKstMQQfViyp/zpVl/cHys
vhXaNEGe5hUeyZWMtdCZquVsVFqzcgKnjZFL172rS1mcNDkOp5bBIW9o+kfblcL0QTaj/CeYNcMP
PU/3fuUNNKxworKOtDbQxcZNHHblnhJp9HwjZiN+DbLqNjEwKTgNLnqtqulzwUOCWprXcaJXBNS5
KBmY7ZA1BM7WiqY0mLZO4bv0Ga2c3GLSk6geMd5nS5t+02HgPbCa0ndPQn7ySjuN2tWxOWsqGZvv
ZVmIvqxaQoQLSUSxaR5GmBAZczHMnhurNNNXzlB6jGwOr45a+kNQgOcdtGbZ983QnV3fnh88Irl2
hL2ax8HLulNplfXPIKVyAobh7wCLYOaaiyXZ0Ur0bpalMUNLr+ZXQ1lq57nJDIvKaoszZg39WBjG
+Ohmo/OSlaURVWltZRtZ6vaBg6B+02kT1+9N/W6q6bQOmnJPtNYBVFcYGHwqIF74utwnPQbzsCgy
lNAp0z3eFF3FqUBzfwdLwZszaWpebGY7mM+66A1/P9eJv6+7xY8HEEhBnIhuXcIh9Qt6IF7Z+u9V
nZg2VMhBnMllObFcxQ4kPhxGGPShcub1bRzsbLfCYT37qc0v5pnmdBrwiDw20h8gNy4M30st4Uya
aPNyrKiRms3YUwzS+bP/MRpUtzTTgDoljuXcaSZDS20ePYKZHA9RAElK6XermvKnqTOEAzC+m8zI
MdKBlE93lm+eXxXP9MW82yUd7RlwRN7clcIjbRaU6l0DFzfiZ3LuJwOiAOFI3Vsqg/LR7zMRCUl1
w3zU7mJ/8gnCtKs+1klYIXU30E+W2fn7pTX7bVvV5rbLW0oh3E/0QkFMfE3GfNhzymnvEzbS2Ecw
spdjl/6uCmLn23Hyz2uyLLvEtfobq+mbZ1O+Ax5GZi7fAHV1QPCgfEEYsfbCLYddN+X6Sfr6srcR
dagwC5g2+7yO3zTbBLBQqcHtIiTc5n2y+PVelzknNtVQwQNDyDQuoTb7MC00A5woUuLRMqqdzU29
XZCOyDBrsqIK285Pz4MWZFHi5eOWE6H52jddMkXpGFjUcD06g6JbH1erJn6SzEjGuRpP/A7MXJ7s
MPuXv3zOUAe/qj071FNfnbqVptgGSpq7nR10s8VSrz/aZSgNZGzusJsmx/ySzEsXr9KUc9TJ0d+4
rPrHaSGkG8KA/kNvAJy9X85GA0txSnpbDwOSdfaEw5W3CVjoSDOK4HcptDddH6BsEV/90gmn2oJb
6L5hRDNfh97p7qxuUd+lVdCZ9cGGjFPWvbQcMuKG+PZIz9qIl1ikExE67301a7vFdlx7P82t+cXt
3WUNQbF36oGsd/qxApdEaLgLTXmHicCL9342S7W0OnBI8GO4mFU0a6C4hCO1jQEAjEc6BzdBrb0+
S1KIwlJz9J/6tAY35mpUD40chhOti+Z9Vu5vKcWCvUw4n3U5DfWS99iureV7uEtdHzKqvHmD/sbe
OVnd7qbV+Ll6iffY4jni7cdfU6Z065axLn87U5udBP00gkOM8Vkf4C3KtHZ57SUSYCG41pFBYBis
gpNA20WzSxm0Nv60yVxargYpQ6+MbItbzWK7tpZ0AYunvKOJNS7uRZn/aCqD3gIzjVtcs+zzJZIq
fsEcB4ZipAL4o7WbeMLUAvSush7ZGJLt6mgtZ1erufVVglc/5Rz4ZGopIjUOTru2bNabaobRRSlG
5bEUI0ds+uAWTvBdDmPlKUUAEHHq4LUqVR5niQZqUWhesGEA0p8dmdXfyT4rQjNzWMABCC3TXjkQ
pXMZW0tubMzuvX3fL18Dw3uPutBLPlnVX5c2G+9U3RnPxup8nQYtiZMhTb+CN39bdE2FRT/VTpT7
BsTA0nYihvBvlmrm3zA6aMgts0OnOZBxOZeZim0YbtwPGnN6uNo6nd7AG7d+Ffjf1rZenzuV1ekG
ol9JIWcVQVi4wRJnFs4PG25iXGdsl55HGxrAxnozldpySpE8PtqpYvkLUT6WU9ZvzUT3bySnFDhB
3Fdd+MldPgzta7LM6y7Fvb4D+N9vbJlX0URyUdhP3RrWnEoaDJvS2XqG524zReuPA2d5XjgGBrDj
UkSDiafF9mAF0NpMc4MHLdhbvdThVY9+7LkSIUZt43gblPXNyeclrtY2OJX2WsfumsiHYR7w2oGI
o8miAU3qRXBGFTHGOFKHqBRNG3FclbtEkAkdTqknwiTx1y+cCZ2zW5TGG6GaAd1Wd4EM6CgRamnQ
bHTc7RiZ5p9ZSv0WtqJyXoxMfyJJuBrjoSnlW6BZcmMCD9nmntGdhUnHvnCL7qutMu+gVqliB1ZV
RGTI++NFdbLkHfEDdemDetDn0NB4R9lNnn+v4OpGBKHZ2xLgJjCQQcibQCXtDh64FWv0k17z3Nb3
qZZNW6bSFErp0GWnBNPqSdAHDTPwsFvPF6/sQTQKkjaI6roTz1UZONuJZsU+tV3nAYeOxR/iMXcp
NcsYIOPRId0tTAHet+0OYEdS6OYvBHnGN21MjLuESmrXYu4KEzmR3bIyqMlrslqBlwwh06MhIkfe
iRbFpLPI5m+V260RJx0+dWrLbaOV+mEs5+7GND1vU9Pb3hVgbqJgysVm0do6Smpf7jODp35paBGE
inP4o6915U6XWXJc5naOlmBtDm1JKekUc3CT2CsnaVGUz1COfjKCaeK5rvI4EHZKG56OqTbn+m5Z
J37WpSjBMHKyOvOEAvLjIHKjKkK16fyoQyIzWGzM6CIlqE/rpJA8xfZ0P6TNtON84XusbbuP+jSp
iERzEwVhdMj2yZCLwzticmruGtTlHlZuX/zEfM1W0czKCKXTeAd82ONuSaf83e4/OvcIiTEx52Pr
oNGcx98djf47xyqG6SmjwZqGuQ9aZ1ETC1OHrra1S6P5YdjKBuggjDuzEvlh9JAubWZZMqnKC+Gl
dLU1UpCY6/gADBWQw3AxJmZnnaSbmaVNvXFqowZpz/kkLjvH+OYH03ob1KstgM/17raZVzPyAMxG
dcaOSKpD5261pht/mL1WbZHSFxH8sirqOB5+ncfVQejUB8UPsh/bCRhuV1sxQFHxC0NLu+KP06dj
UJj5wbVc9zsAtOaQes3ySzDigrKSNu6tN6TGfZBxqKRTadyaY2vzPGdFSKF/mxO0dRsAwr+dRv7v
0Gdw5kAmreEz2Qy8ASL56a4RRlXHVtqMe2skhztkRlXcDFpZxPlYZjdL163fx0zJZQOsEygBuKUf
U+XNX6HqLue5T+2tVrmAJyk+Qhty421fTcO5tiCkublpPxmVrelRI2f5DgJdIpa72PXNGJyqolYP
yyqC2EmV2hltRqJL1tc0LMes3K6joD5nd6JF25mc/6v6TAcvi4HCgm7ydCvdZFJMP6Tm4Vo1zVKn
MbawLgK7Sb7bY2fFxZSnO2Jc8y3xwuKhNkiFa+mXbDyp0gMN9OZBX1KDfM7e3KZQUJ+8NF2evbxx
djpw/Nvul29o8hkNPqFx2WgOuBQ6q2vPclykDAsev40902oNZ3qR3xyV8OhIrzx5ZulxuSrZAo5U
p7Ioqd50OThn3Z26n4y9zYUSw3RfOegIO4S1ZU2RMD2RgZ0taXWM2lCdaIk7xUkXWYveaJUMkO15
egCaTc/AdSw3nkujrOI8meTeFVYV+5aEh+XbS/ot6R1tm3RO6W+nudZOi8m6CY3GaL5nUGHemkrP
V6RkTvKV2qeMUAUZN47XZ1h6hjpWyAKoh1ZbMXS2xbLpfP99Mi+z2LEpiDiGLndJwNWHdkpIuaOK
9daHB/I7zzRt05aTFk8Gxr1NoxfLXanM9dHQl+y77zfrbgXiaMKYWqqNUoww2SVyee4x4B2Vlb36
a1PulsCp/pFyLA+0mOSLKS1nIyyNto1oiUITzvytyxueDwAHbzPr7qVjxm/BNi3FPsg4IUDL8+6C
Obduaxtc9iLG8U1f9BKzW9VttZzrQ4pSaiF9+nf321zBEx372bOo01VlUKXW63moMgq+nLdgJHP0
OrtKs7Ix9EqPQ1mi63rsOAAbmcPX3XMgOU6H0jMZk+RB3zixk+lim40MUILVE7Gg6jtIhQEsLAst
+O1lbv1UCaweoRhF/7i2zTRSgqvO3zS2BIiXZWovDPB6LQFI93VJ2MGmpgXwyyN7zjgIBSOsV/0Y
KyoIBr3aZDXAS4lzo4HlBcg+DF6RXVEz8EKhE2zoZKUPq03lm0+WOglGEa+l7zvPXm9XtxyaxCMZ
v9W+V2UdiYYxhQ+HjubOYO6ETz098/vcN41Rx7zXwdU6VvrQq2S+9+b51u3af7KxMc694wCmKycm
4eQU7gYqlVBXdh0vLU9pWLznVztWbrzNDPlv+iSDB82LMXJKUe9oB7fbNJ2Do8pXimzfdWLgBnro
Ws5IX8dt31htxb1RB/O2T5z53pzX/IaWjndPbIizGWSRRX3f0jswB0GPXC5JzMRI7RXYk3CmKP1i
+2515+i+fQ4sYZwY82Qblx8otiS3rZ/WORoUMojRasbTMJr2g2Wl9hu1dbvv6kGMqFJmfWfLhN6U
ZSbmw2yYxfZ9Bj2h6yjxwJrUIExEPfq2oKA3xpJXsa7xbBaCDlTrlt2t0dIOlxk9nQhfYLLnmS6O
rTsAErQcKFoV6WAploGBI33jDYkZp1k4nul6ZEOjnFBSFx88BnrMl3jrTj09czuzljPjDxnOqShe
yVRZ5g1shPpnUzZvqkq6XZlnbtwWPEEfK+eu6Aov+fSlV/aV59cGcUxIZ+pGd7aIDE6FRi7HNCd/
J1S95NTbdQLaEOXG0aVtCCyL9RrQtK/K54//iiv6v3+Fbv9RRw6jQb0Z9OqYdwHGeK32WxRUpv+W
gSuMP/6OKwLGS1a9WlF/tZM5HaeSauiBHffjz73iYHYvk+gpKUrDX3zt0BfiUIiSMrTIiNc0gWR3
UZH3h6WwaABNOwuxmJG5NwOaOq37RDt57e96//f/3LsgHVc2NwcBdP0yeE8dYu6P/7BrP8qF+rlO
fao2/DlHu2Ji0odS++2i8//4w689txeSTHpkpWAjxVCscKwZw0ZzStbtE8zVj7/g2tVfKDI7jRfD
nObpcVIlJeU+nwBCohL7+NOvXf6FAhMKkqsLhsfHlUmfnZpJRFW6dVxm47pOrtRffctlFpEKjLXT
0yw9onXkrHPWrW6fjE6YO+sn28eVh+cyjygNBlvyo87HEtB2av9u0iH6+NqvffKF4Jm+awZSUgQH
vah3rVXG+jK8fPzRf3aquc77j/KfJ741BTKo1Hmvhvoz6sN/xtSGbr7UlMLmEGyUP33V1vSzdXDl
t3ben7D/fJ3RjczxklUcXePVSe9Nw9+MxWM7aJ/8ytfu1Pu//+fzBVVJoAEfPTLhELdp3wZHo/fz
nx/frGuffrGK5TC3CAF73DRTcSilf1fR0Pq7j75YwwtStJxpVnBwVj8Jiy7WGq/85LOvLF/nYvkq
SlxC7tDLgz9lZmTN+5FpT6yX9f3HF3/tCy5WcCUmmnrMxI+y6c5WTqGAMfQfyNavH3/+FafRJbKa
cF9nScalRnOusmhOWusu1d+PFNC7rZ1XdfJBMkd4gEXm367t3Ii/25ouKdYuESfT6mIq8ZXEKWpq
55mDx6ac3+tge/iUG/V+o/4gQr8EnI4pJzE7wC+NwHWXIUYxq/4OQR1nyuXnAn3GsJ2npJX73ljz
6OOb+q8j409ferH0U8toTM0COR14i3XWDEC6Cl3fGtH6py3jp12coXzZVpp0wgkGduSYXrYleAXm
l2lrm1EDFlwMC/hfJym2U0cmAWJGZ8ek256ovxckBRkdpFDzrO6N5j2xCEU1FPtMQFlDQKTWW1N0
xVerasUeLvJwzld/uTXWpbwf88Ta2cIYT6Mvlqd8zKkqBlHZNE4aGYuchzjmcuvnXEqTgPfZ9+kc
dA0Hg5bB9En3CvVgD1WwcYIl3SaL6+6CxPeKkPEc2iN/yPMvidW/IL8GR10a1q+a7tqeeWe164ZB
3kjbe1ca++RPYtI4Tom7RlD81EaVhXlWgaziQiODFoK8FZcrcSyjuzJeDzSHqeoslluVoLfOxvdT
ZFW594VrT9u2dyiVFl941G6qbHfl4hVbz1HWCcGp/tlL48qivERnTvTqTEYx5DwjUKE9aCTyxhWf
UCiu7ISXqdi1NSERwGB88Dik4+dMs89szFfW+iUs01GOthaF7R+MbrjvklFGTqI9r1M6bnROsr1o
Y2EXNwZi7o/XwbU/5WLnhR6Z66PF0cwDirBdajznOD7MTw4FV34F+/3f//NC8jOrYCSkBQeLAbVP
ZpfrPLILf7I/Xbn2S84vITST388r+xPN5pugRrrVT7a7//jOXLv2i9fdIFXlDw7vJH8iy4NRb0tb
PKDP+Hcff3HjNa3rPL0lgwXd7/26LsiZdRJ4Tffh7z7/4rU3gfNk6M/lG6rZNEkSVe05Lz4LxLt2
cy7eefpIX76QrICEQbixH3OP4dRnrFDj38f9D5vzJcY3KVe9qMw2OawdIQC0buXdPKltwDz/6DX1
tFkH20Xzo1mRCOxfed3VP+ea/16TFUX7rKwXe8isaMnee3sBPssYvV+6baDpolXo8hdipqqdrlXD
iSEaqs8mVe5DYCGqhQ7m3TENHHd2JoxdYgjyqvVM3aTE6WUhgaSo0HgHPutp4m8pxJaHQRc/MoNQ
GuRL03wPobnakq1YvQYu+HF6wwnd99Z+WgL2t9YPrC2DLep5ZPZ3HhtVuhnFUh1tP/cRz+ker1hJ
9IM1kYpil+tOakIek9VAdQ/hPRaFoR3cCWECbdOAdvBi/6CFN/1w6qo5NObSvrm5aBFCCPdblhvu
y6iJ+W7RxXp263R9HwA4wFdFtW4D06hejKET51lp9Cq8WmISMpavsvKsb1NgtGcNVGsfoZctTiqA
pEcolE07Jjd+JE01vvq2vTZRMujGOyOz2YHgch49Rp4HZMTDo7lOcPBXFzW+IiVlL+c237vjtHzp
Xc0/kZ1pMCkrkZWaBtoWFlhOC89GJd45AHwLVWFvUQj5On0Jc/RZz9jb3KOQvYF8nWEgPNSFYITc
xHrhLrRYZNL8xiqgPVmF0R1HM7e/a47ofxpZsmxBNk2nPCnRN2OnPtmwJTcJtqcbLCu0+QwkTENm
vOSJ5qBa8O3sVHmSzTcD5mvJvnzWOrfYiGq09E82gmtVv3WxUnFb1YMxGhx+ncU5pkqKFxRq2fMK
wQpt2tDYe50x9h3ZR3Dsm15E2I5oxWExuS0Te4np366fvNmurOtLuHUyCRs02xwcRu00KXnWA+3U
GtMnh64r9c8lkX+aFKfJQA8OrvyBJWGjUjTA7rmeP9053nfPP20cF6e6ykWvTqMHlvW8HMiCIIqn
ZpA1WG/YlCZybRYyuyxi4KxRPOlm8HUJCiLIvM/ALf+iov7/BRiXONrVUwwwm3E5pk2BVaFZhnO/
Tuqnb6akSmTrb70c7MhMKZSh8acxCVdowdwVA5dZSnVKZYIcsuh5VaZEk3z8Lvjzi9K4DCqvG7e3
Vstf8JTOsWWuh3oc4o8/+s8PjGFevAgSjuhIATmwOOtXN50Os/hGCOBfMUbo3P3v8UG6qJ8XsyvA
jTJCpUu7FYhMEte0th9f/Z8fSPaX//2CLrVGGw0WEfQDirflH5cY6tn71QP1/vgLrtyeSyQaWhVJ
lF9hHTXTvVdDdXTBwoamVn5y+//cwDCMi+d9rJx54CSvjsCph4fWtFIMAjZqdQMbUtxZFbMJRjNQ
nGbrs47Vnx3KxiUljYC5lAHSlB/1FMVPsJbRUMvdOIpvXpsmNPi7Xx/fvGtf9P44/+f0WNktZdeS
rUctuCWgaINjKdRI6AMjjn01+2RTunYLL855s9evRi2C4khMNyFqjAqTryMCccbK1WicEHXMp0S3
rFcmc/ZfHc4YIf7vX5Z6ul4MSaKOYEkPFQmj2fiULuPzx/ft2kN38UJBFWxNZTCuR5KK90i/bqwE
eTixdH/38RdLXiuYoE8jsY9NWkVlhwxZREb3+PGHX9mqLtlpU1kF01K4Hvk/8gFL69nt85uPP/pf
LvIf9uZLcBqOavwXaBe568tdWmZnJKM0bLSdoRwSQ4Mn0Q50AnpOXb1m7wgA/eSOXdlmLqFqnDoH
c/TKlXhnsi01jOk3q/TQmpL5iO+SkJpPtpt/H6A//YkX+wEzwdUolKJ+nGprl6zaeDNMWnOTVfWX
pCzr85h0czgrZe6RbDdha/naWaDLo6if1We1zdU7/f5k/mflmr6AMj746rjo6tT2kBiajvWVbMta
T76BBbMpSYDACdLdtolZJDfCWcZPGn5XFrR+sW0o4goNa2JT7zC4FssXmNNY4+bDNP6UxZ3IP+MI
Xllm+sXGgSVFTLKp1iPWzwZhsFg3w5IYWPPrv9sm9IttAj3rZK8jpAx7+T7pvxsaJ56mPrlN1y7/
YpeQA3qtMet83PUvnov7wyD1Lan2Hy+2a+v4YpPQjYLw0FT6hylR95YIbpxGfnLhf/59UXX878MF
fojusPTm4wrHLg+FyBTt6M7YBKVqfvpDon83G0KZXHPtPztY/vlVpF9i2uw60Ps1hSS1WkU46t8L
9SUY37Thl5f/8/EN+/PPoV/S2rzJbJAOoTKTyKXOjYaDTKMHblOGbT/+hj//JPolsc13cJO4uIGO
+mB94SCOiWT6/vFH/5vn8P/3HYq2//1NdLYds+55UnWYFRHmxgXBVz9sTHv6p/SQaIFE14lw1ikk
dbfayWUwHnwK84OD3uEW7+DXBRnizYjo5VUyag8JtsZISsZrjPFu+jrMeRAz59P3MwifMKg91E4f
X/y1O3+xX5hE0ebrxKNaO+sT2MKjXQRI8lLnLz//Yp+wPICH3Tytx0GmJAtnY6zrwVYnHvyTBfHv
uOpPd/9inxg76UG9rNWxVZ32vRbZb2UX0yMiRw88Vy/fWqXqnVv6t6btq4hkxeK0+P2E8UQPXpve
11AnewQBD1V5n+D7+47/FvWulUy3s5sMP1pcGWAAFNZ8g+D0YbAsrFLVL7SWRbxWTbURpcQmo5Tx
xZRVuSHpUb1Jzh27EqndAzSALh7Q6Ny4E9PZHlsloXJi2DcmQUow+n+mPRITp0nafRIU9GPQAIoj
OsBsAETAR5umhWI88Nt7127JD5ofnLnV7+sBCIyyquJHO3VE3mfK724d8DmbzpTB8pe/4MVWGRCK
1/pu3x5n/XXRkQe1hFosbx8/fteW5cVOOZWqT2qtHY5WJ3uSLAekbRBb/o7jrV8y8OaAdHo4je5h
5sd0l+VXoGl/d+WXCDzPL1EHZalJlHUvtsmKs80d8u4TNcS/HPM/PNWXvDs3IbxBp+t9xJoQ0SUJ
s96IRPdUzjpMBD/ElXQz2+shMNguymraF/JxVCoucFS1w7RTCpMm7pLM6WMV2OdUK3flSh+MF13P
AMb5TLdx5Re85OblTkdLSs3k5DVOGyp3fY+n/KsjAH2e/91Ye1gcC4IwdZybMRREJgn54vSfhedc
2fr8i61PADEsSDD1DhyV8ltpEzGMlbw8JEM9fQbtu/YdF9tfhnQaoMDgHcpyP68PuF1r6+fHS+fK
W9m/2PdIZneK4v2j+5FYhxnzRwF7YQSl8b0JPiORXrv+i8U/g2GfzEV3D0bRnD1RfRkmYzdX3u7j
v+Haw3Ox/D3Tg6JhN5SCLQ2xbsBjSjzeX332JfluonXYcs5TRwNYVKb/6KpP1uaVG3+JuatsHQxa
p+SxtfWoyuu9dNtQDx71sWBEmP5VM1L33r/9P1WEx9xezoAIju9Kb9/4OhVvgxd/fGuMf7eRP2wv
l4Q7Nl3lEFY8HU0N22enu8Med+WMgR7LkhY5BZITut7rMm0MaZiRlVdiX01gjwKbgEErv4Fjbe76
tGtvBoFfLMAm726k9d5OQsyrh3OipXQR8A1hArc6sYQuYCxYT42d4yScg2I3Y397TfTh25yh68Pj
oeJUb4etDi8oCnxt3vL69O9ctzforDCQoLMzVN23wEnqjWebFamQSWYuJ3KUwQ8gTOtiiCHOU4nl
ITJxGIfIS6vT6BT5scq9Ym+hy4/73p7fytQrfkwZ9E7PGYoYP0DBe7s0mcgOyxOufQdmBxFDz0EP
OOpBGSmaA6+tUR0T81QfJ610b1o9c3ZQ8dKnGRbTTTEbCeyjyQPhkS1RUtbNTSUBlnQ5cTj6YCLW
noTcGyRuh1Ze4gdEwliHlT3KnailvWuxGzWw99H1Uo4Q9gwcJBmxW9XYnmcHf1hrae0xtczxGbck
Tk60WAxZksLda47yvmpB4MfJLBRoJVPFQYNH0Gtc8QTFud7aqefHvTVhe0OyX0BvWjr7vhCGC/2l
cG7tKfc2Ote9L/3JeknMFVO2p0Ykp5pRLT+relkhxq8gY/S6uM3wOcbDPNZ3RlM0W9FgVpdON+7r
ibBZ0voSOJmjSVjkOiywzTp03LZvWnHay+KMway8hXrW/gMxjbFIO6wlQLGsUX3seW67rxYvOJjg
Be57v4dfVQUjXWw7G9PY8JSVxrVCb+/rybjRKOe/9vOgcZ02AaTNiEf7VjMDVOZVWxcZ1hLM19lU
aNtGadn/cXYlTXLi3PYXEQFCEmJLzklVuVyT7d4Qbbs/kJhHAb/+nfTbVKuTJCJ3HdUOKZF0r6Sr
M8Dlmv25AgBX3YM2ChcmfXCqetg5nFWvWUHYL1ZN9i6LIg0Vby7KC7nCl+9NAnZOUGvhfq38FvdR
VBhAUcvmWb/O/tSCZTCB4QChrx6rdFt5rxbFXuv6Fv011H39knWO3NtZWX2oSL7hCWM6EBhqshNP
BhBdRIIX9XnuNm2ct0c4h36bCZ85pOBakLwtW+fgLgI0t6mbyGUPsQ0FnrR3tdzSNO7vEya2PWNv
oaihTdB8EWflWv2mnMUhc8k7s2EcczsDLewrnrGvQDUJL5LQ2wsJNKf7EVeDuGl2EQGw/HYHl5rP
tQRn7CzgwZCeSoudK+BqIN0GY2xok0Esw/PAyIySaKWutrCDmcDhfJx4Hc9aQcewj3+CymZBFBju
5Cu3m6XmL2WAT7uABJEDtBAH0oo0JfCKUcUJkt1ke9cgmXhhi4lpAuacnaHjAYmOTYwjEHGexsFe
+fkL02yChZPJLRicqOkZEhAEhb7af1Rr1+6lti9//zQ0eBzPNBEpRHOBFH+eAIL9Z7Qiezv4CVs5
4y8UWzyjCxKPI/woAf9pJ8hMqVF8B/saOc1JjqljfQGA+5Dx9s5jxWUJfPoeX4Ft1FGg4SX7DorA
psFDHZU409WgaxTt7vaULywoUyIW1E+WzFONul0BXYryogDclWP39+3WFwaMG98ARVMUn8BCDgmb
ddg7CbinCQBzBXDpO4rguHhgToHn580KPnkhzrlxwHa90vNYzlFNrfuHwgGN0XfaX1q0pzbjK2O2
1IeRDUGJ6iILIg9hAnXjD0b09NpWpQW+kWI7N0mslSPfdU89YnMzK3IXpeqWyZB5AtRR0Dh3jee5
m0Y6EFdTmZbvvvL8sIzAQgLiI94NTaNfbs/dwsrgRsYsHAjVaQEgIoFmUKUvhFAf7023G7+UJ6+k
YxOCTeKM5s2YYT+PRBlEzdxttd38tv1oMwh0idOm0uQR7P9/bnd4CdFrHRqJs0yAhBhdwDddT1RH
h+uj5eM8aidOvbIqrvfATABWkmQX7S0P5mpQ5i1qkFhiiME+3/751yeDmTbrlgPyH/TGmnAg6YMi
Cluj8+u+ps3V7Du8ggqYd/ZdVJa8j6lYCcWl32ysXjm7ca5wm4NqNg/E+FTH77d/8fX4Y9RYmaMe
7LRSGeyTB/6RN0Ax4Wk5gHDIENi6WbMYXPj5JuyKgdsMlb0ePn1RtuESXBPtemt1gKXGjeVI/RFe
deBrhy1uC9CHAftcFSsL8XpsMRNYUjJXZL0Vz2EN5tgMdjte9Q+gMD0UvfuE4sC2J+2+ivnKnX1h
3buXWfq0Tw1VSpVVqzmsqkeBF5/Y/V+6CgFdavzy90+N+5EnLBuU5xBH4iCzvI3nloGl1+BGS9Nw
+fun5q2KNdouRR4yF0NSZPA5U3JYyXELy9SEr9IpAvuwddnZiSFYC26o8z/WfjggyN4VBq4RuAqM
GJLbTRlO4qkEgBig+FS82P19KcdEYk0T5WDJt2UI8LkE19H7DV2WlXPg0tAYEZwz5s42VWXoKojb
KNb2u4TgQU/0Uuwlqta3R2jh6ZWZNqG5lKMqbBDE26KuQ+iQDTqQGjxqKkVx0BCFwBl60qFVErLn
1IGKqwPDWDws2mp7+zcsLDFiRHrfQ+2yQ0ieOyt/UWTaN2X3dl/TRkkoSwbSpLxTIajIBR6V9Abq
mcXK6rp+dGOmgSiF9QmcKHHjnqAKXUJvt6Tzsxx/8OkV8ttA7Ndr63ghxokR45nsoF4O4OQZcmXj
pvMLe2NDJjPAm8jam8XCejPdQbNZZ7Y9EXr2AfWUNuRYBUQx2ze3eLk9FUvfYBw7Ja/AEi6xJWWU
o8j1bW7k1tFrQPiluTAiHYpbEOWkXRnmioBIPDntPik8ccwyWl84+kD+QjFHnrI2837f90HG5q17
cKEhi8rPFd1pAJnmC3d31CtBsfRBRvyzJo2mMeL0bGXF42RTGNLGH9OY7n0btTcriYO+7Z2Vzhbm
xgTOyTq2ACfnDPo+oHpIHT8pTz44Kl59crx6tkSd9N+7CJS5+8z38DUXtghOaQ9225wr984MYsLm
xk5DAoxcLrYlClC+AEw5Pd41yyZiDvrG2tGiqKHP5wYANW/66dW/s6jDTGycqAupejEj6gA5JwNU
cQqICacr9+OFmHbov0fd6+auyjPUEuqL49JL7/9D+nOr1ipSS80bET0JUC2Zjx9P1Clv6Vdea7xm
ocSbv9039kZQj07XgCrnjWFj9wfO+cekcK6B+uRdlSj2Z0/8dLYpIehDgUZ1sLlBcw5ClVVw0WK+
78cbAVyWCoA9G65NXpJ9yQHYvZRAIeu7ekL4M43/vbAxE/s2WaJt/SwpgNsDWNjT8/jkCqCKStSO
YaTg+kEruB9yD7Km9UzidzDpwcKEMsKD5+X5F961EO50srRf2RCvLwhYHfx7vU24xYxQLKHAFZQM
wM7k11jZUG73nuwUYj23x3WpE2NRN3mWQ4qiZWGd44kjhvrPi8wF4AXfb7e/kAtN1B8k8/JYYgMM
bWsAIe+3TiH7YN95rDOhfR7UaG1caGD4JCGaAIUVMXabaqTgD6/hRy4DcW1ZXAbu06oWNCc8jn0a
dmzeSDixVWvbxPWhR+363y2zmSdpU+PHc77N6Y86/dnon2V034nXxOGNZTnkqV1CYJ3/pM17Sdpg
rl9StsItWxoWI1vhfUPEdRTx8CJ2F8AX8qL1GK/sEksjY2QqVgDOnJDLyOg86KMHS7nbXvxds2El
VS2tSuOwgWAG59lVOAbAPjal7gZEG9g5rsTU9fdZZpu5irQgGdUTmJtl+6WmEDfOoCEFYXDgjrgL
xkvfrWxJlw3/v4uTmmA8u4Gjb0MaFvrOGLRwUXabNyAIgoHkGyr/hnbsyiddHzC40Px7rdaNrG2N
hBSyUhxhVCH2UQextx5ieLfzxPX1RE0AnkgzNdYJvgQSmZDfeU3kSgK6PhnUxN1VUxYnHic8HPCC
dfLLOt/i2W4CbqrOAp9Bwxm2bfcRAqhvRAXcp+aoY0ATiXn2IZic6h+q0BEIjIB7ZZ4iUMyEHMcx
mRP/+fbALXyfSd+2HU87UwbhmDY7On1xKCi0CJufed6/pmuW4wuTQ40cGLNZgofn1GHTSciR1dFj
Mxf+SqJaWlpGsPek50AajV5YWV3QlhwQNMhEsrWz8kJNm/pGrIvUbVJteTSEqljQwZa6sQ8VMJEa
ZiMzHgRi+sWHNjgpVxn1C8PlG/GvIJAcASwARVE4e/neTzn/hKZvMNaPtvpw21+2eC7kNxteVjh/
teylw2X39mL4c46+khBMvFlWjCmBtRjQ16TbJE3+wR3ocFW5DABlOsKmACZn3WlskkNfdP+MAhpN
ycDf7CQ+SYftIdq6c2ovvy9rmBA12vVWGdEabnqSQoecFl+hA3vyinIl/S0MtIlRG2DLMvZpwcIE
rgJR5x7jqX6/PZJLTRtLHojjjiWRx0O7AhZ4BPS7WqMJXN/dqAkq0xU84uocT88ZHpuVgLx888AA
+JpBi7z94/+UQq8tg8tXfTq0dDJ3K4ZUFyrqjhC6atMD5Ela8JQiH5W1NLpgnaxjg/cDYAkapzxa
oMN94bADPjqaj7AhwaNZSkmTbDLVTke3w7Pj0E76f/7M5Hb2fLnLKGRJC+HYH3OSdz+5Y0E6S5dd
/B3OBHiBG2Xyw40J+yqdPh+Drib6gfUR38cQrH+KHeivsgZOZVXO1RsAJNMIPT3o768MwtIMGnEP
QvpcTmrqwF+q35JZwnaC/nN7fBeIHlQYEd5RsFL7HtoYWVkPv6OCWvs4kuVxtL32V4wt4GmcMlZs
Jlkmz7p1AOdFvSl6nqdeH3TbJ2traSF5CmPDcQYKPyivxOpvYWMj3PQj7/grlEnWCtZLHRjZOYOt
NS0awUIFa7sYagsF8J2d9XJ7IBc2LxMi17EWAuBkgsZIYbmPQGdRAnjv5D+XA4PVGgQ04CnUQ/P9
vu6MU4wFVULlANQURhms/lAfPbWFQmLm43Mhkieq65XT8fUXEWpi5+KpgwxaW5EQyJiLFUXTQ745
Swmcf8D62ECMFdrctOk2XjlAqAQG7snaFrCQXUy9mqhRHJ4AkR0CpzRsmoocYVIiAQ4vf8GobeWh
eKkTYyAzVdaWThsnTKNvfQo0XfYVppFBS37dnqiFVWeiA+cUrkuZZ6NO7tEPaRG4WAAtYFdQLl7V
r1jq4/L3TznSggFQ1oJNF07J9CFjPZxnCBjDMXtVcGohA3lGFq6x3dawBgNC22VPGat+d+Owhotd
mAETRhExH0KdMtch1BR/5U2ZBFC+dDblRL5ru/p6exqWPsAIfhig4a3NS6ClS+IvEmaWwOqshOJS
hBjZ2elnS0cuwLF9Ee97CeMK7j0kE3zHJKoogLw5eP90+dpwLU22kbAhGBj9PxO4KcoHt5ieu4L+
hKry2klnYTpMFFZSZXbRxZUbRvHkw87P7uHwlJf+Tlz22QyCGd329pxcQuzK1m6KuhQZcJRNM/Ow
gOnHcSDRYxcnT3Dw2UkW8wBni7+4XtMkXPgs86nVg60XsRu7CD2YBLdvglqQ34Tj9ZitfM1SB0YQ
6hE4FsZw06+qKiBtfiiGd3845V69ctNf6MBUvMw5QL8Q5qjDeX4qykc6lS9Jz48OnNVuz8dCjJgQ
NpvbVWVnsg559I17zyXMfW83vDDRJnRtAhBZlLQk4VTqfTZZP5llzQEQMg9g+/xy5+ovbqU/b/e1
9BHGNOC5ira8T2jYw+gWeuUgE43t8Xbbfx4er6xYE5MFZeOKqESiSDeT+rUmo3h23VQA9ivGd53M
bOuDcPO/uKrgQMB9qO+ONWzf0uzi76y5lwQ2fDQhFuvFO50NsKIGMAlGvcQHcDlHzQ/qrUdLu9MJ
juniK2F6OnNo6UKxuBZAV9fWvo3b/jEvvRbGOpysTNDC4YVdBvPTBlLUEHVMIQEQColyMMIvrZ9d
uCL+ELzQT2MV4XUJ+r+H28O4kMGYedKzaJM78CwNKx9eprrbEqBncG27r3Uj0095GheuLLBV6fwr
q6OzjP3HNG9+3Ne8ke2rFH443Onw7IOCXlXl8NP7DqLcykQsDY2R3OETDoVQHk9hXF+cr6PyizvS
X17U3oVGdoRJMXI7uFYkIrYhxZbOf+m6Adwkgb9I4I+D9f32EF1dTejDCMEJL9CwdHfh84UD/fvU
ePOXVHr52SFxsonKhh+iOMlebnd2dcTQmbF0Ey9yk9qDzeHo/pNW/SZhuN2Jdnu79as5F60bS7Vp
hIfKY+GeIaySBwksag+ZFLDtsafvl3feO7sx1mwL8WuvHnrnDJ+4k5/1IWU2nvz6dAcez9ojzGVE
/pO88C3GypU+oUVZQP406cZzJ+Wznw8rl4SlYTKWrVcqaKpMFsC9kE6LrenoOxpCLtVbksB25PZU
LEy0ecHCGwOcDBpVhZ3tbKd2hi+vTn6SyP24r/3L5vUpByYUiopxxv1z0UNFMZfj9OBVotha8Cx4
vt3FwgyYd6nJ5VYCB1v7rCAVu4F016+aipUC0tLwXKbm088fIi9yGBi3Z+632Q4md9l7WV+4Q9h8
V37+UheXv3/qoo4zEPHr1j53MOE5D/DDgbtLivI5XDpuD9BC5jCvGeA5Wamf2zbwlLB3A5gBzt/d
bxwTd0U5f5MjXTmyL32JEdYQZXNh5NW0Ye3T52YE7jFzqzMEWNdwOdfRU+CKGRENF/gSFamJn3k6
AO0OzjSs7Li1ERAPL4DpbOZs00S4qOnskdhyDbR1CbgrMW5yQWaeSjbBLOKMSfkCjU3nHUa01rnq
3Pw9dnHh7Czb/8dLR/2t5c65hrzCypAurW0jBTSe78iUuHUIRT+4fP4Yx7XAX2jZvJAQK4N91EDr
EG5EMHaR6k1Ap+32grt6MgW51gh6m+FOK2TXhM3cPIwTjFbTkFfAQthQ559e3fL9dj8LC9s8Wk8s
teKaSQJl2hwmJP3wllzob7HX/A9+DF9yOq9Mw0ImNo/acxnNY8tldB6KeJPmUN/rAAZTm7q/S+UA
Q2ZkASqE30PIr4NqxjAiicns1OsIRaB5bldkbhbC0zxmo2GrgW8sPytLdU9O7qgghQP6tqjkr9vz
sdSDkQCSeILDMFhNZzhABzCJ3dkx5CGLNarRUvNG9IPHAItGv67CSlUbnsLHfvCCxreP9/16Yyf3
OEgfI5yGz7bod66woXIQTx+QSF17aVoKCyOYoT05Uy3xwp4p72sVFSdUuMeNLgj8iIDMA+0ULjL2
ymwvLFmTzwAmqyjgaGSHE/w/tjaBTWpG6nkD+5NdLO4SLXGEKSs/W4zkueAgfPrp+1BFDyk8aO+a
DnYJ+k/7YmXByFQ0LtC+SSOB9RxDWCjjtJjCcuR2Dwsp0JSXz+PSohUQZ+Fk9Sfm6gNMxfa3m15Y
qqaUPDxU65ZOyNtNy4ILXVkXAZ1/3258Ie2Z90pwDZrSruw6jAan3xZZ9D1x0xc3BRAdvhdJkIp8
5da3NEJGQNvZWEps5DbEofITjYZ96nWvtz9iaYSMYIbRelo3aWuH9kA2roejMyyg7MPtxpdGyAjl
si3jLL28ekDNNHDivwTsYxPxKjjsEps1R5alToxw9ryKEA0g9Vkk9LmHsIZu8UDXwxlwi4LPDq48
a28sC7FsluwbnQkHcITorLwBLGUoEeRM2JsZWqcBVeOKStBSL8au3c+13TgzAo5OR+X4gQYBGUzy
IFdqd3talnq4jOSnkKa4RRYMRlNniwGkFsPDYcta8MgSpdqDPyXqvkxuwhF6v+hbwRr/3PniL5bX
76VlPXrSWUmtC1FhVlg9u2mqqmd1ePENqyo8/bKV68ZSy5e/fxogCKF6vOosiM2MsP+O6eBsaytu
Vlq/jmCEOq4RztbQNsPojWVYVtVzBXfhPaSQBUjn+XjK6hzu0NjC6+fURYkdsgQRrKdify+7HHBr
qKaqQLntdFDVeOd6MHJAngEgIygIHXk6xTDShGHyoxZ5d3Zk74Y5hOdWMv3SwjPyQeokRKK4gEpA
bOdb6AkOv0rP6Xa4vCePXNFiJe8s7PAmD8yBtylUqgp8kHvxCe0CNRYbcvFfs0K/yJ5K3FFuh9LC
SjG5YHR2UNFXuR32+i8rJUcY8N43KabGsN9lscZiwMHBtre6aQFQgZF59CrltL392xdSv0kHwxEo
c6mNSqU7pgDWNLBk3MFfwQXrPR5XUsDCTJhgXVEU8UCh4B1W7HdbwKkdgqF1XAedC5VD+wEP1isf
c10f2hEmgJUqt47dHjACSCbKgxXL7BBDKOQfqIXvYokXH0hYcLxeVRXszWjyHHExHHIixmME675j
OpN+5acsrYnL6v+UPeBZJ3WSRTAd9xTQLhFAr9XKolgYTtOvwYHOhtVDHi6MbPY9HsmP3vaAxijr
7+BHbd0e3nP5ZN938jP9GzLYskFjLHPPKZ3OUBMsN1YXPcbW2qvl0scYaXBMoJzGZQ5vPx0DX6Vq
SIhU3a+WJd0hG4C9muDe9nZ7rS9kHpMSR0k5toPOyLmVJw5zPhn99tQISA3f3O5gKZiM1CZhgG53
l+JOlXpf/aH5SAYNXGm/Zk211L5xyhEoY3sCkIuzV8JMGV6tyfCBl9n7ptqkwzkjaxsY+QF7U5ET
TIdRWYM/SwB932F/e3wWgsJku8k4UvAEaOYzF/MTVemxSMuVoV+YW2IcZ+rO6Xv4f0IxK2UhLNSC
IalOVfI9cldGZ6mDy98/BXQiOpQZWdeGI22OZZTyADLlp1gnP/q8WYNBLRxjTbIbzEohaRTPbRh5
bJM53xyYKxIgLaPk5yyKlaFamoXL3z99CUvnHG+sWKVK2R8T6V9xdV851fho4kpx7o/m5aemPbfL
E9yh7bOoqm+ytF6gfsU22FOeEAWbpHIASqXQ45+zNazAdXSXI0wV+Sibeh8GueQM/+4TlHnPERiJ
FvxjOX2VgEGVqf1lysjergfUEICGi3/ft5iNYIfPLAzIMxfD2JFn6FS8uKvP1Nc1QvFRRqBD7Cat
xOzXIY0qeRBk6M5lm41q19Vj/pDVWuXBnPuqCmgrsmaTwRf61Rnn6QT/IZjJe3A/x8WEOs7eZXSO
4SdR0gJSfvUvXQ9djmtpwmAkz5zmOa+rrg50OsTqUPVzugGxb1qBHi0krP+Q6zrNHJh/2menLF7G
qAOuNOuDPlNr4MmlDi7byqcFB+dNvxg1tg8b/gFhN+fNN8jUlA/w5U2eb8/zQuCbBDvCEytvPcxz
grERzRPR9WakX2e1EjN/BuNK0Jg0u2FENoHK53iGaVy0tSrp7iU0v55RvZfHpoBXql1E/UdmWZ4C
7rRSUGDzmz2Da9NxVMzf9t6UvzgNnt1tuwND0s1mXBhhm5CUqjjyi4n3fUNxmYVPo018Bmh8Orbh
IP0nLKkX20c5YvLPM4int7tYSE4mbw9yryNgIPCDmOP2CIkweCoj7d6X+f4cGz/9fmGhBicgYnau
PfKImtaT5a65WSz9buP65EOyISct3gfzZKz/gvRE9eR5NV8TVV5ahEayURKvGukEDn8WR+c0Kw+u
A19YPR5nSMbeHvmFvecPJP/T4JBR5cIhrQby4zH39i4Bvqd7IaUPEbU1mMxCuJoUsHZ2gBaEh10I
rhwEvCLaPhNbkV0OBOl9lzHb2KdbWteiGpIuJCTqj20O7+2hrf2VItzSBxgR4CY2F57FAbLrDqUX
b1zIuLhyTa57qXVjZx6TLJldcvHYFBN0S9IpareyT8mTHPJqpbK0MM2mFHuTujRjre5wLvXSvTWV
0wdznaoPauFDOCbNYBNUe/1QrcTc9f48E19QVjGs6tK8C8uuf8s88lep/HqTzv5fkdM+wwfl1+3l
6172xv+mUc9UOJ07YGwmbpFzocVLlfEaOvNVtmFupGEgH43bvo3iravqpxiVr4B77JA60wEbVB1k
PdsSeG4fJpnMe+yg7UY23r6ygXBuWjeArDaMyOGotM+a1DpCeqDcDHPcb4FiqHdJT1BVvkjNtqly
v1k1mNis99eejK+nFtssjXt1bLtAmOBSm8Kgj5YPrVOsoBqWmjaW8+jBwsPGVQuvxPwoW7bnnbPy
ULvUtLGWk1Iq37JrGLiSt6h8Sf2Veb4eI7YJraJwG9ESjIxQqwmKoWD6urHzzJOVY/71+6jNjDxO
WFm2la7Lc0mT5KXLLS+cJm/Ywm9abADFAP57KMszd+c1Xsx1yJ1jm66rCcf0xk0RgxTWJirIq2l+
y/JB7OdJjNuZljlqPgUIXQ6IzXtHRckTiLQMcv6thDIKzSR41hE9uDV1i83cav3DcmSMvOfO9EjE
NMsNK2PpBJ2oUHVXk7ZPWePjvs1b1UID3O+3pVVaOEZ6w7vlgxj+wmEm83E7MhdmzPRG9RVsOBms
y85e3IqvNYRNdwLv3ZB1F+XKYrsugO3Y5s5uw26sKdM0Af16mKsNY/kQ8Mj6pssyLU88ZpUPo/jM
CjXkIzYSBeMtzs363JFYlRswkroY/9/Jt8Cv+B9OndNA+FX/PcYATZvBa+ufflXF8yYlafZcdo71
w53iodvVA9dPQkIs/PZgXd/obWac/NPO420D2sMJj832gUJn8c0rYl8Ftc29EKaTIKfe1ZP5kKHs
2GEt3FpPpSii34PF4OjTDqKyAh/i6iqIC+6sBNVCLjBpjwNsXOa2EersJ8BdB44euo0C9OgewKJj
m08M3aAalM3b+Gy39CcE3B67qYiDTMEi8PZQLf1+I03GnlMXBWqIJyCQnpqIfGFd9Xa76YX5NnXh
Ij2Ab9QL7zQ4FjwGvLBX85PC432gC+fv230s/Xz338d2W6QIcWJ5+Pnda1OLbSHzlZld+vlGuszb
iVdKJOIk4vlsy1dSq51bww1creFXrpcUbGqcfHXaR7mXa+9EmP8Iv9U9U+5ZVc8SGkB1pbfAwf4u
5V3ijVhKRviViLwGmpTeKWXjC3Gqb+BBHjLqSugJr8FLFsbsP88FFqupJTx6UnU0Hzm8jOupo5vc
c+dt0rYrM7OQdc2ngwEFnh4Yg+g08PRVdPyBOeNLI/jKul1q/nLc+3RbcBr87sgv/JPg0v8+8rJ9
qbPIhxiULfXv2+t2qY/LAH7qY+SQE1YjF6fYKTRcribVQyG6twKioA69EttLnVz+/qkTzQffU20m
Tk5tfXHm4VtilSdZ65XYW2r+EpOfmocRKsoyMKg+5SP72kr7HcIxh7oYdvcNkRHaadM1KNv67ikW
NiTewCuJ8J9ie1/rRnQPfGg73Qn31IgDTH1AjZs2oJ2u/PbrNwPblJCrm3FwKqSmE2S2Iz0/+tEP
LvoD0HwbIva3v2Ap1ox4jtqotRpE1inKot9VAbll7YFkzb1MbVgxrJRwLpP536sHvDD/PclCxEVS
JdQ94WL17rAKcmtiTWh1YZTMmnk7lwmcZIl7ckp/O7TVX7QDsLJQ7HniYxVUsn69PVRLHRkRDVNE
eFAT6Z2ahlTf52zqTlFV9tvMb+Jf5ex00JDN1EphcKkzI7StqdNSV7k4dda8GdWRU/8hbY75PEP+
//32By0gVG2zmq4khyw5c/iJjF5K8P6r+a+55FEH4Ekc73gKJ1G70s6+mfsOD2fO+ApzhkgF0rPo
Wj1iYf8yZa7ilgB8O3UJSFP9EUYG+ynnW+0koc3ng8p97C5h5K45wSz1ZqSbkQ1R4bMpCcnMT7Yl
AmeOAirKB4TtI7Tv962+0NjX7BMXujOV84hoSwhOj/w0Mi5A66HIbZVvn2Lqw7MA0R1YXQ41gQwK
gqdOVv3KKfm6ToRjmw8NdWcpUVuWe8pUZMHEZGpQ7WwJePCQ1Yi/+NBFDrw0EtAmtqNp28mZfRAZ
rQmgLKA3bPPVQbqiVUyk9DRV4/xGEufC6u4nl27x1pB6Z5qnGgIHvTucAZMcokDUaVVt7dohgaNU
tpN06rcuOJXfp7bwVzIqW8hDxlmpbCVvMydhJ9efvkZjCfK36sfAUuPz7ZBaSnRGOtWDCyUhZdET
ZOGaHFDrnu7JABDUymb8x2b3SiY1HwyASJJT4nTeScho285yVyX6pWqbzQhmNti+G+hGBfNcHrI2
32rgKHFs3gGeo7t3Vc0b235j8L6i7ItymiB38yMMH1YGd2ErMXX8aqhosjqecDRUsDG35KbmxyKb
vhTi212Daz40TElTDJNmHq5+8XuJu2zmxCvztgCMgEvYv3co3tu2JE0sTmqeCpw1qQclizHqT1q3
cjsRcJemmfpbqx3ZDoZxMMS1cnaQuhyCYm66LRXc/X37O6//GEJNFXaYkelEVzEDXkalB4kDN+zK
pi7/BsGF6aGa2vxtLnK5jTtpbV2viLaT5SabcSDWvqqyZKOrPv24/WP+PKn9Z8URal7A8n7s+4vK
R9hbYngeplweEyvGzoAnsvigfD95rzxvwPOew2Wzb2LasW0GVwWAZSxsydgxs32cCWVvEtVh4ObY
HU4WlGt/d34Ly7UKNe8fPk2QEblVyDU36auhSKgJzPDJCM84SICEcIt8KnIeErUGV76aRtC0caiM
fL9lHMoiMNKaAJaRm1FgFawdWRd+ODcPlYMo4cQMnjrpFWTqZ11s+iRegQNeT8xYW0YKlLLrBjcZ
XIAYyguyaA66ZAYnJfs7jdLqVPbtz7nN3oo+VXsdNbuWz8e+VDg8z3kcOP5dpyn8DiNT1uDQTUWf
ADlXlb+Y7MLOy7ek03xTl/XPmsGy5/YCvpqWCDWx5fCsaZwW1wA4y7ExyAsUA4vkzZqgqQdR2K+3
O1mYMxNaTqCrbScd3qMjkgNEF+GmpLKVB4mlto1zZzyqNM7c1Am73IUrYaSfu3FVXGepcSPvESKH
LiI1Nmcx7BsepnV6uD0kV0+wGPdL8Hy62MlM0jQTnRtOMCH7CpDz+NXK6vpkucTdNlU+PFU85StZ
aiEiTbCoiDXydJpD1xCClfQiIjw8jXrlS64e4pABjYAsBxtlwAufHKSaoO9fvBnW3ikKoNCeh8Vi
AK53YBf+ynpd+hQjQG1Z+gmCnoZI8xDkd3FqdMCbXbnELESDWb/JVFx5voUjdZeWgYaXA2TWAQMv
gqJfs0NbmHizfNMVg6WVFblhAwUl0XdHH36olqWBKy0Dp19j4i91YyAbxnTwGmir1+HopJtq0hu4
45z6PnQn2HxWf99exAvDZaI/Cy/qBSrikCTsKOwoYsie9Xs2g/ZdrtVXUDy7dirFdmKsLwKVN8+z
sN1Xas4341yIr12p4BoGOEq0yfooek4VBHsD2tvl30UlnNfYj/mjslvM38DKzUhmsuk0/mng15Z/
AHUH1qp48cuPtHNg9+b2JNuOow1VvUn7KDMn+kFYJNnRPPeOVcT6h8orvG3BSXuU6QzXVMmUeHNs
WeyssvcClXdyF6kO7nJwFtFdDy3iCdeZQsJOq6KQWiv8CMRG4dNTn3T8a+bX5cZLyuJLCfDGEw7a
0YOGNxfmChJ/AQcc46jgIgKNRLzNNLy76Idpf972YwU15Wqe3saqiw8egV+ay7Q+NWD/nSJonfhB
MkTqKW19seGu72/6WZJ5Q22X/oog9xw2uEM+8nmcPgrX+Uo7+TOCBaxuCco0I3zu8J7UP6e83SZx
v48tHKWHQcrzZCu5ZV6NmPZF5J/ckVUPBV5A2m0PxW1Ihc8ueLV1u6GeG23nsVIvE/QSzjZiVW0L
Fy+bm8T2up+okTkbJy7EW078aN7mQ+wc7RoeOphSQjHsot7C2Epth47aAfXT/LmLId20s3BjTLdJ
kxZ3qmqZZaS0dLrBVqLHAY5NRzJYUfh/nF3Hjtw6Fv0iAqISqa1CxU5u291ubwRHUVSisqivn1Nv
1SOXSkBjFgP0M6QSw+XlvSc4U9zsXNORHzr+rGVrmdJC1wYu1qdUjgFc1mKflpsbZCUg/tfPfneQ
kFaWtlSsAr0fmkBjl7SBY6dtAA+QD/XgTXtZn7KGEqL8Kq7OjQ3n4Knpg84gPwjmCuYiw50YydZu
X/mYZbVKMV5DQdgCvb+vp6MgWnxqtbAgtczn1w/FrCXS07PhZ+4BTHCuTaJhNekWe29K27e5kBpE
Y5ZtxMbr5SOM2iJ3gGN9m6sWoHGXWepO5nWzrxolfoOZWNkgJUKnkbZVP0aszO1PlWFkf2Vry1fw
dZgZ3f7Yldj5TwmrRDUnaV11TsZGBlWtdwVO6eD2w1ei/7J6w13i6Syl6jzLBgIvxe+2R6KPCB6y
Cf6Ht19yfUVYS02GEuUfZgmXnyb+ezANvyte4LSxkUysDc/ipuJqlPPIbCns+PTUu/LAxYf4UZj9
xalVThNr2zlX57LvP7kyhiPpMGq/hhx+rtGruz06a1OwyIbYZLlpr211nlQZyKz9ZrbVrmLxg1U5
u9uvuD4B9hJLmo60o5aTKgAxeug+5ikMtYhxXwJPulH+/m/rXblDL6s2jQmpNK+YzfNkyAbQ66wT
L/lEQfOggqkjoP3lU2zNWTT18XAYmpEd8PrkcxJbYyAqVD85aNh7L/Pmz46pm8DxGvqI0mkbemiO
7m1Fky881nbtWy0xTlY7Up+gknFMOg5iEodAZulD4g4eJ8Agb4FLV1KwZdGEoUNuFBAnOgvz98Bd
fxgFyPmGn5Ifbb91HV5ZAcv6sInzNwF6GDwBB9jNqZySR+FR+dswJucvLZ0t5NrKVlmWr6aJN5iW
vj3DrferrodPSTkfbq+w/wo31+b/MoDvjrCy9wZSGICt40h5oFYnQJWbTfEgTBMCFzKb9aExMmsI
IQnQvXY57b8rpNB3uUWKvTRLeqfavvkKn1rnOHWiuK+xrSNeufkZjMHaCMB5aQ6KCxqg42X/cOZa
7LhK6K+677qzAcm2fSzLGv4dbtdHqNRBnDj26KEdyLyDmhHfp9WkD3YNorptC/XEDSFfjLwzgday
010sOg4oZaKiMnOHF2AvqmMiJub3BXVC1ojxMOmsPNpdPd5nyTQfEl7bQWvl6UlefHagS22pYCIj
Tw6ciyFyWFNov2p7nQetMNVDkXN7DjOAeeTRc0X5W3APhgWdAMCSpsYLnXD7vT0fVzFMJtjx/z8d
jSo16wvBT422UBWv/MwN7WYMaeLtVZ34bXm8/aLrocVaCtZ0gL3EdqbYae7m5mSnMQ25289hxc0t
vY+1VyyuQaaeL9WZUZ9lfPLUsZzv0y1q09qOuPz93artAD9t5rgG4BW20z53evp1AJJ6I025Pgn2
f8XPd0+Hyb22QAMyzk2dgfdvfAJw6JRn4/PI0n2X87/a0BvTsBZCFkdVXdRSdIi3SBLAyW/FEUxH
P+evudD72xO99obFMdWImcPcFLLcZOwfjGlA6R+95gQe0z5IN1tcjutzbS8RyHQoYLudmMO5Qw/O
7N+yNEpQ8v/QJyxJiEalPJYUKj7NzRdld34FpZVS3xPv7+3nr6ymJfWwI8QcSwGes6hlEVbDHNBW
bFH+/qvmXYmwS+D0ZFXSLJr0UqWegc2qDJgtDWbioLaRstB07ORpGrs0KFXm3Y2igu+4qoQKZGo5
kYJuzS6Pa2gSxC+OD7dt0+791OTw780gcQQykxfUAqo2SgPo5Ds8FZEJIeHA4XF6yofGiQAfUp/g
iD3e2w5X0RRHQzwNDxDLcHaqctMSN2jo4SSWHkIXPbjP1KxcP9W17AI9pvFXrxrYW0ss+mTSpr/L
xnw6egDfvk4yTu4kqezRr2T2tyEDCU1etf409W2KgNzW92p0Jpgk2GJG8kWmY2kZ2gk7pTJ0cbW5
7yQnj1CGUUZ0ezav04pMewkjhweEKUoTTrGoC+wKlYVVV0RQAIM42t4gzlcWvxI3vbP7LxAEi3BD
2IjdKznH0mcEuTJL0qqJT6NR/2VzHcpegcpUPkvYHNpsq4G5sqGXhiMaQGV3MrHV4gmm7LkVZhR6
tO5XEAvD2yO49oZFat6WsyH1RSfh4rA+89k3+I8WvvSCbQCc1kZqEfVIQnHRbAxy4rEBqWEYP9Ly
kPITLb+QdPpg1FgEPpuozhorfEXtfR5RQoyFhifgXddteV6vhY3FWd0Lp3C8RKP4yiv4XHTOUyy8
LT7B1SECHXoxRA6rOBk1Tk7bkYF2TBrGeXMPs8Y/ABiaQVHyr7cn+/p2wZsW41SBtu9Zczucm2me
4DAj0Pmv5pe0qp+T3jUj157f1Oh9KgrrBGXR+xioKD8TWwjHqycHXr8YxVh5eekioTo1SoYdJ9Aa
baNx2pKcujpJlC2dW0qznBoztSBFnuTPVtp8T7v6Y8I3bGnW4rgeKqYUEPyGA8Kt1T0d4XVye1qu
7kH87su6eJeDjG5jMFLmHZTv4TXSfu7Rg1RaX7LkjV1+tXeAN1ze/O4NALd4hqNB6GmnnEWznF8K
w3pshNoJyo4pyp9JVTwVpNzo76190WUBvHufI2qeVrbs4GoKjcSBzuwLp565GzV5o0bbbYT/6+uJ
eZeF8O41g9v3MyWkPfd5OJoyAE4n2PYcWVtOi9BYNQNJezcB64J/S4FGmrc0v9YevNjv8GyAUwVD
s9GsrTcFpfRaqf3tpXQ9lEDq7v9HROkyTpyhuRCf5M4xnYdeeY8UtXK/MDwZxv24dZnEA//JdLCi
Fls5UVXKtKmwopoLtaoM3eR36jzPdf6xFyxdV0hLuOqV6M+4W0BwAOTZ+CkBJrBvPt8eqhUyAls6
qSDRTyarj2FmcRh2Ooj3RiSCIrIOkwrH+/nshnNwN96ph+4hP5SfzNfsMdnlGyfWCjSK/eOzkoiu
srzL23u/yv0k87MxIlNU7VzuO8pnv29/5soeWersEg3hPA4w3dn2Huoe0wTVx/D2o1fW8VJet0uY
O9studAE87CCjrnssg8++vLKdzsbjgRWPUj86pkYL7Ec/Io1G7HpOvaAsmWp03PgMmK6eXzUlNqH
UQo0TvPRtCvfc83iXHCrv69SoOVGbcOnhjTzzkQw+DbGQzxEULobXlOjn79C4NDc+NyVbbssBYyl
opwkajih66L9zvTCEvyCGtYjbQXtNlk48UaAWKExs2UxIKv7GNKmTXyUsDmJxnS2ny04k15u1nwC
sbAsPiWgKH0rnfwvRAJ27ewGvZ6fLDBPIfHedvB3HobXYTLLL8BjwuwyZYYISBHHfuzS+OvttbVy
Yi21NmmdDtwy0u4Eu8jxoSuleGpGYQcsy8VdwYbkaNlZi2JfPcmn2La3eAwrM7HU4RzBUEpbbfSn
DqjXrK545NX6KK0cIjTwxZx5v8HpW3kRW1ZMJjkzFuNFuQNRybmBZd4DS03frd8s0WxEmbWXXP7+
bhvpXDCL5lZzGtG4iocKdCHNc9+eymiyHFT5bfEhpDBbuovUsVeIeara00BtI0p58SaK9rnzuufG
zHgIYGe38U2mdf3oYZdI9+6j6OChFh2L5BzHzqCDZK5bEY2O1H+r2gS6ULuy+T3Dub2LrERlT0Vv
0x96Euyxk7TGaeWOQviuIQcIDI6OffBcRz+qpBiO8yCHxJ8T4oUclcNfvcvmX9xMsjKUGU5Ua5is
DS7cSvBcCrHC4MDtUTBvTjzNqoc2186ukWSrXL12vCzlV/uEFzXNWH3qtMStn/O5f8gmGAAA8x6j
nw+OInmS2QC8ppo9tmutLgWepC6bv7c38EoKuFRQbolTatAf+9MM3+bPVZHi8soa8sCb0TgUfd9t
JM8r5xu7rJJ3qyGViooBROiTCS+HL+6g6gCcXtuHqhPZiEUrU7WUUAaeFdVSw2xOUM4VP5wiywJI
VsXfbg/U2tMXKRtaSwWWQo1AMDvurjNL78FKansjzKxNwyJPKxqde1kc1ycBd/N9Dd7659EY2Umb
Uwbk7TS8fegrlmK8RQMVWKRs9clKSBMYnjcGbWI+fezhl6F7N8fMQf0qH7rkzEcWFHEWMvLn9pPp
fwDSK4nsEuWaKGGO0sGzz9+J/83xHb/wf7OQB2Pg+Pf34ffU39X+/bfzObzf4X+Px+PuuLsPw/v7
L4/PRZD4x2f/137/Z//85/hn8P900d3T/nj098cvR//45477QbTP/ejhdIqi6OvhgP97O30ODqf9
wynAc8LwfAjwb6LgFBzO9+Fu9y38dPlnQRB+C8ND+O0g/K1W7GpgWFw+GEtGaxoRdyAZ1n1PHc/+
FKsRmqjcSnHQl+4jTRWPCMupX8qiDhrDqr/cHu2Vpb5EfYKKGwuYnoK7MrK9CwRFptONJbKW1S2R
nHqcHdFKlx012icgJ8GWkhyM4WfmonI61webPI/p8FTjmoiXmyz9Cgp/RN0tg/eVOLQEeFrlbKPx
3DVA4Rj2cSKaflOUFL+IiLNfHxq+JbzTwH2rmDoG5Hmb+pX54mRbQZRdgs2VXbBUDiZGmtRmY6M7
BO+dA1fZ98yDzgWQU5aWviEp/dNPtkjgaZhVYTYo40tv6/xLFafu3wnA6z0cKGkZpGiOG5DcimUA
MA4NJ2eO0iYLkS2Oh3GyrU8K1eO72iDNj2aYMygNzdWc+sRphAnz+sEeA7s38YmeBLfWa8f9PBeo
eTJAhPO0RdlbTGMKY/AZPY0ZpUQYjEHRHgsq3lcF8f541Qy0mrTRBHZLCnykSjqS+wJYJgCugI3l
oEPuQQHxtN/zPgYVH7jgFjcAAaFyZo9o8UJlN0rNHv9Cohv/aIKfFhJtzZFbJO4DdLKGLxBmssK4
6WLcqIomAA4g/9YMY/notu4Q2BMXEXAJ7egPxICteSxRobA6C+i3xgpk2zV3LmFbYrcr+2oJDZXe
kNOWGs2pTSDj5HtGbkdzmWUfI1azpbRFmk7CFEo2Jwld6adYJlmQlvWWstLKEbWE6IK9aIgREwg9
6eeJP88zgODkZEu9kTCuVD3ZUvzZkS2VfFBoWnv1Qz+SPUvyY1t5UM/zAqiMBKRqwqKynpLGgk17
BlePIt4oY6xMzVIHI4GEnu3mKLKhMgNEx2ObvNwOBiup/VIBQxt0hI26ak6ZIu1egkp0qKRbPzLW
mQ+gFeenDoZ20e2XrU3RIkcpLIhqdVVWnJSZNzDPkt19Ntre2TayDnplQ/MxnVO2LFCLxrKcVgw1
LGKNPxWkzjrqZD408Teyxesf4i7v/myaRCJRzIUnjBtVhWWFbp4+0IY9uF2tdh8brUXOZRmCTbg4
sCNs7esBRAbmt/1D9fP2068D3ihbKkJMaTZUgH9mJ8frDduPwSweD7QWEMOY4c3aBE3XweYLvOyO
+mroHcuX0BmpfbPrbSBls02hy5U1uJQMSboL06x1c4AreLUjSZn+nPrBooHlTk2UzENxBiF1CwC/
csIu5SmcmavOY4gTRslPbqfuDGF9IszZuJBd93nGuF7WzLssc9CZMZcKpLapYhoHgqlGKPKJqXlF
zjTdOUlqHi3X7J5pMTWpj1a7eU4KWx89wKIzmBLEY1iUEwntilgvkw1TiqQsko2fd33lsn8UtC8n
rShtdfJATT/McUxPQgzzvZqt1vTn1os3YGJrk3qJZO+GIZly8DxcJz9NqQn/Ufj51CcyZcXRdVkW
UoE0UY16S4t1JT4uKROTMRROmrvNqdQZ5H1p1e57VrGN6Hu1imSa/3D1cl07WJ/9GT4Mrm9N3vDo
JXKOZoC0w1TZe6H6JjITFNzA0H+5vUGvfhJeulhHtVW75sgBFhwV/d4WyW+a2uHtR1/dAnj05e/v
5gaPreDQYpggZVU/DRNkFvCniie319X+9hvWfvzl7+/eAKYBU3kqzLPwytHvCXtE3vPl9rOvriz8
+sVVvaQzbQzNKdR9hsC1ZThmbQJyCZwv0QN7xH/ZuAysDdPijpPQ2koKvAykDJqGrutlfu4WI6Dw
rdqYibVxWpyIHXr+nLpkPHdO+pXpeNfE0weHaXF8eDrFyU3n6WyXv+ephuPMGydV0Lf3CUgWt6di
ZYSWMBvVgVlXegY9M8vpgARRbTC0RQ3y98e6mqa5RNowAu60p/AKQVyGK8Ugq9CK8+oAkVF98iCU
utWbXfuYy3p7t2ZbA0puhBf2uZhi9jKyPtlDsvDiPOQkr7fH6/q1GV+z2NTwbFHQW63oOR2N5Ai3
qi4ohD28Zkmm97UH3SoDzedj1tjJccpEEcykLTZqK1dDP9692PUwQUcfUsH+HUSVv5kznOfWgTw7
Fc9pRT8S9fGOyzp/N4aSpqY2m5SePaT/+6aKdQS6oghxp6XRwETzig6F+LMxmpeN+M91E29bRILE
8JKq9mrwv/jofEYhQp1mqpNnTtP25ID8/BXKNW/aa6ByPWgDMLmeFYafZx77lIsKJJjbP2Rt5SwC
Bc+zhMiZ12eHDKFxMZ0RwHePG5tsJd4tk9ms64qmpgM959ZfQnpIEWbIwWq/d39Y8RYAfuWIW2Iq
ctkZGSjGE+ze5ZNXZ+QI4EZgms7eAcMHdbm9nQ5vUxFviRFeHzN4JixWitvqGubr9MwRlSJZ8hg5
Ql34suq3eiNrr1j0Roqx4IXnDPOZw1al/DTET3Py+faMX58TUDz+/9fPZe+wWZHpPPRuxLJxNzUt
CL/Vj9Yto9oZtswmru9ZukRcUGfidt6nxrktTynk2XU77Q1dho3eKBuvjdHl7+82rGuYGmsX/qmd
IJ+NWIQFyd/afCsv++9Q/neL0iW2Isk6qF/Nszr3Qwps9dzrg1UwF5eLWANMkCvohRfZ2RpM646w
HnoluevIBydzKfwvYEG9B9x1q4q99rGLeDHq0Z6FS7Mzy7rGb906gseYCTOFLX23tWWxCAS9NguX
uEZ2lvkQgLMfVTZEWEz3pS/Kh5G07UbAuZ420CU+o7PKPCmdGAFnKEFZsfKwk5MIb6/ttTW3SBzG
oa+4Q+IZGjZJ0JYE9MX2AMogaoVbwjUrv3+JyvCyxGMQUYG/ap6FPcf5AF3G279+ZQqWcIzatAlD
LwwGVH0fORIymMNXnLrR1HI/3TKHXFlIS9SFXRO3rCw9nxtdB6O1iyEpYG2t0uuFJhNcmP/fk6lV
ZxA2bpsznZPm1HNwqANRNySBHFfqAemh051ndSwiqZPvUTGGTTevOn/sGAF71PnYNQF3m///HVZf
O8lQCgOmRS+eBX9Puifuls7t2hAuMgXDJlLICtlIexFrorlP7S9OtwHOWFsEi40ORYEZXKESv3zM
5shRLljFfcH9vHSaoJ88hj7WRD+2X5bae6MeKlsVQp+h8pf7UFix/LLpK0hRGIEr9ZZbxMqeWbK3
vTQFjqCDiSREwA0/7m10czx7I29bm41F4GogUtSlo4OjkmbI09461/Hz5mOZNV2Wy1oO2o3NkVzI
HuBQr9z3vQmJvC1YIrtEpiuHzBL30iWZ0k7ngrrFHPJnbPo4D+wGuWgAaRcd1faovzsTxGQAQ6Hp
Dh7O3A5NOxHn1prgEWX1zQUt1QlnN9K4h72sKyMKuXgrYMDQPtrFrP1Jwjk54KOyQwIRzySQTtve
Q/pDhJ3Iq6MJ+7mDTjN3VzCb3om61z96c46/xe04f2YlNAy5B+GoARZPfkJG7yAk5I3gBzGFHWsh
pkjtSr+WoJf6GgN2mEF+D+ZC1WkAu/H+ywCLiMgde/NnVXL5uVVKnTSp1DNYUXNQT7M4WlY/wS7c
GuBVkjssGsqZ3w9MzqHpeuQA10uH+W6Re6dKMRb0UG/0c5L3u3FCeTtyRGahskfKfVsJBJQmFgru
NpP1Y856loR5DoFOqOQMwwaqe+WoWaKI+FQCAai7+Tz3Te+DP+MGaQZm1JxJGQx1++n2mbCydZYg
mUbTBjp9znSGk6wI6kFoH5LLG4oma9+wSAUL0dcoZOPh2YCwXHzX4jdLoBPhbLET1n794jjABU1W
NUWm3E/mV55M6kmhMryx8dcefvn7u/xPwEOZjjM0IbpsMKIcyJdAEfDmPjbwizgsK9pmNooPZydu
HH82jG9imo63n30dwIOi3CJmQUg7UXnbQKYmZSjNpE0/P4G8P79QO0boctRMgrIu+CcIXTuRa7TT
weCwyGhsD63CumHQzBk6pH+ptO6Bbbb8amzKR2gU8mCgOT9AjMK852DBHCEzYoap59itn8Yl2Rj7
lVPqvy7qu7HXLroHTe7257yFP9pQua8J7e7mPIelC1PowoktFZOV8P5f4Hz3JuY4jjFZZn82PHyw
9LqHzOM6QM0svD0ZKy9Y4uxE742knrSGY8UA3iMF07dpYvdNgo68hW9feYe12AecKDPBFR+crh4O
Nt1Lbnh7oOo2lura0y9/fzdEleKpnBA9Tw0O1pSKQ23czckWxnXl6Us8IPHQXCEjZLCI+mJbbdhM
P/J+q6+6EoGWGLCkgiQfmsbxSZhdMDmJnzgPA8rTJtnKPdZ+/mLoPTMurZl32bmHUiZEtyDG9zwa
xUZ5fe3pi6FnswFYjh75ycbJ6DR3JH8wxl8fW5iL+FaNFi0qjiqoo4Zd7lga9KqqC0x7qzewNviL
EJdR1yqhIEfPUDeCE1N2SuDeaRTy4HyoYYU+wCLOARcQQxtRI/6P36n6RuxL12rjIrk29Iv6M+1S
wRBIUVti1UFB7MRnOWTuR2Prpro2PIvLZKdrAagotc8MXnb7tKPtDnfjEsp6CvI+4DNuZPwrH7LE
zYx6ksh4Rnoeyjdm/HIMKBxupa8rcXoJmKmRVaGaiSylSMV3h5nnyjaPdY0aIgozotpi6a19wiKR
cHElrlM1z2f48ohj7dHkFZbG5b4oyk5uzPel9HUlU15CMOaRVq5qcTHC2XKY5v6MIhbafv1FYQFi
SVBZ/Q63yY05Wal20yUkozUpVHk5RRueUPZd4xj2oIrYSxFRr60fIePfBxTuPQG4xZENhGHk9NPW
6bqy8paSiaaRQksLKfYJuu/xs3uRrK8ZDAK7tjYOXI7xxtF3iSRXhnSpqzLkTNUGfCjOBGVgv7bo
zwyyoR+KXv+lPu8OJSxoqFAa4MHaFd13ZQqck8gu+Y69sR5WBmmJaak1OssWwc2smu+z7jd8in1D
P2RxszE4a89fREcL6kmxJW16rofhuzsUxYMqchI508R/pcrbOgHXts4iRMIipB7TCfWwvMmzKC81
AOSqds42MbcK5GuvWETKqq0hV0rwJVX1G4ZtYW0mvkjT6PZEr43TIkyWaVfCC7JA9lGnp3hgr9WY
7JLSSqNCgxxx+yUrn7BEfODuVpZ2w9mpYbE/0se+vRBittKzlX2wRHHMuSNc3L+9k2yGHbXFJ0+X
P2//8OvNCbqEbPRpawuYofBTJew6oMD4HaqiBOiKeZ+SsWXfcyGKIy2k2mUVVBlvv3VtuC5z9W7z
ETLRrho775SP8sGUNdh786PR1l9vP35lypdIjD5pAXTRdD73LtxpxCdSqLdRyszf8kde+/2XiXr3
+8umzcvKpeYZFXUdTh0ArSakQwOnm8nHtvdSO7bM69TLk5qfWjUcXVL97WseaObtjRLAydvjtPIZ
/wgKGsSYZkjUncvCofsibo0gzac2TIpka2+vTMVSVM5j0ywNU8Snqoa2iy6gMy19gcphp7e0rldy
iKXuW1Ur3VOgFk4ltSMyG6Hh3sXz53yo0JT88qGRWgq/6bxVaW/iHd7cRUVpHMskf4I/2sZxvvIJ
S7U3nmRxVfFanw2pjGcjH91d1WTpc1v0WeDZAEeTgmWvt79lJVFZ6r5lBh+auoS6IwCjzya3gtS1
Ej9W8zd36L1A9s7frtoSvF37ssVOnyeZkwlComcvLeMz4zC/gPGIjgwxycZPoET9NYdkwgcvy0uZ
t6KTeeZUEvlkaRVBSs0HiF1/tS3r+fbYXd8xxhKFDd1hzxi59E5gI4Y4TACKSmC/KD9UtPvXoa6p
tTcq1BAno/3WEXfH0vKub5PP1iar7XrAN5aJoyvhYMYdBuxFN/X7wcr2tQkXb1WgH2WXISWs2Qno
3MfWlnjC2pgtgqVoVC6t0YpPCcxCqZwg/ici2RgbpZ7LY/5NEv/xsUtIlqYQCcX5zrqoncmb23hv
H5tt8//DvJ0189D21Dtx/qqbOYDJfaTy/ccevsh6JoPUacIMfirSHLR7982qkx0f0k0eySURvDYw
i8SHmy11cI2CYKCFcr3dM/nYqtoO7ZgOUS8r4zF2eBnZcdWfyKCasGwLsncrA/YhnjOHszsZG4fZ
yhJYpkcVbivMUJgjrxZhWSrHT4SG2HrxIVQysDGXWPfuQC5ag81UWew01GBDqF7Hge0UX1pjq626
sm2WedLYp1K6LVRRYGeY+T11If05mg9VFe9wZf2kK1YEutSfoTP5+/b6WLni/ePG1ptOTVGduMwf
jXdp10aqsnaidn9Je2792ZIvF258laZfpgp8yNuvXdlOy9wpptC2LahwT7TPiS/ccToOaZNHt59+
/TgwliYBAu0bnhRtBWWqHKq+4sW1zW9UGvvC68EmmfSWW8z1vMNYolZbi1ZWPuQIc078Nzbi754u
HtEjO3NibVV41j5mER6ybmS8Kj11ttysCrDE9S+T0yIgtqbfUcwe7qFS17zeHjl6nQGENb4IGBK0
LFoAxgElOpL/ZGPSpAflupYTjEkm+qPMwekZbUuR0zjY9lfQFttXoogDT7kpvXNSWsCFeLo4EkIC
+rMNbxcLQz6kB6nS8acnuXy16pQrP00Ay+NDW95RYNYjm9DaDLveyD5BtrkNSG6aUK9SkCTsFUwf
IjaA9O1P2Uua/3JM+KoaM24QGZ2/qVhiXqHh953Xeetb6aR+0RkwAj9G/67BjVg2L0mVeQeJoyqC
xO1w19dtW+E0MtpfqebdfoCrQdC4Bt2x2hBA04M141ot3xk6oa+m3Yqw9nDfcs1UnEdo4ewnMo1T
AAABeXVgj7Qze7R1GZs6COk6z3HhjEFBqvzA7aQcj44gJfWNYuh2c5P/Bq8freaEkPtUODSYwdMN
SjM1w9KDJKKcprd2jK2gFKMbkgGdQDlxcxfD6PfLXLhQc9ODsp4xpPOfpJQ2uOKs+TTqw8Dbi/ud
k+gssBSzfzeV/CNcMyn9WTEzdFQBI9HZdSiiI5I/kLpc56UcoGPqwDnkZOty3M1DY+C3Au331UAn
U/lmQTDrPLYS9FhaNMlj6J37qd1NQT46feF7uWNHDmw/HssZUu5xZrTsrlHD4A+6S3wmJJLyBj5t
DPjINt0pPpYmvj+ZfvARTZRdmvH4kBVGcXKNwTzYY2zAPd2KAVzxZPHVngv26vRDfYBqdYzmjwlz
FKR09sHS3BmR66MOApwLBoFYg4dO59zqX8CwlyfFPbHPnUq8laxXzkFo7cWBOSYTOokxhOCd3iF9
pDLN/QoKol9sJpThE3gt3zcskw9GwZMoy9I8MNp8COGr4PzUng31T45eid8w++LTkkAhveKgylXQ
UnjiXqGBnjTbBzDLq8cKFnjP0pLk0HRuCgviwXBt384TMYRFDn9S4KWSHC6blmF+vr2T1yLs4lz2
Cktpu/DaM4OqpK6fIQKzcY1YCXpLRf06ruUMGl13hknlq6GKPya3j1zMhwIEvds//j+Z0ytZxRKS
EQNboCub5edEYtBqQJJ/ltVg+71pipPZ9+VTLkUVjg3t4oChNeDtEnDHfsIQWAufNJ4B/yFSm3+F
nSRfUK+GZGQvW7MKc+ZS5vOiQsfu9o9dGeklrmP2Gg0tQd5CsRcyBDCwHQIvYxsPv36NMpY9M8FH
D7tmas+mgcZfWcfnMS0exQxzbgfK+vEwBgPaUbe/ZG1mL4nVu/ymHHWPCyiEYWf0oOAtBBusQyoe
umQL27WSoS1LukZhVVjhTX/ixnCo46RGht5GMtk03177gkW5UvISLnJd3Z51w2Dz4KK0G9SldL+i
Dl/9RXDe8hNZ+5LFqTwRlpD/cXYlu3HjWvSLBFDUyK1qVpVnJ06yEZJOopEUqZHU179TvXLrWSXA
yziAWJwuyXvPEOQZlKApPJp9N/yZBMV9zdaS0ksdmR3DtR0UlHH4cQ+s3WtYCBr/d5O2iBkrD4Ol
VTuLDx31icvhjY0OlBCZnLpvbV+uPDAXBmeexwiaCaY2vavOmele3ARSsKkLI+7h6VPLdJ7HaAxj
liHMjtvS9JsSh9LGMwJXDXk30HZNlndhBuYJjDxseUXqsUZm3T8FhD6lefrIh/ZPSc1KJF2Yg7lk
vW6FcXxXopgTjM3FhGn+MOlUrezmhcfEPEuhM59nCrmQs18dhgASOcG3nlU7t3ejWgx7p8r2Kfns
aF27+C50lJM1sGud9lxNAFTaD4EXg+qxEdWKrsy/v/qDE2FeSeFTxzstCfSrDskhP+qXOu4exju4
dmytTbCBJM+G7s3F31fHJlYP5AiQ2tHf+bvba25pqmb73ZlEAOcMLOnBy6Eo/tdln0IfkX+t9d4N
3IArStcmPUpsef+a8j7f2jp5VsDy+FAIXDlFln79bLMDWdaLVlXkDP+YHZDbT8pdq3AtHFBzMXkY
/cH7LnRZzB2ySTwBbxIdZamGptB3jXpa2XxOb5jMJdFJH3JLhkMI/CSLewf6Rb5oX5Mp/Xl7ihc2
/JwkqEZLlmMYTOc620jjR5n7YFoZNQNfudUshMU5IbB0Wkl44AHwXacbliQtkGzqC+wDVqihC7M8
ZwVaEPoZM+5M50D2dxAr2jm4hN8em4VH6L9qG+9WqQu/ndTJRwEm3VeqLjL3zwlRGza9Tl67ciJ9
7CZJyb8UhHeNGO0PA+CrYZz48nXInQSLJ/PubBokf2wGmzQgkqonO0lgWN4DStkXFtnBjyXYmcIv
H5RbNGdALNWlFqgx1LUODUwoRXqYen8A4sgqIUJsiTfLIWs88o9J2JTMNVtDWk0QRAYqtBKQvfCG
fMD1U4BICrtB6ChHzBmCjedhMhoSmhc3c0rwZvuc6qiVn9T3YnMA0TXJ5wsx6bjkb1xduMMikCjl
FGsrW1m8H+4O8Fiuf383OS7kk3vTefIcqG8d3mYkb3eDE/NgjS2/tDtmEdYiAEFZ/Oou5iJNMMF7
iJq9IJ9Mev87ge9+vymcPFEEF6p6Sk/+4P9FTWLL2vQLtdRKAFnqwSzKloXrk7oFIl4lY77xZQX9
e2fH04Zvb+/ChVg7Z2siJ5EbomGhMLX0xVJwQQbU8Rtm39sOVvpsKjjSE+Ku7Pml1q5/fzdioVe5
dqL8IK4L72ebjvFE2DkY5bjtHI6cTfJX2mR/u2cLoWsumJ4w6GZ7dQvp20p89cPuTunh9+1PL8zK
nLFZwo64TfKiP4umJpHS4jdN7I3UJlk5XBdi45yWSUIXia6goXGZvCn+CH7SCfw7OHCW+6n65Ak+
52VS4G87WBjKs8qhUzHR2BRqZYCWfv/szVQWkitHAv9SMD+NLZexI6nT5A2J6HoPX51+A3nH7J/b
s7EU5OdkyC7wkszrWxrDluCp42S8ZLR0LlAJHnY0UKjXwtCrODaONcVZ6g37XDV/3NFVu9Al1rYH
5RDivn3RH6UgELPwe5TgSriIHguQN+88JOl+sJY2d2DNpysz/GHsQ5CfbewBHndpKrDv1CC3XSIg
GORu6vQr1c+3R+XDNQoq5fUK/26rWYWRyFn6uHpo0AZS+k3CtY2BYbkSvD/cyvj+bCvDYK2yAtWS
OEdZZlt5wCHptKx2hS35scoSALiSsNzwEZK3n+vRdbG965HdiSzlfCRx6nt3XVAdOit5DdM18tGC
zBeb8ypFSJquHXo7Fnx47mrxSju9m7hdxiGscOPOR3YvLLzipDK/O6ZUVm+1P8KTqzJ9ZDkjrGQF
xFE+19nrtL7rrAVNHM/tUztG2vI3rfKHfkhSWCeuaYp9uEMxfdeo+e77bVk7FvJYQSy52Yjm1VdW
5LBh01eXBJf5z3ViFgbqouBG9yCLBZmAjtbjIE1Em8PnPk7/24MyBYXUTBghO2zozjWwWBchRbqf
Qcr5dhMfblIMkv3fJrqq0U5TYu5LqH+7FdzLTtC+grfryh69Dvb/PUDx/VkQgNIoHYasnWAxYcMm
vuSQhuk6tjJAC1M8J1SGXed548T82AlRX2YsShIaoU4ShUWwHYvPzfGcW1m1kMBySsuJk8KyvoZe
Iza60wksMj3neHsaFkLZnFmZwsaRDamn49C6hDzbOM6hoWtF/gVtHjZnViZ0rESvbHPOpjzPN7l2
xHNhARFX+tkEkWIRql/1yLSJiFu50OcMB59GMOiAwlzdjPXXugzoH0CQIOpNsuZvIErcZWUFt47b
3f+4nop78iwWSGjRV6QFlxSFdrilhlkUhHABxjm6b+AUj2qDOXJV6a0S/WUIvNPtdheG3Z+FiLFo
A7cpgIDiAGVuCZWQtvLgL5QWulxZPItdm0WIISkzVfadGxeMDi/aa/SdWwfhwTfQKXf9VG9Kv0+g
oNMEKsoEUvDIZ/+83b+F3TensqJ2pbiA6E2cigBuQwofh+r0yu1zYfDC2eCJvBLlqK5qJIN4dlqY
08Fo9s4J7K+3f/xCaApnA6envLcIGYqzkA+ioAdjpxsFwSFYNu8+18IsvorGbcMg9yGTUZXfpiBM
NjBu3msbIowmmZqVcfo3FfJBDJzzQKcO7r8Sij5xAYHLobK2QkFfAr7sZjgCCvWQ9Cfa/3B8Avam
2RmIK3XlD+Nnb8WogKz+gUfeyuNkacpm0biArREFFEPHdWmX34EfcHbDkEA9O3SzzxCKoBAxu5RN
lAA6AHwnjMyq+OoWXTb1noUrHVgI+HNKo4L9Ke0c1wGRs4ss/09SOlEePrS+D9yHWTkTF0YpuDb+
7uJQ4WYvq5FV57HotNh0JYoJLvi7aguXnE/hO202lzakRjeWq11Qjy1oWtZhUu8GKZNtQhr+yYXn
zdY3NIV7mwtfnQWt2iwaMm5+QebQ/VKntfvUa42ID3tUFzZejs1+u6gZQ+tpGoJ6W0CwMI3CKUVl
wEpQt9lYTu8DgHh9TZBqgMl8oFZ+58JGn6ufa6/OHdczOtbCPDmMQBtoiIoAohzm1+2NvjSj17+/
m1FKUjkKqKPGyTSRuJim9hBOlr1TdemtrPuFx8JcsdtAV8x3pnTEWJu/du2V2zFTOia4ovCoHrwR
Kq5Vg0XbTmb3uV7NAmSXpqMtad2e3SSwdkM2fc/tBt7NnVjZbUsTM1s/qjRlmPnohQ8o+uPk8eBB
DrBiKzLnCrZTa/6HC8fUnBGa5KBDVynCUgJ6zuhZO8LIJ6dlFvFEVfWZrWV+Rikq9F4sqaLG4LTq
wEB/TLs1xfiFHsyJoIPtwHFcifwMjPO5ld4rcDkrV8OlT89eoZNfjHnuUR2bsbsAARhneb1yN/mw
1oVb12x+u67CzSQMnLj14D6/SXI57Czg58EadrIDk62zszrA3IHVFX/twapXNvxSu/Z/t2PJcxvq
HpLCJct8GTshI0HljrUMIlV8hMFq950UDKAZXFhW9srCwTEXuC5Ujjk3LTl7AkzdehyB7AHeJiro
iEbByNs3PFiDdy5M2ZyV58BY2ikxsnFXZQ9jynciZWs35YWOzFl5vRZulVF0JK8AENpV/a7/ku6y
rQt/+ij9HcKR4L5+1PfVLn2YHm8HmoU4MEdWTzrhE0l0cybGOeUmsO+A2tY7lo1ym9LGOtxuZmnY
rs2/j9KQlGwbJDTPuKeQk85q8cUqnU8ZgePAnZ0BgLiT0QLnM64KELQNUmF5Sk6DLMx+sM1axvH6
tQ/uev/HLNPWVPWAvJ7t4FCnDyp7VNbr54ZntmscoKdaqK2h7s3Kt8rJX/xsjdCy9KtnURIKrRXw
XoEdGz/NobTGji6Fw7TXVys1+4VVOwcZD/Ak7TwDkqcFvxYohAw5LHOSHwDLRc6qts7C+pkDjUsS
JIllQ9QrncqnAgbAQ44L9KcGf44xdsYp6AuNKgVtTNTwP0R/8iI4F84tKUSV1QBuapdzfQEUA2KV
CpLXLKX2SolzId7OccNQI2BtV8O2tenggglRY5pFSCy521KoatcCric2qviZNsV+Uk71dnvIlub8
Ok3vtnMv0iYrSWXHA/W9DTXla8EIjTpZ35cDf60FXFs/19LsIpT5rC8GGzI+TfhF+38h/7JVWGee
+pm3n2KvQNBtdlZOV5fYKQDiuyr6YT/pK6ABJqZ7SFausVK9f6srH0SPOYxYuEi0aI8jm2il5Z6J
DjlZu1Z/AthuWZcJcPJ72jQQI+DIE5cHPyflsbWNyGE14Os8CriaeOSgnIuzoVUxkK96E9qei28F
za7WqflOKlrBs3YMtlVfTe7GUSA3QX/QS04o9fkxpCzLTc1Itx2mxPnjwvruBCa7h+SQnYf3jpfU
uDvxdEu6Pt3TzqeXPIMYmKnCbN+ZHoZsXAdvrC3CV9s2oNb6Y+694LlQ7DVj0t+4pTJ31sjTCw06
J4tCX8CVt6iTA5BnaZzCLvwXsk4QLqgQhFq35Jss1GQf5mG1p3iYv1TdwGFT0U8Hv7TULg3x8Yhm
JjhK2w6+sDBIkT7vyROUfca7DhIgcWOXZluxim+GAo4GpGNNVKkuOVppII5haY8RyWCqyRpv+ou7
iX/wgJaIGgZvucnqvNeh5OZsEZ8ccJEYtkVBh602gkQjD9BxdxQXq6vTnYaw8EsPgYQIMo/hM7UA
xoz6dgqgbOLRvVYEYtBlg/tODlR17atxW9tuCVIZE/vS86eDrlTzpibXORR6LL40PrgTjcKz0C0B
c95MXQ4+eR06vzrPH7fIyssX5YH7a7K6P9edd269ge4GNpQQ4x7THXya/QP4tM1WKlCiqpw291Dd
tp8g7BL8ctIOqfdOBXil1OPJF7zCIzTtz0Fh9B3Tdro3Mpiuut4UWTn3nwYWlKiGOP4+d0gEhQ/A
gKsy2Li5PUUuyx4tbtGTBkp7HzD+O+0a74ScKXmx3fa1rMruCPco+g8ACa3YsFoN3yk1w2bsrzpi
eFZyiPamHnxHkpL/bUwtN8JoAzsxaE2GkFfeAnAZPBbANb/wLtT3TcfZLpR6+i48u/6iVN3ep6Of
Xobc/DWubgCs1sVD0AYJBkBnd23QfvGVzON+ogMmpOZnDTHE+8z21R6ILBk5uv4awFTjnimMsF1K
fkrwxVMi3f5QV9zjGzm05VaGvn5LinGMjZOTA17RzpZOKSRm4Ba99w3zolq28N7w6+Yg6eT8otzw
S5PXYEJ2Bv4mrVOdmNEDrohZc3Bw29/lNklA/gJgVWH/+JvamuSl8SqxCR0HneQwoMKKllumkMJN
GhQERt5m+6IP+keGym00uSnbWtIeQUjm2RGyrOFGIKRELAdyMYTCqWZabspRC7h6+BkHw5CF33zp
V0+VUvqphyjYVpZ9uvW0r44QjSM99D1hS4S8C5TlKjwI9mguOLeWlW8aTcAkSMNqemrgO/dYNkWy
4WEtY9105sCd1kUFtviTOMKNQ69ItqmD8n7i+PnRh7NpGGWshdJiE8j65KlpuGcC7jmbRNvsGye5
F2U0QF7a5gl4DfXAQrhMluKHDdZFDhW9Uj7qiTti2/YUkg4C9IaHUNfhfeWy9IdvW181502A2NHg
rZEhhOyELtmeK9NeJgWkn3DRiAXTlTvkYPq9n6Nk5AukIISCj2EECPT0OGVYhVnlT1ui0vA8MtXv
GMuaLZOwV3HgHXJvd0N3r5HC2Zd4Ld1lcI87w6xUfcWqLr4mDnG+YO2Mz0j4joinUMb0IjaahkUE
/lVwc2HmUDbUekbpUX4DMpqA0JENcG3q5YXqyrG2yYg05dWwOQDz20DXT4ZOgIS19BFITVYd7dFi
V1tx7E1OM/raVPm0sbKU7axq0j/asaFbMNYbyCiyBMoNZc6yXe51ONV0gipxx3N6rCQTkZ9V46br
mvHIHMd5mBrVbeGAy+9zoDSOZvAmsDgZ0m4hdflRG0AkiVOQh1FUziPPrHrbTFO/xw7GMq2xF2Qg
oINCxu4AFy3UEaukhUzSAGGmE2wf5JcKrkZbh5TTXSXzbmvnhb0vmAjvKRnZs+Z6AIZb9XvW4+UG
uoH9UGYpcMQNTf9pjdPt615l9ykizka6k7MtfEh+l6B/RSkjcBt3yFREOUnMPr+Cj0rGcAfC9atS
mwSiE48MKJFnUTbVC+mAeqpFAVXboi7vFMT8X0Wpk4hPqXwti9IvoxGr5wTxbLIvR0r20mkeQ5h/
b3OXTCfHuOQHcuH+MSmCZlsbye4B74WXHGqeEYQgzF2YGcYjPx9hlwNJ/QOyKupJoGYe62qq3zw2
8F3llMEBKNHwMBgYTFZO1kaZbdxTbfL2tXZKHF2yTp6HyphfGWCFB4Cmgiena2DirlWBfUIgrk3g
09dbyj9lIc2Rb67bS48059lF8P7u2Nb4WnXyt66oDbNGv/3dDvBn3mikx+/6Vut7l1ntz8GVOSQe
0x4qjOmwB/XZXAYzlRmGWDswXB4VDvOSeCUCOFbRruSqoVE/uGrrQu39G+qMxQtk47KfBnoVW1gv
uA807YrvXet3IB1BPZqSiWIkSfvFkxQkBcsHNjywJQ6WpGguHR2dn/00wU/YGNjPuHVmnSpzvYx1
kNJ76YgH9Cz3CmilS3rQKSBdMqXTfSJr+Yf0BYtKLwzAn0KVudRDC6hUln9L2yK/ZF7RPyNuTxeE
XmdLksl75pURF4UQd6wsqIc7BtiJba06GgcDLl2igKCi3XbpthAEnLmhLL4NwvL2RNTVqeb2cOyh
Xne2bZlttTO5NopYzrTNrezqBtQKFCzDMVXgFKUc4bwOT56pkqufU/8PLJQS9LIQj+AduysZn4WH
3pwh0rqda1rWovKXgxIyFk69pQri2g4EHlfyVQvJgjmxo4FMme81AYuxD2OQXPtNgnOpqetdaHnW
5vaNfyHbOid4eKHxXQXro5j0DZQfO3qR3LqkRb/3eHay3M5DYsJZefst9eg6mO8eMsidhwiiV1nV
Djo6pTgFaQlFvFKdEouvAJoX3q5zjkfa1CzIe0nizjISJEAwruQaP3bp27PnEeRURJCbgsSqVm8Q
AEQIkeEau3fp47N3UVgTysNeQbEABitbIz0Tg3jIP5cScmeJCdfmlVsXsCBxG+tHaeg/A13TdVja
CrNClT8C9ysrH3wIC+SnxuUnKct7UrSfnNFZugZ62HXgjwKj7kGfzmg9Rqoav99e/0s/fjYuajB1
WXFc/3AVFnu3gJWbocZ7G5pgWOHuLzzf53QU3oC+imwNtpjlO0gFARA8uhCpm77XoXie5PTndlcW
dteclxJwmxpBIdeAx9RGNbD9gVzWAIdTMa7hJJeauHbx3QZ2JIFfUTXYcTCqjbb/abmOG7aT4HXc
7sPCJphTUvwUHlusdaaYSFyR2v7SlsFK5mxhpud8FD4O+VTDjfacVm8WTqO2eWqntQLP0hxf+/Nu
YFSeNBOHFFYceHmxSyYcU3DsLreJLA9F27SR7JCxuT1GS23NopDhVZl5HZJQ6ZiIs/LCQ+/yrd/A
lLCHoRCIhuGacfPC6UBnMYnBOTdMmAHMTbts6/Pc21TUlxFezl40TqnY0XEESjMJ1kQUllbYbLPj
9iRcoFoKHPUoefvaGSLov77BRTmJAlqu5OEX8nh0tuvLhOQgfqeQAk2feyj4jy3Z8ukbT3kEHYld
03+3h5WU4cJszQkqTo/bnLQrIGflX0d/7bpHj+9GzFVufbu9HhYW9pyY4kFhOhhbCyZnRJ2Eq36x
pN/Wvf8pYS48Q2ab3gRJWhDj2fHkVToiir71IwSjb//4peG5roN3G8cTNSSgKBJ1Be6YEQ3qQ+CA
5W/nu87VXyyWrgThpUG6/v1dO8KCRiFeA3as+ulPTa2XvNNXwcq1fiwErjlDhWqtuD8CmuI3Tn3i
yNnedwMSEbdHaWFXzKkpTSlscDxRsjS0juTIt3bxzRnzXW2529stLI3PbKdLwSyPCeioGBYeGA9/
JwWHdenkr9yXl8Zntq+ZowrPC0FnxLMTyg3qkPXydPunLy2h2WZu7ZLa/WTjfpBCa0H9zdO/FUm3
U4a6zsotYSEOzpkPeEwhjUAnqJRUkEfImd09hk5SnsVgHoJU7h0nnXZWkgYrs7Ew33PTqlar0Onx
UI2FB3H38W/vqS3Jf3ZIY9wes4XpnhMepC+s0a1RWDU98gZIUUj5x6t/3v740q+f7WmHWi6kJGiI
N4U6eiX/gnRLtbEG9YCMiru73cjCgprTHuBwBRGHwbXjq8qBpacvFfRBVk7YpdG5tvkuWCAL1YWt
l4YxlDm/phZ5Hi0YYwQrSIqF9Tp3nWJe2IJHeGVDFu6mEg0U+2gX4q1KTnXjqsguwBa7PUhLMzHb
1SGUM03fwoqFqSOT1s7lv3KogyP9t7JQl0Zqtq3TMiUqB/PtrFC4YMEPqu+LoF6Z4qVfP9vYonRz
pKaAYAFF4GstQBa2kYzmQEFHLJNrkfvjLoT/R34gStMk1eZcyKsJI82fauNRpBD1Sjc+XqnhnP3A
wWZpOZN2PCb1CcrIv60iXAExfDxC4dxGCqm5XoDNh7jkuReI4nwzeX3hxH5BWe3v7SX08WoN2bXp
d3uhzoeJ1Jo2sAGcNq2PyqaU3gsvg5c2haiKFsUaWnBpnK4T9K4l5JkLwCB5d+6NROWg8b5RKlbe
kAvI7XDOYWgKWkErqcbHC9dsKg3fblK73c5k7BjUA6zgyQEgy6/ZZH5QWzzAcfz7yMrHbnKf/Fw8
dYX9wmzycntQ/6Ut/n99MmSzOzxpCARnULeKyyEETzxIPOToi/HgwcvxPhQqfTCVvPoH1vJsuS6c
56hDTyR1+p8wh2DPzqDBi5oc/uJC9SUSVtV+AUkJVfpe9Pg31EteXAVkS9cb4KLJKB9cOtCLY8vf
jktGANZr2kfMY/wBclX+ZRTQn2lkipxZKqon2ODpqO4lZrmZ6KEqimSPERwjq++TuwSvmTPyIPZd
5XjjqcArBxo90t7bUw9fVsK0AsoRBR9ovvMYab/qeyWDdivoZB8zbRc7BO5pmxY4DWRlh3AU5Ako
o0CRTQn+AyjacMNaRMaJyfS+1Cx7S0Y7OA6+rvdjSvKtcBGWi7Eb7nsWrKnsL63AWbiUUjPpXD1W
fMofHEeeXDdZuaQsRZl5oKxYAmIQ4CysPVjupQieXL3ymPn31fLRYprFyVGVtlW5njr3sXuQFzB8
VRt5l+DIN+lOHOlDeUoe3Dxq7vFUu+MP/Ur0WejTnDTC8FID0oGKs4RCu9zxkQ886hsIlNIyHNd4
9wuTMieNZBzcQBjLiTOZzC843HyrZLYmbvbxvS6cs0VQmIIpKxTZ4wY+mZescK0oGV2z62o27pC8
Jhtw2MNtWpnu9fbO/9icC2L81zj7LsolIa8S6pE2ps24t+z+INrw6CXA2HAX5qriVY39ljn1xoEg
KjyHtgOUK2+3/XEo9+fJldoKSA/UQwda9lNOx3uZ8Tsliy0qFfdTN24/18osjA8q7Xtk8ps4t1Ba
LXjbA1NBY5WIH2WJqiwS+Z9s6bpi3g0lChsQskqbIYYA3Q/4hr46RZUdulQD1tGav+6gs/3tPn28
0v25+keAsr3SMHiNm6JkG4BxbMgeAeo2IKR+roVZ6LFxjeIE7NIYQNvxoQ3E+Jj6qOmldFjLUV2H
5f/DhD+X+jBUd1lnmIpZ0PzyOEAFPYrAt3/+xxcRf55QSTttAQ2Cn2/K5sCsVzqRnaX+FmQNgr8w
A/P3dYeSWDDSqouRdcJFEApz5a62C5R664auJFIW9sf8lW0TKwhcmvKYj6Cx5PLK0wZo5kRZBWMa
6blR0FfDyhVgqUOzCR8k0EYIbFWctzBszxUKsV3n+idV8vJTjzx/rjlQZkMqJ7sEAs6+wH98F9Bj
gkrd7Rlf+v2zQ6euADIOh1rFLpX8wFFzPTluW0EssRNPt5v4ODr781f3yAqAsKqgjJUNL15Qhm31
syjD4HkQTl1F3Ea5WbeBhxShLdlKowu7ZE4Qb0Y8BphKqhgWandGWi/Xovbt/ix9ejZkLPfrrhga
HnuiCh964v3tYdu8sng//rg3f8YgwZUlTlgMsV1AOS1pkx9gGKQrv/zjneHNnzDtEEgvLUJobmpS
/axSA2kRNbrlne1A72SYatffWC0LVnKmC2trnv5wK79MAsRX3MrHX5UJX33f/JCq+dS9xZ8nP1AI
oMyaRo5XE6Defa7FiQSNDexMscZ4/3g2/Lnqg+W18KINa+8kiN3t0sQfD+3YrtmiLUTbee5D16rP
eqcITtUVj1Q9sFpH/CoYOj3fXqlLDVy79e5kBbA70A0kHGM3Y+OPvs2rNOonpveS6wwAwSTMD7db
Whoo578tGbe3YTdoY7uVdndoQT2+QISq2n7u67MgO6JsQV2Ib8ZN3/Y7JxnxzKJNvZLI+Tg+efPX
t5qEG/a9vLKxoccsiOUeiiQvIxVyYJmgmbtxvPAfmO1+/UxvvPlTvIF5dkoDquJpEs91Xr62fE0y
b2mDX3fiuwm3DVdWTQIV+zBc2vgJ0F188O7cjh97kbsbXjQrZbiPl5Y3f4hz7aajCmUTl3htF4M4
sNzdmdI61kP7dnucPg4f3v89rmnb9XY9ABlirJfEtF/CwPxojSVXouHS92erashkTgAjboDAc6Eq
K3a8CMHOnI63f/7HW8KbKwlYZgCXmuHnG2e8r2U9RBWY7Cs7Ymn4Z2dQ0Za8CFjTxF2ewG+Ml1Zk
4/k/OOrBctcQAQs9mD8Me6Dsis7FHGsYTV46KxsPVcs/d1X25g9C0Qx1O7muijOY0WzTMfun1naw
MdXn7k2AMf13M/hjggc1eNgx9F0H+BCW/yAtlaMcvTY+CwtoLiNgTFOIsUiwQMc35b915qFKVt4R
H0vX2t6cqV5aY1VZXj1AyJi3AFUV2t8qTDaiNrH098Dxmx+1o/qvUo/BLgn74lxMrjkGo633dpE6
O5X6EmhFUBvcFKopbkV+9T5SP+C2OI+3l/iCfgpe2P8dYu3iugJ9n+TEywrg8Krv2qeGFV6wSRVK
XI4ssmOZ8BaGVQPz7mA5I3YAnvtnH9YnfRkyULrH9KuVVGsuqQvBfE7CT8QkUmi7gVteJ2et+ovK
wsfabp5pAhV85T2BkDhFt7u/EG3nhPwiHFB5dJB2uKprU7a3gNSmkuwIoKqoxdxuZGGnh7MhHtxs
ChvXJCfM8++2Q5p2mqZ7kYjf4FCvzOPSQp5ltbStCz5JE55CfvYlO7TU2mSjWIlVS1+fxSpkagmB
C5d1ZcqNe2RA6wcKZMWPZKrXCm0LTcxJ9gq6lMLWvnXysLZb5YPA7acHRVr2uVmY8+yh0E/SKaDJ
qQH9ZGt1/G4UCLy6qo4jgJ8rrSwE3DnRnsGrXGdSgHjC3oL+L21WbjhLw3NdW++uBZYo7CKEbvip
sy8aJujj8JLhDnV7gS7k5L3g2uq7r/vCs4jpp+REErjwWqPjXOBMbEdw300RbjJbbR1ayd+Q1/J3
kPdnG9uU5dlSajqME4pkYAxBND0JbKTxAcs2IZk+9UTw5iT0PLEKx7bR8bptNhBS3LbToyc+5dRo
e8Hs0tuFdl7n16+3YHBlaSSKEyX/rIzqde/9f5oH9sv/HVUF//gEEuX46UPBozafhk3gyKhAoOet
3EPRv43aEG9bfaXcGEV2cB1dQVksBLa5T7ALqwAWtHZyorJ/SNIs0h5suXO+NwUsvsaV1b7Qypwj
3sqS5K5SWcwbJ7Jg4/sIeH6wTz33AYrkMmKGrJSNFtb/3Ha3gAxTIVidQnDEzY+J4mofGPmncMCy
vj1dCzt3Lp3pZ5nXAJCexS57k2NxJkG1co1c+u2zvdvYKZvgQp2cnJr+9Lum2qe4YftJu2bNutTA
9e/vtm8NdSGr1iQ5jUiZb3Ir9x6k3fTPSVJlnxyd66i9ayIYwnxiNSKEbI49VGuIWKuML437bAv2
o+o060qA3kvk2xum863kIGDdnlX28R6c6wEkDuQj+hG/2xDoPMou+UYc72c/Zr+mmj6mJrQjY4Gx
osLD7QYXDnt/tul174o6sazwFBS6PQ22/c0vqpeWNX00ZWsSZEsTPjuPJ+F1Xho4yf84O48mSXF2
C/8iIgBZtpA+y7s2G6ItRsIJJ/j19+R3N91MUxlRq5momSAzheyrc54D7864oeWToh3iJsYry8HK
Bmzp9c/BZmBljQu3zuR3KTE/lO7ukc/y0rvIncnIm+Yfq85Ad/R3t+JODsXqhB/iE35rWbzhcXFl
4VjpV0uH/zTzjNQgfh7dSj+WgAYjWONKp1p79GJAZ0HWFlWGfE+SYn9OwICc+6C70vorPXZp6ncC
p65Sz2QnXwXFM4rGOYtQsORiW9WgkwU4ww2ha0fz2c4iOLZBOX1wD7Z0+mejtb5jJgRrAFvBeIbM
kvM00ZcPjYwlHkgXk2icDj+smxFwonbM1ZHgSLuR1y4oV4bFEg6Uxe0w4d1kJ6o6FRb20Eww8VlA
Lt//BWvPX4ztvG6KAFfeztFk7Khms7FJ8BhkwZVbwZWpgy1GNWZYvzKXUY18nrBOvdC4X6V+dK7d
eK48f0ksEEhKwFET41qpvApN6sZhjulcy/olS6X3scGxRBYYpLNMI9iCR7j2Dm7Odn1N395v/7Uf
cNmG/LEIJZloggRq4ZNXN5u5O8gWF+meCcHz3X3sEy6f/Mcn8KCVTWawzYBPl6l7x2MPTnzXM+/K
MW1lw7TEFpDKc+jsYVsG7+vZK5NfcRZgNDf9wSubTzDjXJOmr8zhy+QzXXkDIyrGxIpQJo395Sxu
A2I2k8bIHp/KPLsyXa2MiWXyWTJB2CaslEdq76F/jkpwiEDC+diIWyIKoPwL+ATE21F4w1sukCA1
Ku+Ftdfe98pMvqQTjKJqgngy8bFUBI55f1M57fP7XWmtYRajuRnYgDRrjGYvpyHgOWEbTKFAIOmH
Hr8MX0p1EVd+I53jxOg31qM00hQ6gZ8YM9/7n7Ay2pbGOmiaOHdcLKBYkmHvhuH0zXY6mvNrYJmV
xl/a6lBFoD6oFPFR1s1LAZCgHcSVSWjtuy/GsfKKFMsidsTTYDYkfwkUjazKQ6Kf3m+clbdLLn//
Y6KAwEsAwKQTbAHSYWcwKR3paMS2Hp34yrFh7Tdcmu2Pjxg8WPzV5cgj5bPXY+Hn+5I/k/iDuxhC
/n6+8rI5U1TI4+h3N4FrIzcer1QrVqa5ZdKzhemdTyWmOV5w+hmJd200TenvOukJxH5e+1w0ZXql
mdZ60XJRzsG5GKYBd4hjNW4Lp1Bbatm1XIe1l7AYxTbnlaZdr0+lCzVeSNrC3bm1TsMaIslb3QXF
lSZb+aClNy3jAZWQ6SSnQN563aPMHtr4G3M/v99d/7fG/6MWsbSkzbmRnEmTnD5/vj862/vb7Inu
6f48hsAahKA7RH5Uhec4+gm+Q+iENGr3uH6KyAYbqHAI20278U7sNL9VR7FvboBnr8M6egY6MezD
n+9/y38PKqgd/+6RlRyGBO1sTn0lkR3YwmjUIh+yGq7Fyf27kcXSeznprjUdw4XFWM5bGrx5Buou
QMWCtw/9gP9MynPVA0RMgETNIP6twiL/QcU1efS/O7pYzscg0HhNP5bm5GVFedc5jtnlaaI273/1
f28YxHIyZkbOSo/jcLKxgtbpc+Y5gCZ7YSd2NN4lM71SmFr7FZdX88esFuCeFl7FAlKxoAeQgg7t
Oc8rZ/f+r1h7+mJaTrkxBJb45tQjoOu+TwowigHmutJGK91n6Wh2h1onPmjuSK1z9h5OSrgjaW6r
BklXSLm+pr5eGQXLebmdpiHV81SfcAV0qBgi32YR69Az9sf7jfTvE6ZYzs4czlFObJfDsJHU2ylr
oCkoidDbEpGh3/M65ZFsavCKAAEidTpcO56tdbHF8CYlR/GrSMpTVbUyhAX6R9DVImrmKsVpM02B
CyjFKXXktaP0Wm9YTN5jjHjcNu/YMXC9OEwqENXr0a+uaGNWnr6csWmRzFoPqKcOBOKVIG0q2K1T
+aFlTSwn7GFwAaiYVHGqRJZsG2Ti3uMK/1pxZAXhLZbiVyq7QSQDhCvE2J/eTBHxWLIHTYonL2uG
cMxBAujGW3DzfuYO/Vi9WCx1ryM32kGBrzzF7KyBCeet2hmCuyR7INXHdsZiaS8GZbordMfyExJB
0nubZ+DaBZlT3aWyza68nZUx6l/6xB+zWFI33uhypHGm2auNd01XoYRYXNl4rz18sTGrEDMyxcS5
REomMxhLebdJMlreGq6uHQ/X+q7/9/dXZdUPrA3qs9fI2zbhx0CQK/fe/v+Ebv/da4ilvJUAPDCD
lhLAM2cMdNzQL92T2Kg5HArdP4gqAcwmn3k0+7zaJ1SPJKQ9CDeTSroNbO3pCB6hafdF1vlfpNuQ
/nbC5SaSW11jmoPv8uJpHB3pRpOfFz/T1qsM8GFVc0d8xW8Q3suQTFwYc/a4rpAexroxcqXMgBFL
RTQ3QRpNAIJFNg6CZ1521oZN6tP7tuCImprz9sGFcOI8ANR0q1kjTgRApij3yB4cM/ZYqDiLit63
n4jLgh3KHViPM+K9oGDah1DHu7sYgdUyouOYvuRpRm9ba+hdG/vOhngFfx4vfldEmX0LsiT+ztoK
90Ou1wA25Lr7mTveT2q188kONfnGa5bvMkdRqNSZk25dPsgnzzesuiuZQrxJVtv+QdW1d+c6VbUr
exDOIBtwpIyQ6zyBTxhLfcMSV8goqVjfb32gv16zxPEAMnHAm5pBZkTSUpdvMDO3e9g83DFUXCty
Nm1cnxJvItsKwJM7lubmCXVHemK1Mffx5A+3MQHWJ0aWdjTWE7sdrAweU7fjR0QRFOdOkfwWeB32
0rgudA4KF4eJBQkOKDHv6xB4RRGRi/SgVkkR5azRx0xX7S7O4/JHMYzutg8mfRCSZUdvqvP9YN1m
L2Y/PZDeC75L6oA2kzJQ4LyGjFs70XrrDBzQQJaln1jcVZ8L/JQ5cs0QWNjK++DcdiMLUY0UZehb
JvG/QmIs5+xB8tTHVdZMSJTzRiNMvC55tu/kFBzKqkTns+A/Ud06e5eQ8UDw7sKKx/Heb2fsKdmg
j4gi9rYKlK0bA6DWueZJejeUQX6AODMIK1rTjVsRg2TdtBnfJPhD4KX59jExs9yNMedVaH0CfG/G
Gr6RuvQ3MEylZ1UAGFYNAoHbCBLfImSMI3nNlbucsAThx82ITcIwb0cEYfvbqUYEA2dYYB2g++6d
JgE2zzHJbeCmCBUvkZqRA9B2Y+EzP9UkBicpq0YTGVQtwhSH/wHILdHtOB/sjgk1fWkLuBXrhrTn
uhXm2ACA9StQqr4zphrTyJddnGKVHVskC1kovyILRJEMy0qV7aaZE12DEkXBO0RSdzglfP40E9/f
xpVLn4c2oXd57altz6firNJiHk/BxEoHi0TRbcssdXFJ64NS1+eojrbwZPl1Wj3zSWf7oijdCJtK
tRuhfn/2PKn3QQzfvU6TpwSDMGSzFBuulHeefeaENk5+c9TUI+IOjtgwYOQ3WvbTHSop4jyo2YsE
pCdh0eXlxl7ERx0ykR5ajmzWo0d6+Qt8d2BZYVTiMhpKSfYIXOvCIJiSjYVpFQ6S2PcQST1bEJnx
bn54U2Y2UuVO2Aso1TIFqqEYUsDEMLSQ4WNQnjtyUlOwcurqO2K9isgONjs2hJpt4vJmw0yV/opF
N37JXSQupnNeHQpaj78s/Ey3XGr/e9E6/bFyqzLimvJD2hfzPSLQZTSRpt4YwM1uszzN90kg290c
g40KrCYjTZTClHCbIkgpHFkLeTqTgb5XOhY7r6ldnHwtQ548XHDNd/8Srnx08I8ilIHlLlhtQ47U
gtFXt10wtRXi6EZU3oUnOnomIkN98/2t68rSuFTzDv3kwTyDkFQ+dqBbltJucOtchLSA3+RjH3H5
6D+WdmSW0DztquasqmSn6+5ci+k81OxjJ5RlfpsgiQiGWNZnRGiQcCjZng7DNZXtygFlaWhGxZdh
Eo/rs3RfMvSrKUbQJS5UlXNNy7SycVjGXJJJt0bopAHOtfraBcEtTNRX9Kgr7/Y/zpWgcN08n+IT
HBJsawfZgbzG8RrKdvv+q11pniUBZGptjPSLMj6lxu5pE38fGgK4mup/oHJ9LZpopYWWEBDeBCTP
4h5B7WP9cLFPAvV5pYX+XVbD6Pm7awIdhW0sLZqzGaLp1vhRlm+wdRYfQ/6LZS5tVyAMaq5ZcLJ1
8cP3f1PFP1QMF8tEWjq4pduCmncuwbWr+jxK3TL0nGsHvbUXu9yOu4UvsbKgV2ryqNr5wKB0idvp
G6mTK9vatde62JSbdHR63J1BHdV9ZtmLKL+/3yfXnrvYiVcAJkIDlDbnupkfwTB987rk6f1Hr7XK
4rw9IK0DWbSxORvCt7680WlxDPRdPX4srUP873D5x1SJPBXuzwptgm0y0MiF2Ft25aJspVmWjiPT
1ylD/nVzDvzfZfOMS4IPtcnS0FJhjWoTB/nAo3hGQWDnetjzdvEeNN/w/U9Y++aLQYoF3nHU6MED
jEN7OFQFeJH5NXcAl5faxT8OV+6ipmH6Zkz6BmLSLh6cnZ/o5M3qSh56Mua70YMZr619u2Usrbxo
Znn6mFcwAxtfqCRiIFKOuyYo7Vk2cffg5LrdcVp59wNPxBcXnNBvhBftrUq97AUKzwIJ3vRCBgZj
uDBwqma2r7asnuY9ZNkzOOiG3GaiRZ4ZMcBwh3NZ1mk49YP3a6qc+hLN/LvIxul7XUhEZircmWxc
C/zMZnQpTbHJlu2Ly0FOCPOGNZd9luwFzru6PM5ZOR67BsrDCO45e5emfi7B+TU1Xht3UbgmFtjb
WcDoaEm6k9CiPw1+14Rt1w09ng24U0nJ4IRISZg2jqV2m8AW0mpE/jgVTpg9d+wdz2fxfSba3kyw
/u8Eb6bIGy6yRi+xJNk4PM23io/qNsjr+QuQvjLKZFfzsB6K4pAOQI4i1pKRr7r3ZgUcvGN3Omtw
BAmy3AWJWLd3YDfFd+mUBft88vInEJX7jSehewoDkQPgjLGahC3QRbeCafN1NLKKZKfFIYcubZOw
xvs+y3T4weDc33kQZ6JuZvXLhB3nxpsBR677iZxwrCY/POLk5yAYyWsMl/6mMQlXW2xk6U6njcY5
thuTaeuJOdtZoHIiLeopSqfqV4Yz8LdpHHByD1z6VHC3Bmk5oJHr+NmXnAdZ5BtHvKXwQzxT2wJo
q/GLNgzpJ+dZDPWR469hCazsOS96tlciEc+gq/fY6GT1AdrYpAxHz5HBpmho+q13gXLF+is/N36b
gplc80yHzlAOd4CjlnuNnKrQmBFMlqyo72Lo1KE+q8SxnmKcKWwM5BaQu4ac8TVz78wThvPioJyi
iupKjOUWXMvJ3RqpyjMWTnPijNlHa5N+Cz/mvFO5aRrAfjvEGFUIo/jiexTkBQWoG+S7BEobH4P3
LbAlv4dZA8utx/TXHAHIvzs3zn9MqFjeowwIfSf8QDUY3KV98Qq3JmAvxLPeMSL5/QgfCQ48vanh
W43bO1RH2lPPLj1gRgq8D9TBQ19xdyNbywFzr/Md6OPelpnMmFAYkGj9anSQajjVB3eIG0AXcn0i
BS0VDp8WIaDY+p2MdPwdhXRoVxrjRgyntA22Igy1icYchOi6mwHjess9UCE4AnL2LJ7zbRE02c41
/HLIUGZbTh0O5Kr3b5Bgg0O0cMe9sUYfTKPoBnjmDmhn1X32NU1xKVyV3gboRoSIua0dHvMpyaNM
zN3j5VjxgJlqPqnJm+B8yEkCTc5co+cG4N9L3YEDq+L8iYsRzlE0wLSXXgaNWZrI5qgBvgbPbm5v
S6/VR5wI5UuKs/+uwJj9mVBMOTjJ9GE7cgfPxdX0Zmjr+jWVgn3ViMbaDFU+3BYulFO+KJAB7HRJ
O0a2ifHKCwsycSEnKGMVIVBi+pAmHRyPTxvbT86248N0UAKq5obS4qQaPUc06JzHppdaAGBu5F51
Yv4GjjME5MDD72Ki6WcD9sL3xMGEAZZlvVeBOz+rNI7f3FnkkAOmJizTgNUoNlB9gxQi8eiPwXSX
0RmJ0WC8bJQb8IMdFKKjXLzeJufJfeGmwwGeVW9b+BNUNaIMtsQm/LtEsFA4D3P3DSjCOYwz4ibh
3DQcOb5dBp5KnW8REVS9OjO8zaYnJo/KSiYQ7Lp6V1Pi3iq/RC93R5xeqTMV29qW8S7PSfpaIDEQ
6RkAXxFhiQ4ntxmxNQR1UCuJoyUqto2bsmgAIOVAaxTwii54kR4UJ5WTXCZ0Nzu4FAqCStDgQVZ8
bMOZo3KFzFfd7AyYt2eP5vbBDCQPcbie7gI4Tm8RqmGLDbWC7kZKDCotPD0Y4uK1jAm9catRv8Sx
q196rTH7uSXb8MDPXqnbaYBbEnUW0ilxjeomjwWipnZFaUD7APK8+OS0gJtEDIPv5JQUdQmqzT4e
C/vjEmyPuh1tkR9hwAtvnHg3VxgCflGqCHoLfijbNAP+yxn2eLsNwIGZGxKP+JEesJfVGYASSK0e
52Pftg5GbtGovTsWCDjwRwGPHeaTLL+U8wHsQEAF9ZqbKgmGT2PNLXZQsUR8m8NBVuVJVE2y/lSD
ELP1+jaPZIL7fyjGk89FPKkbT/QALMTV8FRf0M6JnclhtLzbANeJ87josigp/fbkouQObo1v8W18
OW05VXQXF8EcKZUgQBMVVW/XFKaLkCyjT2NqSdQANLgfA1/B0o+5xQnm717Lk6+UNHYLYh/b4j/G
CCkMglPbBAb9CvYvJvrgRmEvde9a3F6hnumYn6kuxwMQFOwN649/hpuRzKE3YBbZ4YbjxXMsoi5i
t/Y3pc2BkxUq1Q+qG+2uqgDHRpW93Ih4QLxH4zTdN4wP+rmVqM/Oo2c2Ph3qp2Zs/WOcFfMOUSwM
Q9hMmyAm0xOuTw5pmeo9dksDek5DbzB26UMxBfxHhzrfBqDzfCtUVR9QcBzuA02aQx7HJCoh7Nzb
qZVHcJgn5Ggx5y6tHT+KVefcYWPqHQYg0Te8te09PJTxQ5bnznOj/Oa1yzz92tuuPHVB/ZACIhEq
BNpvsDRke5eW7WVZ728Q1zTvLLrkgbbURVU4HjYeDBSRoVl7oyFI/mJyLAAA29viRntlcNsNvMfB
CURoOzndz6FFGQ1re/agPJ/dzw6E5T5q529NVRXfFIp+YR2goDY1HnIBEBvyyF3mPYpcVQ8AJOa/
JtlVOyG1PINW/gTGeb6tE5rtK2mqm2TyvWdAipyfMSz+z4Mt2N5VI7E7g5nmDrEL4r7Tng0D6vXf
+kn6v0Uv/RN+sN26Jq6PaR7TJxQLgn0wT9Mrkp6cPbc+/TmwcvpSsNbbys7EO1xFlWGL2L/beO74
jzLu1C1D4M1rgmIsAh7ScnjOhyT7Vg9l9xvLPIJRAty9fcuztn4cMg6jCt6u/8TVJXwJ7JuBhK1K
UDoMZguag1a1JluaFQpeliEuUTiq6vSABbtF3cuj5V2Ks/pdZ1RwVxZOfzMp6m8r+J1eG+s596N2
gXOakYmCUuDIi01BRH+qZtlvqKtTEfKWy3HTW8e+IuG8Ql+vaoR7FO0mRW7JAy4tAIKqsQXbZ46L
oqf23zy3QOXBIqdBkgqcx7QqoqnV3mM5WH1b8o7sW02wcuUVuYmLokFMsEzukGSDGxLoGPaik+xB
+bF6TawGlspyM2wTOrJtYJxhg8WZAG9PBFYQEcjQolB8MLYKHsYOaawKZECU6201bdF+wc84zcUz
6tb2ch3TbRmYJTc53H0AT2J3fO6HwP0ss64PRz16URD4/lG23DsOukt9vLxp2vplktyrzC0QQmOk
xd0KEuaRZl9uoKKkT2wEs3Tro5x+n/WC3wUGKQMM3sFt1sERXsU0ua9Slt053Ml2M5I/fjoZqSBW
9C0PMTnQe9c4G4QQgjeRifxBYMN5N+BY/qt1Jw3sfFr7IbVJB+A8asWcNWBgxzWyiRNs9R61jYG9
ahz12DqBTzcpdlWY47t6S4ZpT+DG3PtxKfeETs0jyhX0xc+NE2nF5m1O634/Ia8kBFvUH8KUOdi2
e2n9q68tfch06iLGt+dPiEzROpoSkrENrYJrlIF/V8b4kijhlwYF/tivz1D9Re30GXeDITrT++fV
tYdfbuv/OMST0XPb1CX1mcc1lLSn0vxEQPH7z/53BYIvffktSliTY/HsDv0QU3+EXA+ZbPrumkH4
34dtvjTiV5XvdnQImvPEnJNM03th+837333t0Zf2+qNdGlO7NDYO6sDBHZZ9nECu1MLWHnz5+x8P
RlIrDayjYviCHeT1sNe6yK4Uk/5dIORLv33WNLhasFTC0k9PtuOfVKxvcFeg4cQiL02cX/kJa31m
UbSSNB+Qy5KaM4o0GygJInCr8mtRmmudZlG2Qn02wNkQaQvIZAlHHyon50tVyWh2r4Vkr339RQ1l
QirU1KY+uN0lzo+EpNtOmfvRHa4ZBdbYYv/x3TsI8TID7ikAywZkem9UhOzfV/5FRB0Oaxs+XSlL
rjTW0oIfwx8rbFs2Z93CGleHCgckmDmjRn+MU8CXHvzM0SNwbYk5S4ZpGjYmHFpCz59DJXfvj7SV
Xrs04XetHEvZoGIWi7GPKpKcyswc8srtN+4obCgyFHPe/6iVN7/05BeFIqIeoXvIByifhntdIk3n
WuDF2sMXA7voOzefXJTnm/i5pLglZi1iUOqPzdNLq7rbSmfynEvyNes2TvaJUyTGgMz+fsOsTEpL
j3qVGkTIVR429LLfOtikt+IatXwFhPD/pcw/JrzSjbFHR73xmJsWJRQUu+dNatUwIvdnYF+RRMLf
5iAe60hrUwCAV2Y4MerpaAjitLZAb8LC4Pst9rSj89MWuMRPoV8LRwm1RdqO8ZU2WBlLSwu67+Wu
VbonMCjdeb2KMkwOE/QV3P/Q7SVfWtAb369x0S+9U2xVcYNIL4hokZj+tckc+8HfcBljf7R1kfi0
UH0FoW7lwhJ4LIXEqyQ4gnxIp8zFpfH++IDYZX5bW4K4IA9h6uqnDuCibELtXGmjlY64tKLrXMgE
ICh6MgKljJzoQ9YU39/v5CsDVCwGqMjSCkeR3kdQ0VNb9dEY3E8I7Hv/4WtfnPzdMEPbEuGMfMbk
NTwWpfNIUen62KP9vx9dIKHLS3pU0pJRfpp1edKq2Hzs0YvFlvSA+dm68084N297R6CoZrxv7z97
rbkXy2zbSDkI18eZsB/DoTVh26LX5FcaZWW0Lr3nA+kSnPLRUVDBD7TY1ChVZMMzsBpXPmDl6y8t
5ykdstb2nn9CqSAsOPq496XlV9pmZc1bus1JkEBRE/f0hG09iFUUAOe5GF4CTk8VK38b5XzMYgtR
y9+dJ0F1YqLSm09B/A0ajyi+SjVcewOXhvtjKkB0LOqFAfNPUNd2O1wZFYcAx6N7b8AptMjiIr8y
qa29icW4nedJBUg08k6+lEEUOCjgES/9LJxg96GeyhdjNxtBlKj9xj/hvjSyoNzNd7a6tv6tNdNi
9PZJLfoagX7gLkSGQ5tWfs4bHjYV/9iUvLScJ4kWEiW7CVLhMgAfQ23LmO2wt301uAP54DtYDOaq
LAAxugzmRBZRF8yhA3zNfC3JfGU4LC3nqOXOeaOxqrjl29SgoHUo8x0Dfwg3SFd+wMprWFrNO+1Y
6caBfyoGgjvSZFOZdIdQOhxQr0wYaz9isfZSlCsaGWT+Ke6wf0pegjy5T/XvPO+iRtBr6+PKYGCX
3/fHqGtJ2Q8GKbfH2lHYG9OBnIIgA4OLiOZVlYX/mBa5leEkVLaDFmjcOnmK+7ayRDUHdXhIw5RC
fN2M1MobGGC8Y6VSCi2ibCNzucoKMRgopG+DnqENEw3Kkh1CL6BcihCDVt/oti1AFx3r9qZ0yuoO
OdUqAmGRPaGMDbYp3FjIJurSN2xwetQzpxr68UalHSyiSm18P+hY6I0IMIZGFvGXuipPvUhBX8f1
I+qxfUEPrEq7N+7H12Bca69mMVV5CIlscO3q4yIH9jCudn3ZhXYeP1cQJZrhgzzLpYHeI7KjZPLq
szGHBtXZHM4GyEiv9OCVHcbSQI9anz9MzVyfGaj8hpQ7W32Mt86XznkyWytRwm7OefIkYZ6b+x8f
mlnZYn/RZZmKOSwF51R9NQnqd7gp7einjz18MSc1xZgmvYCWLqZu6GfZthYvnMXbDz19aZcfZiDv
+0nPp244OzbYOD0yCbIrD1/hriEz6O9hPMHmk2VylscMiac6yrOe7gCKw3Uscjgjprr6HBQBCscK
OdBOJAFm2iJ9s4j8tu2A2u+CXZ1OzaZlSCv+2A9ezF8Ngea+yUcXWVzzV61yeEIad+/gjvhKB16Z
uuhi6vKh8CYVxRTs+HzbZs9w/mzq9tf7335ldCyt9R5z46S6bNcKhJ83hHxjbf37Y49e7D+QJmuE
n7X+KYBAJU4fvP5ai6x96cXGQyZlB1QTWiR27RRWApunEnSt97/2yopH/b+7WD/IdlDgSJwQ5oXw
HO8V6bT7HGTiMB/bK5+x9koX47s3Li8p5ECn3kemdH4LF0Ro1TUr3Mq0vfRrxppDjVtRpG013/VM
tzUy1k0VTlhmnOzKy11ppaVnM4cyPJVQEp2keDbyq2qD7WxMxLL+iuRs5UcsfZsxKS6OGB8JI41q
YOnl9JCVrhtvcuTcYHFWvYe7HmG/v//WV97I0sjZzXUruw4hl4Tys6vYFlHGB66+vP/0lQ67TKkF
jdP3EZyAQxEdwpJ99eiVB6997cvf/9jWUIjJO2Q9eSdEH4sdblzOrLUPqXHc/fvffO0DloPY8ROb
FUhuy+RwmLM+gSJH3meet3v/+WuveTGUWQ6gFExs9pQM1e2A3VTYeOS5anGYI/l3wa9BV9c+ZzGq
y46rIE0xJrrJttu01rciR6D2BAJbGjgnrq9d3qw12GJoTz2YwIo582nupmRbuCzeBU4gtkwX9IPv
ZLGAp3nlKyRfJ+dKjydH0E96iL9m/GNOQL50aBbB6BUMBENk+9QI7JMbOM9eIUS+MveRS5P/V4vJ
lx5N3CJXbt7EmPzAfoiS1hl2GfSK27zr4PAYIQ6swlnb/JtorXfGqbh+vbAKtlCsJXv477IiRMWo
39SzAqI6HZB/WUBcf7BVGQQbRZMMWiq4226dIpmgv3RS3FYUTnevkBz0qZR++jbPbP6VZH21Q0zd
+AjnsH9iHnRKuV8Pm1H4ENzNwzT+/FAnXyrozaihK41Jc5Jm0mFadLcqlw8s6Hb5OPwWJL3yOZdd
0D9adimi73wiUohMmpOtnC9xAWnPYI6p1Q9FEUS8tp9HKq68xZUZbSmqhxgSwpsaCODE8zcwRCWh
p68FAa89+7Lm/DGpeaNtMCkwcwrm/pD3EskS3szD99/FyvhcauqnghaDlwM2AHsfiOrtV6vHHXiM
164EVjzCbOkRrqUDd1QdZ6c6VbiNa5WfhdomApNO1p6cDP8G+yXPsJDF7U/OBEBbYs75lXXz3wsz
W5qFIT5mNVLlk1PDzgHVIa2PFpqWnukrb/7fDciWRmE5tkj4CXhygkp2P5o2h1xBvNIJ0sH339C/
p2q2dAkHo6KQLzj5SaiR7RogON+6GTZGBnB5G+YTqc5wLeTXprt/9za2zMaJRyeLZTMkqIgO98yf
DjkUIx/7JYtFB0e4geW5yE6aZuN9UvRhjKThnYJOeEsg9rgsflfW0bW3slh2rE6IP1QOMHGA69VQ
5Gp2nGEsfP+HrNzMsqXLqO+C0U9ndOpZym03z69d6ciTFvy2dvPfLvRSsMwWoUrHry3yokNoLyBb
jc3n9z//f53rvzMbW86gcZrGFPYjXLRRTPz1M4E1y9D+4NCf8N6Eyithsvsmx3SOWJedoETZQ3ID
XT3cvRAU+QSiWjZsL+7SJHN3RFS3uanv0hmswP4wBPNnkfkfIhyw5SysYRtrFfOyE1fmd5oFUeY2
399vh5XBvZx1vZTmtfR0dgKjAUCTALiUdlNAsdDUfPv+R6yMvqWbSVa5wKUy3rRw9E6p/+PsPJYk
55Vk/UQ0A0BQYEsydVaWFt0bWlcLUIIgCYLi6a/nfzd9cqoqzXo1M33OVCoQCES4f/6iw2HXeluS
3pHgHx+5yz24x8zUShBp93RJYfgad7nurrz9/8KOPlop58f8r8PjHLbGaBfiK4LTK/RVghiTzViz
RNNvqVt+r80TRMuRmsCgnHGR4MMBNucre+Nnv4/7vy8+kyoMzVyUe4j92m2nQNtDqnK91nJq9mmu
2iuf8pM967/H9K8PCWkmCX1YcvbNMN4BCbO3mbo2C/14J+GX6iOQMg2Hq7bcB0DcRxmia+ICL4h5
qJFXdvjPXuL89f319mXbd5nyoMVHqAJARe70Lm3304WH/us1DN33x6WQd5kdFaBFW/be4u7VTLM1
Gfr51oRSbxURPQTYfYHcYIJs35867CHzx75vd0O6kBcm0NjcC8dtg8j0xn3xAkfBg66dZ5d12WNl
nABG85DdemAAxIFbpC9SLRW+Krfwjr1k5a5TfnoYFMlePK9aEL3bNeHRDecsjTo6lq8TZvlujLo0
2HTSpdUhIBA6cqGzHj0sFsSaDxozCZWLBp0TRiCoIzRRYAvAMOAzkFkRR7mG3tqN4aBR2+7s6Gip
lduU1GEkpqJb13wBfg4s4/OcefbkGqlTZqsAp9shtq/aoqLkcMioPhpTCylkh7tQ3PQzoF2ae49s
0mrTO3O/VnMa7kFr4D8nxAEedD04r2yG6WFjqNE/zcyd7TwG7U/ktuMvat3Hed/28EVwDAmMF6QR
OtShiqxXOgkVfXpLU7gX4lY1QRdXRZ79UoitEpHvTV0OnSKc7Q2UyxGMHcjtkQYARrmMKGfyLOqZ
l8YVvq8yJoiv+TXynP4Y5AD7hdfBfuVUcGyzZf49Lh0UXIT13sMw9uOq77TmkfZheQqGHNakCgAf
5FDN732XQ2GuRz9NkGJgfqaTtK+imObvYZHRR1XT8oF7jVqnVAZv0zjANBGQokyaeQk3eqymn35+
TjanuGa6UTOP7a1o27mMJTSwK9g+pgQ5xiX0ugOG50vZCuQm506MOMNmiuF1d04Gvnc3tlg0cLpX
fpBUjSSIAq/8Z8+FNRy6SyAS5mn8gajK8CgqNr/ANdWu6CzsbyfPxKoBcwDS2nJIqsCyZ7BDAhYj
3zSEyFOMLyYQ/gG/C3+owHLQUTqJGc2nzltiB1qoIK6zwt3TrpQ7fPfehiomHlpYa/5Ms1nGiMMI
ida8r34uk+vcIT7Nea/IIO4cYTAcla0DrTtn9aZP+dBHoVNTGpV13yVqGCFD7jM4GKQO+XtFiRnX
wuCKNkOxDOZsVYggIemEOCgZgsuwyT3I45zSnQd48HK7w6gxfDDIP8L/sxfGmEPoJx44mkYORNMm
qiXXG87nPKZ1AHlLUIJuQfyiiQGr74qorVL80TRIV8ab8mNZs+6xFmEAOUnV3cGj5fd46PySroRD
JkSK907/Wpdm+ON1AwHMbUDOZDDX4ZE7zFsx2lYVEpOWZY3QzXkfBHjqcjnabaHot6JX6tbY2m6Z
p8Y3ySRoXRUf7opRtDBP6fqu5ziViMIhMdEWHKlwAQ5HeNO+1EA6MyvcfdByGnvW9dcTwp9OGinG
O+1XU6Rp5bi7yli6oogXeG9QcUHpA1ODDZSLuJq6jmgJEw/eafgNRVuzzmfenzIJNMOi4JDjA6hR
xiYhrkFi4M2eNsaxoMkIsyl1Xm64cQcTZ7AmicS1o7jRXZUmeMveqyX0sdXybCADjbgSLuI/urZO
BncpbgTSAFTcj+5w6uDnW5ECSHLbQGkM9nKXbmnRwcxhcguPmYJSeoXYSH8XliXbwrra/CF1zV97
pP5tMRmDBaC3E1shodXAeFUEXZQV2nvuQ7/ewr7letC4pcOGlS2sI/NQH5mwbANqRLFCvQrwQxVk
mPdlI4AemJ7gotfGdATKJs9SB2GIoliSUVYhQESOQiNzHI7QMZOn2Suc7QgXPVJ/RxDbA5QREbbe
chMWQm24D7z0Wpc9iXwS5tGonTrSnZ7QTHDYy+Lo4M6KjP/gXVAXazoDoBGlwvbfpoL698qjxZ3T
9mozhTZ9NZhHvKbOHMTdWJgo9Xtsny6pjssoxoPlVbkFYUOujSR6ldI+uNNBk605mfM3aL6zG2vS
IOn9QB8XocheViDTKJ+z2yyoK5wemUlY28jEwJh47FonOKHHMXeAbpT03hAutwaq+FOYQzOYz0u3
g8EHjr0xeDOt9X8YXPigQzmDECOqXfNYWzkWccqnLvGto/wEH40nZT82uwIQ43uEm3D8mu6wRhd6
WBmV5okTevZFWl4/tLLO751+EptFuITHmlISTTB0gvZaK3ZC/EP6oMu6+1nXAZBaLXwd2ypAJ1u1
mXNjR2BfWI0rs++OYw2HkAKKeeGBfw6gkYecB80paBrvO2eFB5tUVb7Xssz3jgXcpXAxE5KtR3ch
ovNWRCLe0686gfUfyAbicOBsSrAOYyyhZo0iOP01LRgbwxAzDfd9Gopjikr7hwRRZVvB7IdLfJ/T
3wilrZ8sMj1PPu/b21k67ve50sOrE55TztLG0yv443yOdJYBBkWjGhmZxiUvAeDMEcZcsA85i3it
UtstSU6y8RypGSB0Qrpio6uyvEk9eJCnUQKhjfy/FXEcbzc4brbxWGvQxHDg+vIUvAIws0SerGAS
hvogbqHITkCHLFY4u9v3AWdk0pvZYAaOoNmo65tsM7HSj9y0TW9ajlxxB16RX6FYnLWZ3HyzGCgH
TYDnybZN9i2gJEv6oQyeM2RAJZNNdQJ0U35C4HwBezA/J2uPr9KfhnfjtiS2QWV/wRjcmjV8HeUd
Ovvkbeza/oYP2IcosYsTVa5N4bEDeEnGKdX994YpdztlrEaGdkOX4zRLtJ5FrWI09JqjWZi4HeuQ
4EHoWsw2WgWb0SAobp6AbUT1sJB7Hvo5TEng4JRZWfxx/cE7YD5vTx3YKqdqdtx4McBKw+fcZuOu
1KVXJgJU5vlU5/2yqb2c/3BgEbkLYRQ9N4m8VWe6YAd8c/XEPWm3JU9ntQ24mu7RyHHXLOvbFeqs
EqUTGj25LFhC6OQUMEVzAbceKi8RQfOGb81zYQWHtmLYNIi3ukcDtyRn92WFnBq4TxBtXE6PI/qz
iQuQVhx0xtniqoJbWLnUddLDs0pjSXO2JMYb9ZvlJYjVZR802ABsK26VYdgEva4d4GrNMgE5Y06+
D7UYnlOYsWIruuYWWCN+nid6DkxDeVbqVZjSelMYwPqjoS4gJ6zZMtTrISj9nRfWzlbDge4MSOmG
cQ/WXreIR4cgSkGP7QYTGlHF1uaeSoyqmmmN0sh7d7qp/d4sOb/XOghhkVOmhMSyYM1dHmIEbYnv
3cvWFz+mVlS/J+RlJxkOwCwOZwo7JcqftwEoaIkwily/ioBw7LllR8FRLWv3PB0fvFv0dgUcvCQf
31Qxho8DIXwfUs99kH3P4Pfze7ay0mYJnjb/tgqD8KabJdxycwEnG04sijJqDMgJKjZhVmNbWHwd
nViLtrR3YbXo33wgAPiUVNPfZrD+CS65xourfnCOLvP5+XdxSxgPz/FecBKRDUz4eu8upnwFQkod
pF2KpMyA4EHVlO2BjDQwvEtqzkUyA99Pa2/b83GqoyDFRoHuOwWHyu3RkhYVPEmNEyIriDu40jIO
/3esMvRrcJi4zqbpCrIeR1MDAuN7cCl1IX82WCatGvYZ8oW2OOrEG7xjLezIE0yNAxzn36vWB8eY
Bu6msxWkXKztfspMErUyYZklg06XOLVmec8XSIBAIhkh86q0I56ELYM54uWovuWO46cRMJzspiu9
6sZ4c/FcKX9ewe7AYN13q33Z9dWQLIX1YyiGKRQTRTb99tK2OLk2bFbwHYENlm2E540nr1wQDSrK
fgNA21zEMCCWGBIE0CDNDr2v2DBtKsadMIL1eFq1QTrsmQ36g5gDsxrQWATvDPVH3gpyGKY+hTd2
Dl5G4JDuqrAkdznndleJUcKKCeuRqrvw9ryH3gyAMR0mRyMzL5D5sak8IBEqKusDNUD0Rerse5pR
QZV43IbgQLgF3iHzghWQkMOfXNfsMNeq3gRSzz8RwCf3AdbD1pWarfNKqPsq0+OWCr+CiTAU66Av
bMwcGL6LZfF/5IDO3fe459XwjDv2KEWqzwr/YQXDNh5Ip29auAlCD7QwaOcXG7kQI+0n2TR3mPzW
v7vG4nqhSjlHZLTtuvLBqkq7HJgtR2X9Ox+lBttej3nCK1clQsr+WRUVPToa5MBYlvD+I55qmV6g
sYThv87FT3X2gSYotMuHwiPq5DV12h6RzxRumVj0/QQkxrYzxmzahaM4qsKpbmESJtWBoMmKUr0B
RE+3AM1wYuUMooU0sWpz3D0BB3vHjmBgZWc9pu7wkBVzmf12tAfc7UBK2Nlz1PFDqjJnNXlk/t3A
dXnPa1UVm3H2IatWE4qLuC27+phiSAlHd17XR3xIGsae7+HRhEwrwKNvDFBAiA4PVdbtDB7/mHLS
b21ReTEbMNmAX6+Y9zN2w53rhdA80cLARYjo1aTGT99Evi2AudBFWyaFqNonUpA8gXUufwCAIPgR
zCVIYi4hUY43/OB7OfvVCW9+MBWR2waAzYPtsmA9hYzC0tefT1/HgF6g8iHpWY6miMY/v0CNjhI5
AP3RWaTzrQc87ZdEavhT4DgWmOeAI5xHNCMwaPOCogCbs+smfZAjqi13a8QglkPgvBtGOpS7Mzyi
6OIosmp6GFFXCB4FsM1xazjSAT9cvpdjn7MIIIV8RX3PPYjCtbjlwPmIAyU3vols65s1ZXrYoa9J
Ip1TFCai8VcTTeudxY0rh8QNJtiIdCjJlpH4iQhredMCMfTuTi50iXqs1aGeXbNqc1zl5ejSBG1x
enDxqK+zAE69vuF8o0ZorCN/yAJAv8IlAVa5cs/T4bqNy6Lvb/U89nf4j8s7twl6vYIYsoTwh/v6
R764HCg3H48KRAR7j5Vy5Zse939vquyhmud5q7q6WWVs8H6iUQAGSNO7FZiAHYzZVdAca2bSFVgU
QZJO6NPA/O2j7zD5do1SJQzikTL+m+YYq1SWqbU7zepOBQNbL2NdvtVgyhzHEMUb8WX14itc/vUw
yPdmLs3KWBOs7DjOe43L5hRxj+dJH1LnbRlBBkjRH0pSOSlkOwPPBFwAH39z5mh4Y0LrwVrevI7z
QvbWyYGg9VghD+0AmiRHFBfK6GB+DXu06+KsmttvRdOZtzQtpyDCDce70b5RCYiZCic6OjcCx9ee
DFN4RPKmj+4SByFGoUc+CNG8w9g7NmjRgEABJ7wpXnzXwLQ6wq7KMx/296qdEtyrm8RqJFJFQEVY
PB7SGTaLN0wnNZXY1SUKr2lcFL7FptkPNGge23kqvw00hJnDLgO8/QGCMTvfLAftau+ggpLFBZuK
b2QKJkj2+u6VLwAfyIn4R9zx9Z2PP/PdkSN9XbzA3xpRsiN1MvR8fNq7AjPiwF33MsxXwpIBTmQC
++u50XGAKPq8kniJQgX4lTyeqs7bQFuWPXqayUceEoJc1m7ZqXautyAwjpvWALiJJ6VM3Inlt7Dd
pEgT9KdbowAtE3oka2Arq5M7tOECW7FotiOIqN/deaxuz0VeQn1YwsEMJfRXD8rpTd8vCBWZOa6N
WoQr5k46yQwKLWSS57jVVQxfHI5+2hfdxoGvK1kQ6/qmQbVeBy56aZFqSbNieZM9BhmOGGCUdQy6
LrYzSJpXYVDQZHYUoAUwB3oHeIXs2vopoghxAq27EdDCegBS2nR6vIG72suA66nJc2p8VFyTBNyl
Q9DUBnTDMxNvArxwwa8SIJvvgaDeaZJ+NNkJSwOmmVbX6tEpZI8qcvScBzaN/a0oxRwHBRueh7x0
NmVp1LEj9bDWLNebusV9KyKCe3tgfSSJoKidviuUwTFc2arANAml8GJTeZpxzr/RntpfDTCpj2qq
dVLjp42nblC7zMeTHwFBgHdc8r6okwxnKayzDjf3Zd50JzzByyEQbb+mft7ezLD173gpx7WyXrrt
i9HZne+Gp3GmaBEBxephi2lQcQ29s0CS0s1NzHx/2XCdyRUBpgI9NXh4jNuBK+rl7ZgYn/KfQISP
HVaaL57GvPBXCpiZBF1kdeeZwr8BQAk8U9EFcs1646AtjYoJj153I7O0AeLJA54hCwsNh7ib3nu2
zA+ZwHezdkONTxUyRbazs3CWjMhCXIFGrG78AvkfGtiyjW4KjZmHZ2fgUM4VQ6j1dxd8hhXnoh+i
BvPTo59aupvbql0VqN3eCt/RN+1IcRtI3fShq/r8iY7DcIM0JbIFzinD1+stC+5ePVrF6QzvvTuJ
EE5xqXdCA9obolsI3TNTx16YMZmmsntH69rEYQ+wgJ5IA3XSgGjSqVYNeiaw2oKFgju93swI3Ht2
O91ujGDFfkh928borzTfsM+3t/Vi+Q4EvOGAaWlzYHnFT6Rd6ls0jNLXkhgNfCeXieyQQUN1WiTC
qS2OPuPdZSEuVmWqvFcfeteTryhsb2h3LJuQu84fhpyT1ei4+L8hHS1/41DL2wi1SoX5LzIz66Wd
7o1XmRc2emC8jFjuczU2N6Aty02ONt26xX85SUGDWc8cbWvPC6ZTKrofApeBR9C9ggT7VBAJZKqv
Q4BIbsK5oUe3dUTSQqTy6mS+fkJXhx91x70Yj1XNgYBtimk9iilLgrJULuilc3jDC4FWoU8WskH/
oQpXZHLYT8RHD9glhea3SM0x9K4YgCmOCaymD23opk9pK+3t1E7dUwqGtNxV7tz6axds97fC4NiO
XTEsuG2OaftzAF3pLofqgsTuguZ2NKF9/kTkyBBgNzASiS4t9gxXW2cd6sx9gXzeTrhek5d0ASqt
BNgrn9zyEYixugdqFp05vjjgvA457TfOxNKVJihzkpp3kC0trM1WLZ9InA11CLgEeC2gDNX6Wzja
/hEBsxMy3NtS/Sgm2UPH4PvufeiXZzBKkJ7GzgHqB5vh7ylryu9epSeUyap/ntTSBytsyMO3HOPS
LewEFoA1f7k2vPpsQHqhvjKaWdt5CvKEWT/WFKFjAkcZ5jEkyhS4N3iIr0y9BcZhH4wyL2l+A+0J
wJuOs6sz0d8Uy5yhPIeaRzj5gFjnsbpvnFLtQN8uj75Xi+3X07Pgk094SfubrddhdCbrfQGwVDIs
pRu7bjklC7C9SSmHag0kRgUo9WSh+yGsydcdSAIRnRjbDKod1owH1YZ5pUaQqs2KaM75vJG4Gj4N
iranmar+W4NYg3jKO2fD+vLPwARDcZa5xwZm6kOrDBh2S5/GOHLQW1CI2X5oRYHenByK6lcVAJTt
lXkKBHmRL1gUfTOtkNiKPnzptmhQovCjN+hfzQqNeWoQj9nnzh+nrOWfEjXPnSz6cO20acf3QSFH
NGxsu+DgQQsJ9Oxs5deYKIFv06xQpIRHC3LxDeBav1nj2gfPjiGesyq9t7ovwVpjzUvXogIXWeq/
sYLWz00zYdrEcblxhK037oC2BZBPywm2r+nAemfcZE0HxwmZlYx5CB8vAm15zEv7Dfe/NGpD5kXh
zP7NLOSR86/919B1yJAvK/MM4z3eODsb0izJG5yVEyF2xQSAZBi8qCtylP/mrB+t3YsR7+z0KcUR
CNya2zMe4/bQ/+qmnsegXZcrf2x/jQa93mhhHj8AXYBixKIJ8zgEpHv8eh1/psQi5/HzX5+4AGQT
eyWr9kCyrB0OgSRpOvh2ui1GXbjUBfpFDOOqKkpgGf2nr1/1k9H8Jam4D6tapt5U7EFE6l7JglFN
2bj8yvd6/vo++lovBAajRzER4STbA3VUHBZrvHVIxHjLMUHGAK1Ir8rYPn4lLi6+vMUH0U+jCbQ3
CucQHPlnQYMImZ9MIbcPTYn14+A0iBcc6snoTR7wl95P/JQdYvMkDbfNSNLXoiyGuyyzHL2o4F+/
4wtdVdYXjoJuq9kjqPQNHej6dbbL+I8/4IWSam6lN3u5j3vKkiEZbmz9B8Lq4Yok7LPlcXF6BGHb
hK45JzI7VQRReAzA/BXxyX8Snf+7OPgl8KajgWiINc0+dIz/FoIF/UDwELyfNa6A4zv+i+uCYcj8
nG7HoSmiwGLOhCRZdAsKALsUuER3DXPyjT8VCA90Mn2FaPPxicLFWaXx15M4oJZkWTA0e41BQJx1
+WtuChF5ZfoItj2JpbXXwDwff8FcnP/9r5cynl2kamt8wQKwtRYlPPv59ZP9mWrl4tmzFja/bkQX
sw9LhH9RNf5YQqqeYC3nV3R2n735i4UdYgQ2+5P1dziB7hRoNLJcrlCwP/vTF8uaFZXwa43FMcFH
WMwPI3n9+mv57Le9WNHwIGLoW/Vq3y92/Mn8jO/atuL3xYJURYhihmGPSL7unwwP/BIRQ70pSGEq
knsQFoE8PXH8j0VcwcJ8InPkl1wYgyMcNXOnkXTmlICYCnYYy8yG61kRH1xVjHh2aPXJGbENoSy2
KC/SQ45pDNu5mAwNIC8U16zDHyuYMAL834WMOUDdK4GsRILOfhygQW0m81LVw8YG/q4Js/WETf/K
wvvkRwzP//7XUxP4OVj9fqH2krTbwaEPYO27cVAtvzxgLx3Mx69sUp8cK+H53/96oX7WDCmTCOyb
4bwmjdwgoD6q6TvLrqzzz17g4txytBqHqkvB6qwLCCGQUpO+Au0cbpDbKA7Uqmxcfb3wP9kPwoud
BvlbQYuxv9wzdSe7I7M9cJfX9PUf/3HqXjxVxVKhECxae8iAuYMAxWYZuvJPX7/zj/cCeunwEEMW
gtAGg2beI9xTncr6yh/++Munl9YOl2D0kbVNdQBAckH7yEh513cp+dMsNLvPwafe/NsnuFivuYVI
EYMzxEyQOyROJHXmXlmgn303Fwt0VsBXoD9rEAaxxSAXM1PxT88Y4JL/u/Rx6s18FJU5yPKRa6jw
9KMEzUeWxQo9risv8sm6uRTPe9YvvAltlINB0ocDmU4JqYeFxuLr7/3jTYky9r+fwXgLxBXENYds
EChfbjCLcAoeh5C2L3kRNRiLfP1CH29I9DINa6SYdUDcbA6DCZMl3bUSZGLMnBdEaBb87usX+ezT
XDxkRkuWhszpDySUdFfrOd+OVoo1cWyzB1jBvKLDGkIYJ7LVP73ipY69QOvAwJhjDmNXHDsaPg1u
fpQeGeNSVkjjoti3/Cb5+sU+WcqXQvQGngyBrhZ82O0ZCeejOXplk/3k17nUoYN7NWNihcfPU2S4
QeumixEYZeNzDza2GSnXITpm37/+GJ/8Sv+Vu38dGdBzg2QWtOYQ+MCuL2lRRV1q87Ngq4qpQl6R
QHf1jU6Qan39ip9sY5f69DJw6pQX1BwgxFEnVs31ndT9AgWtZOg3mPLfVsPlldxpuzZwpswe/DBp
MThbIQtrWeW3kHV+/UE+WQGXwT+07UaNjChzwNqOBoqZZfHr67/8yQq4vFvPyq/HzmJthWO9K6BK
yvN2m6Ontyk0BXY1Ha680Ccb2uV9WvKwcIAYNQcelGvPQC6yJMzbfP0pPuEJUHJRZGEYgZ8T4W4H
iXlbDCgv9Ae0Ho5QNehdscBl4hn83GV4zqOYhH8HIkezhp23StqejqvGhuY5cJtreKZP+ib0Miko
QHa74qnoDym8ghES8zYD8NFQhczRRIpv2mmfoO9cY/a/EgQijpEt3ZWT77Nv+vKGwNgMGAse6hG1
BnHv9PQcqiuutM8W4sVOi7jvCaYPrPS+eQ/zH25+5Tr98Xsml1deNkKDxt0UAwLIpPzmuSIBruzX
WmYfv2tyeW3t0wwKIFCLMa0voLibtlBUJ1dW3sd7DLm0WTBfzz0LwuGwNN4E7Qe0Bz4tmoPbnkMB
PKvXS677lWjY/OMsj8ThwLjCyEcWu5kXY8zyGhoewDZWkKQwMJKlev/6vX321i4WAsV8RMm5s0Bp
wFoVkK0HgwytoNqg/7QciLhYDj0jZOkmBw91te8gz73mv/mvDvm/LRByeT3kZqaiMPjDQ9yvQJN+
kAf7BOdEUq2ztY38ZFw3O7jInvgxPHQbFV8LOf7PLvjRK59Pr79OKQjKq3SaBCqjo3sbbsBTXuv1
eAMxpnPKb/ShX9c7eTcei4NasUO2T1fiqbnSXvn/lftHr37epv969TL0lyqDjfkgs5a4oEjn52CY
4XlCb5sC+4VKI/NDdceQ49BD3Y4smwjZdAoC/J5+c6QDUb1v2XAKreJHmGRysnJQSKoYIhr4QgoQ
8E/WYfV+rADeBd+6lhHY8Ii6BjpORBaxKHFPCh1N9eLeTxXGcIBpL4lDBghVPEsArG8INldOdwTh
CHBDMvvSaMH+CJrKsyqhfcOQq0m8EE1Nf0TsXwBzEhwa0p6cRkKbIUEoR986eCJG2ng4J+vVGHcf
KlOD5A1lxxpZaNMK44AGPphhem7ANAc+89x8HGqEwAwMqqCZ+ximzNpfB10532hEDa1C3smfXZMj
ldKOGh9NjyVK/1ark4Y2/rF2CwfSSs91fqSgmhxZa2kkvVomswlZD//ukP0KBBHod7QwCjVyOJV+
EUCEgIxJ6OfevTqgr27GZNSm2XIXlDRcLWoZo8WFAniiFomJaTWPcerQem841PlIUTBHhy+phhyn
cjYhsf3DTGbM0UpubmEsg8zWW1S2QYio+4YiL41SwrCmMeU4dG1WJgGks4CYz+q1U2DGN01uTiGv
fCR+IdkTe7LYwZoM34lQ0PX1Q0ZWMyRDLjw4OXocVVBD0ee7QzIrViO4p5P4rxnosle2SN0jrM70
UWs4mKC+zsTe7dtXiewJB/uSRB4lZNThHs4dZ1x/vTN9tiGfd6y/lnkGHRNCfDSi1opniDZWSHK/
Uil9dpCc//2vv8xw/gee04q9v4AsyJt+1ZSIN+r97b+98/Mn+uvv94aA6Y4MjcOcj+qmqr03zFvz
Kyi7/+ruDx7/S4J1Ucp+ZgbXitR3edIgnujHkp/1S21b7sHBn9YyVVBQwv2A+AaFkNSUIIYdeelx
U3Pnbip0lxQKBxHpJ4TPeobdTrKer3z4zw6Ui1sjtEktJGeFPYxsTFGLFhtVhGFiQhDSsrS48hN+
sjguW0vcgch36VLc3OFuCvNTWj9//dt9sjYu8ccezJthNzbuvoVvP6rQUYfov4py0OS+foFPylBy
2Upq3BzzjL5z91yo6oBsg2Xr4z6TLOe0ZqWGA0R/IGHDX7aFbzIJR+jsCK0RJQENrDu79caR/1YG
orn4vyt1NrJK6dzgbF52uXqpdB5J/8q98ZOFcMlLrlEEzh1Ae4dJ37rgSYtw2o0V3aRDeGUReOcS
4oNHIbwoXjInmKD4wSoY8Xw9jcCFHXVa051OtbMNBQJ1o9QE/CfsZ8szTo8aF0eK5Civgg9llvB2
zl1/36AJlGCPzJN6RlZ13ZTttqJQyUCZnW8FEmRgUWvh6dVIReKZPMvYw2U794g5hiyT3bdkHiOU
7sPaCTRJAB+Ur8Jz5j20RO2mhMz6JhRpcaqY725zzbI4CAu10i7krdpzxgRBGeJQUBsmQZfRE4MU
DEK2tILCC/+bdQq2RQOsA7ZQ29XSTzwWsyivXIA/vnKTS1xxF6KidAaUUQhWUqtKJ8ENbt3QDV69
6HzysF4Ci01YwJN0VuJCHHIqJ3+vodq48jR99u4v9to2Q2x2J7DKOkg1ALweqKd2uS/VI8hhOSJ9
IARVayk5fatdsTddC82WyV/rAR19wHzfc1JSVElOv+xzL+xg4cqDDXyXbozsuWs+a/HxQvUuSrZx
YaM1/P8x92VNduLYun+lo96pgySE4MbpfoA95SYn5+Cs9AuRttPMiElMv/5+2+0+nZbN5nbGfTgR
5YqwnUagYWlp6RvGLmDQetzA7K7YJiOU7BpqWYdspOrJlC7woyJ+pF2+Ro1eimVa5g0YITAlMoeI
/xy+jDJ5gMnoIzzFV44OS8N6+tg321wOjq3s4GIdJNEH4TyF6cP5MV167mmo3z43o8hucZcctG25
g6zPlkdrNiELMek7CubNo8U04UYCFreBDUvmSsHyvpYgLvZ7u+5WZuRCpwstpMZFa3fKGLqgnK7B
0vFArwQp1ty9r2+03RV3vm4Er3CcecCWTdmhq7+ef/BSz2ihdApj4NdMrFHSqSNQuV864PcdGm0Q
aVZu3H5fRjKFNh1VHXejirATJK3nllfGidVd3IAt5De4vHnXZ+iS12ECvvWQsyToZvvenpLXyhov
slBds/Sd2Z0uel3BQyweWpYGaGcCs3w+GSf1fGX6LIyDrno9EqD1jaasj4lrQVKs7eAl5AzWo4Rn
38dZkHoljVyYprrmdXqiZU6Gws5fzFsnOoBTDHjxyixd+ohTo2+WmT1YZQ+yGiZTWLKT3RtUu6en
DD6YdESwPT/US19wCh9vGgESBMHNxoyF/0lXOp5dgU7ofjj/8IUYpMtdSyft4D1ndgH4siF0lRoX
ZLSCreTIS6+urWIK2HhcOU0XuPa8aaf9MPONslYSzKXO11YyNWxcxjsooVfTTsxA622GeAtu8vs6
RlvEiBNRhOM3hvbk8mVD2EG9bzx1gesI+SKcslCIb9MnM34FOdrr+pUOXwg9urL1pFo6wugMcR/4
VuR6sPhUp4vpEVVQsONlcgCff9qc76LfDwDTC/GGCDNhA258TOrPtgJ0H8BgIMg3EV0T/fz9/GF6
QX7GzVIWzkAzFukM6RBMz+uMg8ZRQgxipUD8+x4DO1tbXa0JvBBg4keQN4NEXDv2BYW8aAwGHrj9
5ztqqQ1tqwwj2xggmsigaKMkxKazbNiIMs/uJhvutLKHxHaPOtTK9rPUadqi6+ZGcghEyKCpgPfC
7ub29pUxtCsfszTq2rLLKazqMhOOSU5Dwb/L3ehyBo1pi7Ga9pOUa7fhS+1oCzCzCQJdx+hR1bML
FYLwYXKg0BEbyaUJmbH3jAzVS+12YVOoT7TsCA76BHx3fJFCfcvsxF4N9ZOA4sz5dn4/JlQvutu5
mno1Q589qtQrcGN+kaUvgIS/vO/xp4n3ZouYjMoCZEma4BklnhNP3lRdJeTr+Yf/fougurFaGdeZ
asyxDMyxP2YyPhhRuBJBlrrl9Odv3rse3ExyE91vxh0KtijfiGx+DtuBvLOB0ze9acDpY5SGIWoR
sB73CtUdaCteKt51T0P1AhU81ySACWwMSHRNYQkOK9ddbqyV/X8fNIAU//nVUf6M02mWMoD6oTrQ
qTLv4JgsL0nWWhuWuPnOkQny7vOD/PvVRl1tVaeokuJ4xp3j7A5fW0ovaZqh3M7ZswihRfe+RrQl
zaiChpIYmwCqYTuwbFBZBlm4d8cvvBMr1wYLs1W/LIHgcd21PajOMPi5Jln/UCZkpdCzMFt1IF3u
tJxLoaB/GQN2MKF2XgAVzO/Pd84CspvqcDWc2KAARXozMOLksbZpdrQstY8c8yukFf0mJxAvU9sQ
2k5TXm7PN7ow7Hp50U2yNGoa8MhS/nmgFGwsAX5cDo2fx/MNLEjXUb3OSPMuy60JYdyYyxASZJDz
GjJZP9i1i4uZtG/uy9kgR9iks33t2uYDuC4UlivU/GgaZX6rRrNc0TB0sHJ+raJRvSAJb+2mnQtW
B108+txq4Hc6eEMzgGw6X5HwVbkrUWepV7X9XuRAHpdyIEfWzyX8LuytzbrHcBqeQgFdp/M9u9SI
Fh9Q2+dQuYBKdqcgRuGZhu3epAM4nwLVbjD3DNShz7e0NO+12BDXOXWSsTJxyqEDZGv7zcSiZ8q7
lUR+6flaWACrt6W1SQjoyiYKWc4Ufi1L2F5HYDN/Of8JC1FB93PrAOSZlCrZsZH1VwgpAmLn3p1/
9O9LXrjd/jlOGw0cVOKqCOHpA40tC/CdGdp2yahucKL6QKQT9Fn/yvrs9nx7C/uCXtqxCzbJNpzm
IO6fBM4OVI2+49y0DDdq4ul9bZzm3Jttk5c51PQIlH4HMW1Cxf0U+kvU/pYMrgeP5935VhbGXS+X
DoLj2iYZyTFFVR43/bmH7O7JDWdnJbtbuDmn4jQd3nzHyHg9FgNvAjKO0BqEPkXipy0tH2PcV1b+
BDS6B1UwBTUhVmdel5XxjYoJux3Nvso8IRt4ZvOaHyXY1YEL4uW9a9u8gV9MVn4SQmU3kLHIU9+e
YEtfCjdBveqkI3a+gxZmrV7kGWhpFLzvzGNKUly6dxuWNStreunR2qyF1DjhttnTozvZ6ibJcFvQ
xmmyEmmXnq7loygqELA9kyoYY9e66JQYrh1ahysrYCHy6ZVHq6iqpjVxNJewQ3emApJqIgLbmDww
Ulcrc2fhE4QWXsPeLYa2g6GMk6vueoot+yTXtrZDLE19LaRmE8pDzskNGRTBi8gJH0oYEkWzejw/
cRbuTqlegmzGNDFoP5qQFgZAoc4L8OI4lTtSim+kiZKdkVVklzVKAt6aswuQPK2DNYbG3h3rr5mV
hJvIzUA0LfrmA3cr9iChCbQSMRf2Yd1Nx8xkBun4ZjzKCihBiNFAdq9+KEbrA1SaNiiIQ11xQPZ5
vi8WulovALrSEKoVkwyghXEJwvrXoagOUlQrh4CFyWifmn0TYiCP0kPPhZoQRjYvI1iWuR8hjnug
Jnnn+58m6JsGSCRr2NpD9NWBzNeLLTuQUuDnfGRDbq0BrJc+QktY+kTloFMNbVAYl9CX/GCSS8jK
7GFWt7KaFjYtW1tNUZvkCc3tEaII00HZ9wJiI4np+CwuNqLv9+eHeukztFWl2rnM4O1Bj4kCAcOs
yBFfBe2GvD+KZlrZG5fmk5at8ARM8iEc22Bu+9uWQcgJwhNlke3Of8NC3NGrg9RRg5PMajr2PUca
ngFcuCYjvTAIenEQepxx7BJgi2iUbaDm/cVuHek1Rv9aQAHBV5azEn6W9l39GnAybEgWJBHUDT51
f0Et7bgbL9SeBCHSx8/2g3Vv30S35iV0sg/3+VX8mHw+33kLY/OLId6sDOCC0K5RPNQuJHWcZuMk
h/MPXxoZbaUnVIyZkC1gtSp9hor/M1klEC09WlvjyhVRGTGUWBrYPs12cgc10DVfqaU+0dY2pELM
lMQTwHqpKrYxId+g+LbDAlTb8/2ysOq4trbTxoS6h1EMR97l8H4P2XxnZtm0KaeZPUUTpLbf1462
uvt+EvACaOqA1FngQtYLeLcj1Oh2UM9aKR4s9ZW2tk2I7lFzSjEOTetbRfGxYdVDmtI1KuTSvqxb
vbmjC80oVSKrsPq/AMeH0803PqS7JJyv62LcGLTxkZAdhzaufTsGwRWqLQIytp1ZQZZ78JoEl4nQ
ADrfpQvzzjpFijd7C1wDCsA7xwrsneHY2GwfzuPKrFjoSt3gjeSQGZcuMpzejm5KXtyakYGLN/Zy
/s2XHn/687dvbgGS16pZBWUHDJgg7BGSbhI2NGtTYSFYWtqShJ2FRcewwGqfbuz+EkXVg8vCHYlj
D6Cszfu+QlubUQPVrVwWVTCV6isAqkHN5pupy/uV3GFpfLWlCfnREIpeBvLwtN4xcHF4uuYQuFSu
srTlKFE1n+u5UUGT2l8QF4PCNR4jxhq/gwZy3U0fWNQ9NCXZyaJZo3QuDbu2QHkEVfeqMIvAmeUW
tuOXUwvZZGstmVvor18M4NKoKEIc6IKq5FDvEco3XIjPvGuwdfO3fmRsHqZOQUr2qZwANxZfaL+y
kBeKELrTW5RlSdfa2PiyasANHHR6k8/Y6k3fdmfypbW6+MYc7OGR1RC/NmI6rrS7QC6m7LQpvFmH
PYHZWTw3VVBn0OtuboDFtZ0B1WN4J5lkBymi66TKjxJFg05CIv+dtTymrX9oZXZ5OVQ17DhB94QH
QVX7c95vixgSWbMXpcNKcWohDjAtDiTCYXkMOYigBTP5MRLgZfbcYF/KouXHOY0MsLXqNRuxhenN
tHgwh6iDMSWqYB4Cq0x8O+rgFzCvDNbS07VoUFNU1abT07vxKbWkH6Ha5q6m+KcR/011lWnxQIHa
TcsIWxu2Z/5iwO79wJPC/ubSJIV3QRGvDMjSV2ghIKfwihgLxJ2BunC3BplJJVuehyvnuYUQoNOI
QRnvRA75zmA22gvAynYZoyv3B0uP1mouLGps9CQrAhdlpr6Uzz1clM7HloX1T7WNPEsIwDo54qJK
Bns3zM7GBDUSRxVyGc3Gh7oXxn6cXQ4BPeediaVuysUh650NCSokJ+l+z5zVtxbaOJ7qGV3Zvham
lE4uDoupK0HuAFIY+rRVLXe5uOpG5whA+EoLC5NJZxazNLZhYUKGoIK6mAsUrXuAMNzKwxfqHN9Z
NW9iI5+lU2SsLQKj/DS2ECfnyrcsiMA2jwJsP4eurIileaWta5XD3bXJXbTDiT81+YVjs5VC3vdp
/5tVrVOWjYSNZlfi9OBaqtsoYqa+GzPIqLokhmgyFO28MG3HK1ELdoD5X7iDa5f1VLtNB3/Zwfag
Kj95aRtBtYAU9FsOfziQQm1wdyGfdR8mEXt24RLyYSrz7lKZDYQ16gJsIiagv5hkCtLVSPGHfkz9
2s3yRxRh29vzi2ZpfLRI0kouUhSjVBBm+eTFUbyreQsTgOFZtHbAMyIg/kbel7DqJOl+ZkkxTnMR
ILP0m5BvC9gopWus6IVdSmdFOzXieRHGKjBPFr9NUOOiZrScTZSDC0RXEpiFefb9UPNmPk/KsBWU
lhXknZ+7eFclazCfpbfXkggBkZF04JUKjM5n5it3FaAYJ/rNQa7trEvvfgoAb949cq0Qfi/JEKQu
FE1qx/wIqPz2/Dxaev1Tm2+eDakUUo3wwgkaxSZvGFMI44MY47UDRKxDy7qCBPLD+5rSE4Qkt3Pc
lKoAIADUo2E/hEmagTPZmYgtzfDOkdYiylDalVtkVRl0WfNsiGLHze59m6DuYRUqCEIbUG4PpqZ7
6tpwlxL5vvzm+0nlzTjgNgeSty7mJy/naotCoLm3GRlKaLvLcCUgLmwYunxhDzy1CA1stCbULWPD
3TtlcxsV5H0dr6sUVlRMccKA224nBjMRulH22p3AwgrQefnwaq1dt4iGwGmk8uOuLx/BHElX0qaF
rVrHAla8piptsyHgDYT/pNwqd/KSXHlJv2ZyuvQB2hKGULjJeRFjm4PRjuhOEiCZuZbMLD389Odv
5g6IfYhtMSiG3XTPXOm5cg3uufRkbckqMJq7Ok6wywj1GpYWB0lVxOMa42JpQmpLFR5lpG1NB4wL
LuurYZyyByCewqCv7Gyl8LnUhJbZt6oTPdy1QMTroiezzzYDlpqnOjiwno9qS12kbcQuD7N0Ijh2
43h8GYfdgyP7r+95NNEBflDnH0IDBsLBYMMXLCv8Zi3a/P6liQ7py6IODiiwWAlA+oUozehJ+10x
hugsenDI4V3UglYJ7cEgwc2V2biPImLb813y++GEH8PPUz1pmCiHHJBv1mGDNcPH/AT8gYT7ymj+
fjskusgiscrWlj2IkdDn3eb2azaa+xneQAa0dHLwgt/3FadhebNgbQnYkg1ZrMDo1XVnWAdYDz1n
TfSuOU90bJ8J0y461VYPthqMghJ6yLqjkGsw7aUh0BatSsZsjuGlFISVBKecwLBdZfCpyNWaysNS
C9qalT04RbDiiQJSJi9xagelmX6eKnl/vvd/H+6JrnXQdFMoOokPaMMEzJYc7hK2ccUsB7qz3cP5
NhYWmI7ki7KwyMVYQXyAwaCu3NPRXkkUFmaoDuRLIEKcUIon4xb+voO7TO30d20070Ns5n05ziu7
+e9P5URH9AlmVVD0JH3QU/YtnpILqFbDEoclN00r9nC0QY7o2jCscuI11OjCuOuAvrHisAkIgY2o
sPH4EByA+1rXEW+IYTRyflwWVCGgyvLz0stgVJ/BiLKFes0gIYnY9seoKwA6c7smvGMJhOSV+jBC
Ny3bQLAfen6VccqS6g76/mblCuKHZgKxhtDmJhwuKGzKjFolNlBTeXkzwdzpc2SaCh6tbDYMz+lI
ui1E3DTQ5OLvjN86LgAGszN8nUYIgtDhgRTuTT5Fd+d7aGEQdEwA0HKuU0PxO4gNemuFzkXdiQ/A
623OP/7351Zia6FvFqnb5rOJ21Wz+xgz3BqE4XXRwCKS8dMJykq/0h7F/vOtLXyMjppsJ/hIThnE
1wjrJ8+R5FHi4gpGS2vHp6V1riVIs0km+NOiARhpiRJUj+f3vbgWZAHMToyi5n0w08sk/arSy3b6
ev7RC+FP52MT6DnDQadpAvhAyMojbWZUXmsCrQV4HARIQNkyVwZ7qXe03ChiJuOTmHrcQzlePV7P
UNo//xELT9YxkQ5q91FN8OSq/MThVLy2dS499zRt3+7MtRGbQ4XZP9NqG/fJFYOj2PlXXuh3Hfto
uKdKjZPA7GYeYxTrso9NWe15AmhcUncrUXthwus88RgurVWfZuGxAR+BEvMGRlI7Gq3Vr5e6R4ue
UNgtoKAegVZpq+Qghkle1rjIXHn57+b1vxbsiA55TJhb2n2jsFwLJQ5GPMceHAUtH4ZdyDQmuBgk
c6gMz3CMGJL3Gdko2hd+bmfCGyCL7Sk5D88DLqU3NZTyPSdkuI40zHJC/TI0N5Zi8sa18mIl0Vrq
Dm31x0lVW+4MXSazlfJjmrnpVdelzV/vmzBaDCjjpMnqJOqObs4rH0Iv0YUxzN0mFhbMLTJoUb2v
HS3dIlMKRaEYmwksjECFFgC1JO7HCY4aGwMX7O9sRY8FdT7myEn7QFQfOvEKyVk/qS+otXLuWBiK
X+CmJWiytYGp01avSfrZLd6HYyU6kxj80sGNINgdODxAEuDPbE0efGGt/sIinvHGczUjIDjFY2qS
FqJO0V0a8o/nx3WpS7TZOZcGXBpxXAos8wZO5PB5WTvzLr25NjPjeeZp3Xa4eWjhGZZ6aZl4TWG8
b9O2tfmItA/mzqaE167jbJsx8ZhJNygrva9XtHkItaqoMUy8OwwsvMG4Gvs1wMJCgNfRb64khjFB
6iowIphIGJM/D/VWpXdjsbafLvS7DoLrJEGK3LZDYLcQ3oovyQnnPa2kHAvTRce91WCwwa+pRTCD
h2c83Zjd0/keXzix6MA2OIWeLHJwkqiN/tjG0icNTO3Ke/jibuY6XJk1S69/6rM3O7fboPTAbBQe
RCruYcDt06b4cP4Dvl8D/2Zf4qc23zwb/gBDlU49ikiwNLI8uDOZnioTazPCKnAzKYJ79bITm8E+
+QhDL1LtTQvGDFlUp5uYVuTgRgCZUJdDf613oReGs1RgNFV7j/v5xlPfDY4mcBUSp3SuOZ9k5tWS
woID+s27MI8dREoyXIuT/ReFHdlWwGB9kxcuMomEfD7/nUsTWFsaZgpUTAynrwDOSQVcTONd1zkP
PIaTL8Px/n0DpSOohbTq/BRUjxJeAypBb64hgRf4WkRHqImMGe4MtuQRnl/x1wzScpGfvbbPMFHM
r7NnJv2w8NbwmgsTTsefoZIuu1yiMdgWQjD9PpxXONALw6Cjz1LaAqgpIUsNeycnib2GF14Ic4pi
7DfnB3rhbG9pa8WRqZEqyvJAtNHXtgeYVUV3QB+nftJCFzDKLtrauJJw0znf3lJXaeunyQf4sSZY
m9b0bNUXZFwLuQsB0dK2ODmxRg0cMatyKnfLaNt7FWvHi6JiaxWDpdGgP6/9esib2oqdLCjy+djz
Yg66emy/cVArrlDRr1aGZKmLtE0v7OPZdGx4qnVQHBp79yK12rvzvb/wBVzrpNLtOHNSyNHAOZV5
udvet1X70M2gvY/Vxfk2Fl5fx9E2uWNOrRO2uMZPb3kbvoDBsbIc+MIgc61rphbbam/XfQCnwclv
rMzaAihg+FwMveWB3JKHXgyjHb+Dae22g939bkpSp/NseGwCVAUjPriTqkdYwZeXIoXvLbzkYNsc
Q1Kzgbz4hwJUq0eTU76JenhloVfqnZomBzbfCuAwSaNd4ibNY5Sr9shs2sI5t3HSGHqNpPxmqZLe
z3XT78CbED3sWmFCWYaT3PZqhAEVNg+f45BHiydTGGGx73NbbAD4NK9h5NhcVKaKd1bJsg+kjcxv
RRR1TxC77G8onrFvKzCYYXvhHJC3hPCuY/wGlua4vohnYJZXYvJCVcbSIn9FcJkGVQ+UMbjd7aN4
7B7HOp42loWTKYBvEPgeOtjsUreFGe/5KbMwLXW8ojIim4YujtpjM8DaQxLcC8O0YR5fItW/b1r+
Alts+6zpJVKyiaSfExJ/gen12m6zkNbosEXszpMtqzkP4Jyq/MKQD+WcBXEpHgbVXTGYJK501MLa
0mGKZgwPRdHiit4aI/g69YF0zPflfDoSsaugzqcSiiPIUG868myGn88P7sIOoyMPTwzieabQq4MX
nvOaszbZwYEefHn4995W0Nj3m3QyvNSx4WbOIro73+xCqNAxiL2VUBtiTxDYr+gW8NpdBDfAaFhT
M1pKMBj9eTPoQQiwEwi24Taxl5FfgbKxbQvbuRot+Ih2IdzhK5Mku8hR5fXMQnFT2iSEKXpSfJig
ZXMNyYjw8fy3LmhUEh2ileYNAPlc4L4dHrfbvoD1M2BK1cmuczhMpWVvDETjbQXU5LbKWb4dEoMc
OIzsoT+smk+RFMW2GMLs7vwLLQQR/f4/bzoyDy30e5pMtZBUQ5XCtumBZSZS/rjNfOXUT71sv55v
jnwf1d+k5Tpqs6ihwQi63+kmqokDI2T8cnaYyj2nrue/TPiUXtSxC9m+qk8eRyrsFycXYAeyCaz9
zVBYiS/nAmQ9ljOxZUlXBWao6ouOFuGNcjNzY5pM7PIhr1/gltVfwWZTQM3Y4oNnm1Z8A0e9dGdQ
t/gMgxKWwgmxTy4zbkgv6ub0Ju0m49KqY7IzIIJ5ayopbqfSFZ9HIKn3IIBOLW5xDGfDwfB+huZD
c9tVCd+2tRw+hnaSPMZiSL6SsYivyqZ3/KitzX0yzVHt5SRPL0FunO+tqoR/n6qrR7vDPXGEWfHq
SCpKL25IdodrjtEfinkEtDiagHcU7KabE+alqJV5BBLn11xFNkw/o7rYVAqltLKEAR+qz4mvZHVd
w1T5Y1IOZAvzcPHcW/Arzy3Z7SR4+hvV9fa+h8fMRtSk+2tOOIeVrEN8Xpvcn3ohj6lZlD5OgZ3f
JpApIPmE/RPqAldDLIxXEXK6j2073BgQCrscTB56xYC+L8qaH+IYeqvAzIu90UXGZ7Plse9yHm1o
auUd8vuYfnTgCbwbirR6FCAzehM34cxjA/iDiU8PkUkiv8sAXwQML35U2ZzD7bCYblERtIANIuVt
xhicMuBBuWeSyU0Dm7wtbIRQFQffJfaYEXI/h6FdUDL3W1P1wx7u3fXGtqvmspTusBe9AP+zkflf
c6Sir3lBa69IB+ANY5WtAUoXtoHvYeDNIXRgoCfUlYsyXWwml5TX7IqH77NSI98D3puHE5jV0kbh
6OdSeYNTLZTUymTHSuedNzHfMfhvGhDm0NZ9MbpHt7zJ85tYvjrTSoK4kEjoqCyztJnsJhhSpDPE
yqFQLqEaPjrlZlgj7Cx1vZYe1ZNtgXCOyDZPCsigJHUvsKL4Stxc2LR+gWUlmFsw4YJcJDc3jsW9
CNxYMnL/e5z8ry/j/4le5e0/A2L7j//G77/IamqSKO603/7jQRb4779P/+Z/fubnf/GP/au8file
W/2Hfvo3eO6Pdjcv3ctPv9mWkLWePqjXZrp7bVXefX8+3vD0k/+vf/m31+9PeZiq17//8UUq3Efh
aVEiyz9+/NXF17//wXFXJYTrMA7ErokxON2p/Nfb9n788OmD/v6HnydV9dp0svzbRZu/lNhn/tnM
4rNeX9ru738YxHT/BPrGJtwSDoe2ALb94fV//ooyy2YWc2FGYp2wY6VsuvjvfxDzTwb8C4wkBHgW
1DxtT61UP/4KEjnUMk3qMIcAWvDHv976p3H897j+rVTFrUzKrsWDxekE9O8N8Jdu0O/qXVCUVaKs
9EIVASyWPUFeCzhAW7j3MOLSI9N1JjZ02Ey1P82PdbQzy60LfXFA6mOfh8cc5DOJyr/fWVBZP4gv
me1Z5oVr39X1rR1ez+4eUvZWfhDzk6MuU/E16aVfIo4n3Zfa+kCsyzB66MOLGNbf8PuAOQV/SeJ7
J7s21LWojjUNWvtWOpdWetu3QYb/Y78O5uSmHfeOU/p5GBDSwELjusHuKabZn7trYe0jA94b2WdR
HsLwbnA/8uRGGq8ZOFnKum7mCRiExiv7XZVfFemt1V/YZNeHAZdbu3wYOayHfVpvjPRAm4t4eKF9
7TUy9kiIYru6K6b7mD3McP7Knsj8qc8uRHwVtoeiu7CnIBr2DZ4z7OzqkOZ77l4il/Pm/KPLNzTz
oTsss5tx2tvJzsKhzL2E/Uya4wLiMMZguMPJ4RY6S224iePj3D8boAAA9Gr28Pu+FfCrZwfRH5r5
rw2PDvDOPv0nd7P1FI8fVPZQDaZnpEFRXJX8urHu6/Y+zK9SKJhB0STbxs4WTsYwWMrmTZfuJ/vY
GAdReTS7gjgCrfb1D/++/w/x439jaMASXY4E16cV+tqUf7t6aZKX8uVHPGh/Cgh4wj/XP7HsPxFd
EGIcx4FcwQly88/lTyzrT/yRTYCxcixhn0rbP1Y/Nf/knAlmmoge4CycnPf+tfqtPwmM2hgCl7At
2wIq4T9Y/T8fPx0834ZCA3WwZ9sOlKhPJ7A3GyuB4bgc4W98mxkN25gG+SSy2vLT0hReXZYnc9e2
+OdW8tNO8jbi/LwPntoU1LZdAsNrREOiV3uq1hElK8lwO/eq3yVmOW/iuihWDu0aO/N7MwiNjEPy
nlgufmmfVqX5UFDS3zYkLi/jtDjMcTpu8tmim9RAETFuaXSVDdnFWDr3AJdH+zez4kekffudGtUZ
bwDVOADEODi4hHFbN32UTq+meZ6aW0dC5tSqMnc3VJzvTLcfAGHnGUwtT5dTcZT4Rd1TBJJMeuAO
54eMNNzjdjMFKmbZFRKsKIj6KvrM7H7tOv67jeO/N4DTewrX4uCVCEA0bMfUSmTmjKhvA7x4m7Iy
3tklUPy8jIz9UBb8MNO5h5jzDNS9y+rrBAZnG3OunkEHTv3Cmr92SCW+lLRj16nZ1McizMcruEC4
0BsWoD4i89xXkZPuHPg4wHNI3Q72NPxFWOt4DgdUOm5J72edWX6y0/F+ZQhOudXPn4YrOcKo5cCD
CAKOWu5VFhOqf8zKb7mbWce6JKMvZg4dzSFqfbfJTWg/NMO1FRbDNi4n6Ku6+bg5/xI/n2hP3esA
KMQsYlMKMUMdzSdbe+AOT7PboexokOf8KY1ouWVAQewmcePCXdtndhOvTb9fvp07sKjBL4bBo0In
MHWm2/Z2WcClCNB6H97GT3kMxaw45cYGzCX3kHTxPQ5QqVdEWbsxmn7tDlZTwcCncxexDzGGI865
jk4lL4kry9Qu3RuRynYvIsPa4HAt7qDbP2ydUOR7Mt1bUXrTUvgrTOXstQmMbYii80YmNUi9rI53
Tp9PH7LGOcRJsYcyFOyfOvJXl1NkHB4k/NwVjM0vAYq7NgKySVHrsCnX+QIZvEiHEQfzmyZxxf3E
h37bTXW4PT8tNE84dA6e7kA7GCGcE1Po94J0lBJFFGe+SdLiYowUeIooSEDsBjSxjKc70jXjC6us
z4kSCFv25BUK4jHn3+L7LPhphdgETTviND64CtcRoUbWxGUvZ3pTstC8DlV4JVge/tV3rnPbhRWM
ymoGgC4tUsv2UrP/zHl9KrtVJzplUWfymfOruHUH6c/NEBkbGvbimg/FJ3gXxfQQd/VpK7GaT7Nq
2Ov5t/81xNrAlloCPDkH+9gvzhaRtKBJlrnmTVzwy8ZIoueWYWqlwrJQ7AfEK/J6BWANAAfySiSW
CL0RDvMXoucm21kxztfWFJNPfICLlAOCS+f1bIquytCc19bjzyfM03hTdsq2OcPWDidzpAhv91rq
jhksoPvuhqVFfUc57/ZDHYoWRsCnGk9kgNZRCpgKwKmvkFXrwedE4sDYO4i0dQo/4swq4WZUFWl3
YwhW7+KydH9chv1HidpVAnesVn7r9GPcTye/m+q1vO+a19fu6qXSf/J/YVZHT8afy2ndfVJGL5Vs
MAX/fbD7/m9+JHKm9afpQuXwFM0RxU+HtR+JnMn+5C7hpu1yDLM4gSL/dYz7E4c+/DCOfw5ulAE3
+3ci9yexQcLCX+H/2BpwwvsPEjl4vP201eG1BHNPjbuntcwtvUaCSiSvkwZoceWyL7K9HTJcU9Up
YmrVG1spshz38KlxqUBV3lqTC5/uNnqkZuGHcx1/BUX7YMv8W2mMcM6puQ+zVOpbQJ6nwA34vZ1f
SmEdZpJvqwSni0iWPgo87QYJkM9U4UMi1nciE6YyIi+8YRYXhoGqMYdm74gLMFDGUJArylvh2NeT
4SQ+c5DTZCY2f46achnNvmgEnsFgNp+LHbKHzalVOy1u89DY4sLqCuVDv4UuTM0LHEGh50Ds24a1
1c7O5X3pzrkXRmpjZaDmquo2HsXOACxCtPknBPxDVogLU+DDoaVxZU+fu7rYslTeGg6OiuwOPoOb
JK1uUeu9MO3ClzE/jNadjHAv/H+Z+5IuOXFu21/EXaIRoCkQEBHZt057wnLaZQkkQEI0gl9/d7je
W7ecVV/53dkbVA3KrkyCUHPOPrsJRP1MZNhXZkRUlLdE6jS6+MRY+pPifd/DdwvAI2cVJUNUtoBj
Kzu/D+Rd4qN4vromICGK8JGwLof3do7fR2R34yfeMYKEg+IxuCK3sBWpYOqBrnUppklVCqfqjlT1
xD/7uCp39NppwlTOavu2DpRnotmfpNcBMJ1uRA82eQsfwA4vdAcMmbZBNnkp4HTvE8GXgSeiq/9K
ffDNyaOaH/vhkeALFen6avyHmiCdHr+YNbSKR3oVUP2opqFI9u9GLF+U6JD0UAdZONIjIlRzbIhy
YvZt7MG338YnD2F1/qIOLlFIM6WYqOKbnojK4sk7dJIeOwH74L5dbszcf5HAYC8a6XM7BKcBa20z
U8EWVtItziVghmHFd5C4V5PKw2zb92Rjz2Iirz/XjYrw0/B3EvTj2+CdTUMfehqXs494Jgf53RGo
bUVHPCU+LfqZ12lkz2pwlayHgwnCSjVxZax32ILlpk8gDhw+BY2uWD2eF3dYsAOWNDl1jag8U19Z
s5MMoR1Vu9FKDipPx/2wQi5Xp/3TAs8PpAce1lHfwNf5kM7N96jnLBsi77AipFcHcSnnx3CbEQMo
rno4cYKWmmJMb8p6a6KrJk6GYtgQtrCtbC9mabCc2uRLJ6LtMUJg5ylm3XU3m+Rp701y3ePP2Mgv
ZsxDgjGZQLgYaWihBoyD7YIyfhRJgAypoS+WIAoLO5u6xMX9WXP8Ne2rOPv5hxiI06Lp5b2IpKgI
GyEFT7Sdsp04ga9i6/NOz2/csT+mJTRIhozue2yczPrOHlrHt0dwVu3h8kAbievTEF9WQRf3+br0
P1B/4pxBhXrlMezdMO36IoEwNW8p7fPL9P0qnaa+ijrWnKAKGY5xPYhShIFXNb13lFDgdZnn6iJF
lXIM24beI+gpeQLVyRzQdBWpYyWItIVM94ponauxKSFt/xIjdLcLZQ7v5Tet+CEZkrNyDNQnlcN9
6MoL9uwv18U/9Xv/eALD5xktP2HA+T5c8F5DEegSrUMF3V3ppY8LC2Dz/Z4MXZ4yh9cgH9UGDMfb
Xz32Ozal/2GS9+cFEFK0ugGcjQhaz1/ri7CLl0TNcqh8FlUd02dIcJCrqdNSAJ+rh1plompsCJgp
KZ1NSrH7DSCkyeaeHsJsc+YMzn2Su2kOYJEif0g5twVyMJ+X+YA0xecklgvoD8kt4MLq8lNakH5I
9+zV6kz5+hC75k0T0KViJC0j3Oywb+qwjENG+kBB/9I/JWQoEUZ7vhzLk0pPU7NkiitQBeITxb3k
LfHXTtnrZEFhhs172Tj7lJx69L964RDWbQfCYOnZxEeMBPJ0Ft/W5CVdct5gcqeGk+RAuNzjRfyM
7gf8p/mdh1Hlw456AEoatzEY39iGtM8SyBcb389QQ1azda96HZ5YKn/QNrpFKXfLXXwb8uSa1cuZ
jXuDLnghhYFax+sQkrGSw86QzzTBLT5wLzi2TotJEdq2T6L+oeP05HBce0134BRnMaDUVb1vnX66
fCCKizWJzqNLXWa77nqy/edk6GEkcRh2ehvY8azDh39foL8WoH8uEPQcBJATdgZWyq8LxCKmks1g
B1btPDrUmh0MLdIxH2JWkuF3NMCf9cb/NBZ//raEQGSJ7sKnyc9Ev79AS8Q2y8z3dKjiIbmF/T1O
Penn4NM8WMKxB/VcGROXXkQOveO5iUpX/+4T//xIf3+IFFhZhNY7+igKY5ZHfdrEQ7XOHbqQ5hhC
PE1Mjaqiwh/gGBp+fqGX68y410WpPGnDg/IG5OPF67uGp4ymuCw84DTJiou0zZpkBKsurMI6rlZw
mOOoBkiO8yr2TsJDD5Xu98Kux0uBAM43APV1+BqEb4urEUke5jFmtsHSrzCpea7hDj/S3Hc30TQc
W/E9it4R1ntPKOaC6gJU8d9Q3H+iTh9fCaOAfPCloAL9OKzrAS6KhQxDNXt+NvjkFHKSu3jGzbbn
EE8dwFEvOZBo8cn6Yxlh4B8g4TZEyJDDbdlcubhGMYaI3jY6Jqa7tr4gWNp9NXAcdOv3yVsfw/vd
F6CckFtQ1B83xN/++1L+abHz909xqZ0p4NPLDOSXZgqseiKjGWftDLsJhA9eI+enCqLusyfig1XL
sQ+Xd39NrxR9Xul2S2LvSEbUsFPwFYMNnAKtU9WABlXb5CkYp1u3oOb0l1NgkptL7QmFbWEF/w1x
/Kcfyd8eHFggBj4AJZOfHe1ftkWoPUzDqRuqYQ7fN09cUS/J23TPAh9U1mFZVbbh5Jy26CgYKfx1
ujNGH4BN7dna+5eU15+Hm7ZzlqLI+M0l9pPU9Pfni9GkRnFCyEeJY6gMsChuhwq5mygep8KHAhXM
Mf1FOGQRJ/I69HucwcltH0XIjPErjgvER+k9NzjP9/CWreFLbEmp5/s2wvzIPs6yO0TBjDLMPHg7
Yo1H8ep3USWJOuAyO8V8QS7xWIElATvyuRiG8CFCipjf1gU4Id+WUByp+P7vS+gfDygGJSoB7BkB
/f5wX6p4r2XYqaGibfhwqcYCshyD+npRBMnTsJJDntzSrDeXGwWpgsedj7+DJ//pRGYJeo8wTFE3
fARfqNYYXfp4BO3iXJMUQzOaj+79UmX7jbjyrTqgFfluPVqEM8+AGb3RlpZz1P24VNkxV/87VOpy
bGOwiMEoRhUUsVMfwWDEWPYLvDDxVsj1nphHUNbvkzEuIz3cJ0PzHYotlUmM11RykNFvrFH+4TvB
b8e3EWJeQjDj/FBCrSaovW2kWH0oPBPv82BfaI8KMvGQ4Rg9oE9Ng/GIMJj72HDYYfxOXveTg/Xr
8v/1AcJfzxWQglxnfFwYch/zvYMXakorjd4F30oUeD+rmT4OoAZFRd/ak1wsIj4/dzHarx0Gz9QV
fXy3Yz9jy1Tj+O1y6vMQHlBY16lEJoa2lZlEvtnkth67w4B6KW3R6q40RxHM/sT3/ldwzv/D3P4/
Ij7/P+I4F4+3/4zjPIuvzcf5fHD5X/4vjEP/K8awyydAO7H7LwfgnzAOS/4rBBMjACjrE5x+l934
P/M4rEnMcoCvJIDvLjOr/zOPw0/DUiUMh2WAKgd7+X8D4/xtA8QMCcHABi/PFyZ/S2ohetZsd950
lG2z3dNgmW88KjFo7xAHExZahx6vJgpNWZ5Sghl1FIFWXkVN6CHYedrSsFjHCebPf3mF/9Db/MrE
BCSDO5YkYBugtwIs/lF+Cr2gWHrkMABDmWuYVzfoHYp4Fp4rgq0T13rq9Y0n6ga7AXjxfR8QyJf+
/RmA1v1lloMXT0mAsxoQKqBeTEwBpf0VP4UHxZwsMzp47nVhDMSG2wQzMiUvoV8EH//ff92HAeLl
91EMXjE+xJCSBEDvfv19krEt6I1IKqQD2PmwJOGbRLilKFTjky9r0613qmYNuE4r+AyMSvQs0+xG
dfzNg1zOnL+eSXiQ6ILRY2GmMaa1H4ZYWgL83gJCK8WnYS7axEFbTzb+vZ5q/5apNAJ+1nJpsobs
7gvx0GipcIfr8DwhDBdOrgtyy+LWJM1vlsXllf/yZIC0MbwGNR2DHkDbH65QbjBWHFK5VFHK1hp4
uoij49iO/e90WR/XX4I5TABQM0FfjaLv43fvsz4ELGbgpI4U0/TADYn8ctJp8Gk3K/0RSIii53aa
eTF4UYcKY+rr35nHf7yskwtOi0uJXSpO9rdZQ2BYU0+uXypkeUOR3kLxAjTBbUGxmjHkmCk2wW/e
L06pD+8Xh07sY7IRscss78P7XakYA+STzWjblf7crqpDgjnM2Ic8HSJ6hX+ggktFOLov/77m/v5Z
cZJhMoSBEFqS9ON+35oO2tJtHqtw6ghE0BrmrLn0Yo2VpuoaFFX4dv9Oh/P3T4svF401hbwNJzH5
sM77IdmjNSRjBQcJcQQ3x++ydpErUsBG/T2IB5Mbiaz1P6/I/8hHuOzjXxcxqF8XSB9Uq4Sxj3kn
HFQFf55aKBc2JDlD5DWPP5IOK6raWt7MSJXSCcu3mad9yZIpiKt/f9cQzv+6j1LgRfHl6kC9g/Ud
s49JSgJzIJx4SKHfkNmW9fX0BsntiBCtgdyIiYLOYxD0OuhL+l14hKU1P6eYsTcF36iDZTsovX4c
9uC1OlTOo7EnPvnsaJhTz1JI/27cQOqxq/zWJS0/hH3YHGHtux6CeAL+Xzd1Rkc1FZ4Uwx2CKmoo
4LaOglJU67ZIp90cBXoVQCowMQE7VTTe150p9ItmxWbczY8AQpds9cFydWFysj4wnoSBOMAlb46d
gy2XTdH3IsOjexPaiVPgwh9mH/zrJNxhYyyxo6a2TZ8kifcyNlTcKYcPTri451CtzNiPpybliKCz
CyRzBE56X5DT9Da5Lios1CDXcO0b8x4qSlMElsxZHELsYObpyOoZ4cFJ53G0pyS9RC0GsL0MWfsE
Vm9isqAhSxHMw/rm9mY8EByjhYK6sHQJboDS25e+eeonzU2eWh/E7x3zQ91lHCgLG3PM9U0iygF8
brnlrIcfZbZEq8+ulilFgueWmnnpM5VKhRQpX6IFhE0zdlaLOXzfaAjnetgiRYd5tBG7T71x2+AS
2qZiSvEcEwYecWJ2PA4NQAtxtdGfJX6ivibRGkgBm5g29W4U9EHGZIgP7/f7ARno40EPdJGfNgsL
sKNiElk4Q7S5e9stflzpQeDfa6Lb5iGiAOsxW0f5+6Lg+BUj6S8aZNnEDhd9MKcLSCFgyi7APmKy
TxAWpmDNjrlJ+zYs/ryRnT93PTD3lUQ/Ju7jx6KQjpbH2vPxQ3a47X/mG8gKGYyeo5lkfkdTsO0U
wSGmOOJos7aGkr1QM8NT81bjeRFZhX+PpOVYJEY2wCqxhmRRdykej/WgSbeZYb1BApnlmETc7gim
1nm6bKAyyhhSrryOHdxVnG+W6HMYd7DiqYPQbgVoiMPxkgM9X0fbaEyhR4+mtxFME2W5elAelGYk
8DqBh6uz554sWMukG8E9VqPVn80sU/9EotCseYj9hheFcmEoJPhGfU/mElQavuaJQ/pegfHNuJ2o
36pH5NOHqmDMo8l1B2fRulypmoI7nxvnPV1itZqHJpqjqdxG2fXfILz4Y29ayFEntkff/aVx7MZJ
qu90TNFWr1GCFYd2dmJFOgC1BIt9I9+8cCLXS6h5YSIrfkwW7yqL9dbwgg6RxoRvHkFDVi08vpFs
uqUYHMl0STICH8a3DpoqiOAuiRBRFyx57JR3MBvMj+BHTC/nkYiJ/Trz5hKPN4zJdlSEOGDEArC3
i9lSlyOhe+4ZRPJiCDG0yb1UGD7QGCq1OzcsTQc9ob/DCqSdcZZZWmsgct285nMLi7CSKoYwCp3u
DhAysgRXV7U1w2KZ2CDAoKJNP2aTpqk+1t0S3YekNxqu1VAzFAEj2xd4r+39EcMUxBYgeRhXmA6R
RZthihDkOloJhNJUbDjRKdgySES0Dav6DqqWEgyMpL7iyR5S8ITqmhfYm8FhxPjAVEhqt7TwXTNn
/Y4obkxSoZ6ZwDNdSDP11x3ahRLSjPoR1ASvZHTo73zfizFYUmubT9TvfvTKCvj6MnkX2Gi93hkB
IQo7V3xfUjBHXgZds7bAS6vznjfekpPFx+tppskeB+QD39VcCcx12obV0MYIBq4pPFKzTTXDmCGh
msX5YNewNCKi79vaX/YSgjZKtnfbwZ/r6M4BRbtS/RhlHW1OkDuMt6QNWeU0LHuzAIyEo44cjNmk
q5NDF4nwZQ6DGOywYH/APWqPabQCR10mUy4gyKgTgW8f5LMpz3qyI0Mr7j3Qg5s+BwgylIta15OV
ZntvxAb2RY/QuDbt+c3g75+ID/djmLKPc96EfYKBmt23au/0+rR0oGnUG/qmXICYMVXpMs2wpttX
TFZbVH4WhRGiAK0Bk2zylv6Es0/2BwmzZYdzikR/zGhYMs/GyVeYmn8iNl5uI72bk6AwDKc7Zydn
5vSwexrSDDtGk/dVeTWOqItPhQUPQxzSjXGk3HKYjN02kZc+wcyV3ku+40iPpD6kS41gzalJ4vkq
5D5uUCXV/cZGSL26tmVvUHpbcHkHxTHE3rCz8p7x9npdh3C6call3zZL5z80yi5wo3hjs25K0oP2
rF/WppcnigyvFN+4Nri71HbqBt/GGOova5M1KYWYf/D0wzq35og7wr/eQn2uGQlwcqakvW0cuCes
VU1GBoAb69LSe7zDtuBdzDFhVbio26Z/YmHUHXYyx+ct1uQ9pJcxJxP49BlKBq+Absy/D/tp+GPV
wXbYFoPkgSAcI3WQTd8FuWJre5Kt7J4asapybbS4aeCBBheCVuZBIBnqiAnOeWqw1xBKpeSAYyr9
I5ZRCO249XFkW6hTR6fsnYRGW2Fd+F6ugflkwTJsUd4gePIFHhzekU8Me6ON5f0YsL051DYSrwRi
oyPt3XigpuUVtagToj0El9p+X3e9Fjt2JzwqWne3pMEDjQeIuep+rVzn6AEHcFCQrt4LVDt7f4hb
2d82m++dkqhXBfQ/5BuKQXvtUPQUM8GJl9dIoc5GcA3v/HQ8i8T2Zz9AYgpyDfZsSmedpRzygKyf
8HXnRi/yNdooGN09E8NtEkh5tw5rH2TDyJcJlYVdy34TDCmMkTKAiFD5M1H7IKuGXrZvHYJxdIOu
tAeHdsIY20PSHbLU5V1US/8TiJ7+wTPuOVD6Ran1eUpjwGjLAPZDu7cUeZO1vd23YD8TZ8IzJfUr
2vcf7cIOo8+/Jyuc6RIR3MxzIo8jDsZDk243bhFfKb8EkHQtFAIRf2lWj2bLrrFf0/0lNvNd2tZd
QQzBhhz1bdtHwY11MfgfozsulKmbIJ6fI92IkkMKkoMai8E3aBS+4xBBr7P6Mctpy1CZHQwmaYfO
E7AmT1qRJSNokxFmq5uIpxMTmuC/93EetSOyNkCzLFtmSC6WvX2NuvTHNKfNaVTqs0epd556YPoI
l8oxv8ECXMQnhA5/ZSbCEBAcynwXqy0wZV9f3aDecQTf4FS/R2guKdp0hjsUm728YduGJdjTcg/V
H2JbPjVqaUvar1uBW/5mb4U5yAAyOBHDMw5MrbkUNCp7wImAZ3g1jiOUYXHSHPfGfdNIZ0WCZgBB
As6/gm1Ti5yCFiQ1g0Zkq5F7afekmJBeVsUogkCrsfz2Es4D+1J/w2y2fupmjYFkw47r4N8uHsYE
SDRscmTfdMd6tjCuM638gzWeyVBWppjghwOO52h/Qzo4zdLFJjeY+LojUIgHt9X6CocnCDSK2mzv
FvKMM/Gl3aL6IFrOylRuqgCDOcWckzOMPc00ZLFVU1578WXAhUzQLq69YvM7zJWm5Csc8Wmxt97J
SU0yMD1g+zggAUYG97T3nugGGsuQzi2+fOPnrK1fMZ/yoUWQSBsdaHyfrO4YalISnazHReNobXoL
k2hYoJTp5njmuPZOYRyeNxQlRz/W8oRAALjeTvGL3chx4bj0A2PEcRP7FGSsJqwYZrAxpD+w017r
2wSyPUi/NlS0O+kijG0Rv5B1elsgaBTbMdyTO97Zp2UL61tQovezNlMEiSOu+3Zf4Lowh7ocY/rq
w+zl+xKu48kbSfiY4BZ4XCfpnWULLSfQFAlugOPPAvz6p77d9wNXl+mgbsdvDeZyCSzHoMSkfNk/
gbRNKtuBAtFF/fvm5GhwdVD+tevj1w43y50je5T5ARhFpEsX2Ew4ftPaOM3JHgTlPCDvjs+D6cq1
NlNmRv620aS7gAhRrscVMMbmDRAjdsllNEtAPAdZjAfjW7Cq8LaHv/ujBYWnoMJUEeJeim7o2k/J
QjyOuXXQZCuGbreAgPq7/pJ0Y7zwVpqe58E8pcjiECQ+ubVdt1zN6YAACNT90DgjPbwD4Wgeikix
+Y6lSL6cwDgY0cTG/XhYhUQJAMa6ukPbzDBDDYiBgZvxgQHwMD6gPUf6jQm5yCcukYID1mYPyuTU
+EM+2zl4Fo29idbOlFYP23mC404+wW40A2V/RA42j28dYdHV0LT2CSJvXEcYVVqY9cZbdxZy4O9R
A17JNDPMhoGdQabv9b091PuYnFoOGDQf6A4VU7oNcQ5PfRzQ8IOILxWlztTeNLADl63BoHQAIUMt
6MEW57ovynS7hSTU9+qCGT+pi9HDSwBu69npTIFLmrI3JLghaqrPIOiuWIhN2DwsdE1Q9kKmfpBi
Hp4X0rV9VW8hdEm1SFHGOZGgBU7tSqtAO3rv6ZAXSSjkEdXjCMuJAZkSGWZR/V09O30viQMrZxOU
oX/Aqj6gkYpcAeNoU8zgCI4lvDNeVyVRY7aa2zMZY/O2LZHZc7dwUzLUapiOA6igeR3qhGRTBzqX
8m0KnevuAo1hn17x29KtHKlZVJYwmVxvgvCvqb+MX9ns5rPrUnYwIgTQFJgtw/m1g+oRp9e19eQJ
ZR1egcQQsUGZ/mPa2qioN2azXg7NCY0gerYNUSZFrOjuncZm9NscW6xt8UnIWmpvSf+gkWzOgWu6
zykfv2Poa7/iY4GCFacOPBLeMThLxcfLUsUiTy2Bg2BAcyxEcjf5Pr3vvCm5bgDav6UK7tfZ5eq5
Q/EiTmjNo5tV0gBP6nlVAhz9YaT4nJl0QEcz2e/pXHabmnQWQ25ML3Zn9ig8fwoLp2r1ClNEVw6B
az+DtudAm0FMleGQimcAfIL7Nkj3G4xUcU6CBPPid6GD7dOm6NvQWv+6g5dysbR6fvQc5u9ym/VX
dJF3EXCtBwPK8bGPp6BYMNzHG/Y1qHwmepbD0D6BSbSf0zmkL7JJtmcC4ethnaXK1gmiFICtLteo
sQ+WBN0TGxCr2wo03HPf7SCDW7D2wpTSNTdAj+SBBrYW2T6Me6WXoDlJw+h5ESQtxEjisfB21J1x
LdCgoOenYZbsvQ4KnFmi0Cu0t8ECH9F9pN/WJX1sAp0CqvHBJ/I2jb6F3WvYOGZ7iETbKGJgaIxx
A/wTYW/AI5Mnt7oaRxwx77oe0eTCXC6+8iG2eaBenJ47nCHZytuvzTTuWdhBEp+icc3sWG9dBcor
GnamxYxZ+x7fwVmLZUm/iIzHUx9lsE0mzwakbZivgHjE5sSbKhba+nsirL2rNdg8SULep9FPIJeM
wZ4Luy48sJZspeS2OcLapXNXsJQVpR+OAV7EthwwE37VEP1NM11y5fcVXMXVEUIR0CzFxD5RXx54
u96vOHBvnQthDTZfL6AMDE7djyh+Vj7DAXyavmwDrDSRpBlcAbldTe5FiEh3FN9Wq5XNhzXl4AhC
1ZmnLZ1fROofWwPLDptuOI7X1n9eRHRou8blvu/rNYdRCFeVaVyzogzZEns7cpKCAwPVx3j0+wU0
XxXbaUIramtMopT0SL6O4JzkcsdKKIYdiPl9gzQQSAuHibHzBpuAGiJ+MoHnyUNQDgeygnQBnrG9
6LqJRT5rKJPuahdwEzg1YZv+4JNY1vMwY5K6pxRQZ23AXoRkZR9H9IHgzGPsahGrIz+tfdQUDZjG
HUPguYvg1KzDd+nvYspcY0A2hmFIBzVYWGwuODvnFbpxZUOTV6+VJ7mvb3Zf4qtoj6JcztReF5Cq
2NyB25JNCyQQjd/dWVyjGHioDEEwyXU71RzhLZMoaoaWOG1BMhTbH9vEbsKgvsLSf+2FqpZVXI8D
/CI8r6/LGp6fuaAdCmj3WJsQ027QDupgfAo7O2aYbHyVXWvQqMT33YAvLXLRk93ZyRcttEOaeSiC
VIISp47zHXbS6AAh7kfa8K3o4vdBp1XrWlUghbytiGmhxfWeJzrjxJI3a9pdB1ZLIGNs/wSrnlMi
eZ1bvzlDofAdVAxwxJCpcz2krESDhDFb6wco1VWXb2Tus8niRjPdJRouXQ9kxHzbzCNHj4BCnnCw
F9pte/NSWBlGJtZwNAE+VyKEza5nptdvjW901gLvJYfGdxqXclpfJ2qMzy0F/heBUscaAD01wQsN
JvgUQkomtP8JOeRP8DINqqDmwSuHKA30jvhmATn8cR6geF1C+CY0Hc4WsIHlV93phme7SL24AK1P
zrmiIcMYX8DrHLmwTfsJ4Paw/fAlMexlQ2zktwFeHrxAsWrF7WrRa2Ry9qPlagRKO6N3ZnjjiLq3
W+nDR+976+lmB5dvGOZ7JNcl01f4PrR9gSgW5V1tOgJakYEE6abKG1u8AE594eUTsqPizHQEdGSC
iluDSuBeRrs+ItT13k/nV8D4+TC2/jFSowQRSIgCtxyenabPQiNcZKmTpCRzq99Q/KQlJ+srSkRZ
2hFI4zIkj4nnAbOLyHijPHstFk7v43VTYcX3aSEZowZC4g7XXDbxuXsYEe9bOhf57DAHK/kECBc7
LmBrBBcnEbdH3tXjdUtBfjcIqRoB1PD2kSf95fOJ4AtsS/C1DhJeGHmskumRLnaocUJF7BwQi6i0
QPL5RESrBA4cVJtWAZPIRtuYY9TFn6YAFjlXs6xFcGZTF72Qpv4DoPNyWycuOdcapKVcLSQwpc/5
3B80Gnr0SQkHlkvWt5TA0tLhMHxMwnkueTjpE8wSKb4jxUvAM+3trpLlMenH+bFdDS0tDbDPg/Hb
1rXzKVae+FzjvMdU0YOvtZwlXOStJoCmiaRpRTrG75SezkaNG+BdA1i/nawEpxRhprcNhzPKCoIO
NsLSHefZys8YLe9VMvtw3t3XvgCjZyjUMnzG+QjJNnqkY4cbK/M2zlvs9olfQ0AVxPnCMGCYMSW7
6zlHbhaIqmcmLiGsagSJulu25rwjw7BcYEB2qim+ZQR5rXXebUn80gP+fgXLvi11WpvDKFD4+qpD
0ZHaPjc+QEzw43EBDgpc7GBoiqUJdlnAXz3FAhXrOcQNVwRhH5UimYFb6ARDIa9TYOPwgE/9oUVC
WMZDvaJXWuJrhOJ1nx3yu5+McV+NG6aDx2v6MIfQeMp+489ubWCtMrePqnfqOtx799iqrvUzpuGM
O4JlUVnXhd9X59Q5BH0dqwpLd1/wp6QBsrs6tpwV/PPLueH8h413AQfvQX/1cPfBg2Bx156dvy0A
QB/qzruRSX8FeikqMDZJFIMwvhePEQ7pkmAYAhEhRvVph15JxhMB/xm2N3A0R43sF85vX7lv9hWg
Kfig7US3SuEuvQ34nrxOsFrIFiN1AWXlDFTsIoVLgcTjUzdvrgf2saHsAXTB/IOv5B/I7vEPDY3F
KbLr87Y7ctTxGD80HtuqYNrZ97UezKeAaQ8eeH1dDYoy0IHiEIgEQFOtExBPPZSFV8kYxu9ezN1D
IleS89prXjBZoKVYBnwfwzDlqVA+4NEgzvZmHh9ZnRocgVP0YwxMCiKyQbyApVEBkv16QnmUFkh/
7l7pvujbmYIonWoFnSgbokosS1NMOr4MGSb5YuJFZj7chN7Ef1N3JkuSItmafiJKQAEFtths5vPs
sUE83COYQQEFFJ7+flZ5RbqrF93SmxbpRW1SMr3MMFDO+cfJXQ9TZNqtW3vzhmyjmia8bLrBuVw+
LVX3LCaZHUYtC6L2CrmTbkGeBAPer8ati3t+7fkplJ37Mg9FyXcT4fQ6QeR4G7sVVnDXh36+6yh9
3i0wUTFtISzodZOYitf6yubhivZbliPrcq8qdFWTn+utzKue/Y9FeesVGctG64oorhevN9vCnYZv
G+LI3lh9Iu/oUDXgNMpSvw0Jpe+NiPI7XlENuHxWfy+dED2UZiSe1NR66TaqlVNvm8Kg4hp9RV7G
BGQKnZfu/GXWe1J9Wui3KbmvwId3iWBW8p3BOkWlpHcqCPP8cxIqci9Wl85WPMOd1Nu58sp9ZTr5
qEqz8EAFHShkIG5zvnd9mrtUXmRqjQjSWlKZyiYcD2RnpK+8pqxtPpOuV7twr4vfdW8wGsuTM3gN
Vn6q5IAE9GvRYnG35Wjd+vQj7As5EnPU5WO4d8VV7F9TyEFY4O9FLGzIgS541qP1RuGBjd2ZMi6/
6te9Gw7LxlG4dMXsrTELGnl+SYvevmKOClefdSOBMW3U6DwPXPRNWVuYm13P2wXFpMnBivKjhzY0
9vwM4trG0sUTHGzHvn43YZF/494I8s3SApBlsyKfdgooXPLX9YSnPH0QbdTu5SR3Dl7IIyQdAGOT
uIyI6XgErZFbw0C0YasGFZ2ifJ9bVbgpnGL6UH0z3srcs8/VWhMZIiJrI1ifthGO+yOVFdlpbUp2
uDQA4KKZ+hEl1LrxAgK5YA6yW7T0WHAxH7wPmY04McS9D4Qath/BJCOu/fjNXOUQUSXbj8IfyHis
Qn0fqtW5Y730/xYZAVZNLv0tyfL6iO6Cm1CO4deIxZMje3wr5iDYNWFGTuLMnXCoElfz0IUvhGMC
xYb1p1sHzn5ZTE2Il/yByCKjiDUvNpFUV6ePF7MdIQuzshfPpxpc+1146MN2/BiHlH0SYvhSCcbi
VfPCgd0rXjLXRDCqFahZTT3rX6fAjtBWLLEDeXunobAZOnyDt7dynGaP/sPdlMSDbRh3+vFk1rV4
rYBJ1m3n1ClrpuyOjk6Wh2VETBMvdK11fIli2HkKgHrnZD7kx6r6KtlMZdOcxqRWv4weamAcfI0k
E2v7dsr7tWB8recM6fm04ntaUUWYeeZJc7KP2huHkx6GgClxTJP7nCy3DVmuy6MP8HOysS+9qXLk
S4p11uuOhSzXMQSAjOsuFfZWpiz5f4siDdNjNIZ+ephDUixpyKJk+4poeRsS+ubL6LrZRYep+anm
IQJ46kr3FHIftZtZrhSzpuPCW8mEf207XV4xDOJqHH28eolz5as1Cunc4keJO6uwPzSiuGSnuyr9
assaEL1NsV1jRH/M3JrQMB2VZE3KMt3qVK1PkSSvn1wdrn/sqIziUBZNEddRFXDADjDxWJ15WNxh
zI6GW/RD9kn2XXqz2gnY8Rjy/ysLsu8lcMCiSTsriC0rCJVxJa9ukY4WZyKq4rwgPWbuyTxlEPC7
A158gTOzjF4b75qMGliu/9k4KnzIdE1+uMqUd8Yz7l2SymIjyurgt1s3gLR1imXSKhbW+YkYy5kT
poyrzBsvouvF0U6hWnWVQlLg67f4eVr5HnSUdTNMzCnugyF5drpAv7huaT3YJRL9XqT0cy1NrbGP
6WA9ocnX25Vrl8Wl1YxYSq5QEF3Y7tFprQlwNdTsTQH/fssheEorVAHAeFV06UMn25AnTFaQx6j1
nhdJqCBTgvq+GQiEkMtCHZEsF8q0jNOSS7/40XxxFBElSRBucTGBeoJcHsIc5OTgeW4tYgWr6+7W
0nIJ9xZD+UbYAVMVmd3Zmb0mOPYVv2MnxYT7JLWGjY2GGSRokYJ5aKKhEfHOGpYbG6Lz4I3FvZ3l
y65qwmmbpCFm3WS9YtyZer5maJQUWDQOSQldHT6uEZFxdyBg1mUInH4CcPXd53FO84Oo657xPqce
c6zH+mVICmBSjPEZGbXGbImJ7lPOmlQFMW/kaL1HH8CDnmuSBtDzraAUQddRdmpj9rAWbV6nPHAn
FhtsgdAUXX4OiIFeDi4kIsw4FdhnncAyxnW9iM0wVNHzRHLzJusEIHXvcERtw5WXmuKwGbb20Lrw
7B2kSCraU0vmZL93syZ0nqZRjL9pTsofCyODZctmiDMYbj3w42WmRarNmYeGsl0pu0Q8Ffu0bieU
yzYCB2Wnqf7oJpXtihVBF5HY7sGYYX2y6sEcZWQZHftVytWflmZGfGOLQ1dg3xIsTvO+cuVMvqHb
bdEK8ZRVhaVLYAOdsqOP+d0wIRWwuzw5EFfJ98LFgI9Xv5fz7H/WEXXU8RLMrGFWlh4ZVdZLRvuk
vfFIa5fbYjR0HuRRo3kSQE1SdxUfq7MUu1W4t6EFsMZt32zK2c/vaGtVbKK8SwA9pqDbQaWQKYjE
ZdkM0n2SdT1sG77LW5DIal9CDeyRDaA5aZ3lsSbZZb/O7k+dSw32qzN4pXbYKjNk+5G7083C5yJ0
kqNZJvAbFzWWWvW+0/13YGy2AVU/+3LJXxXD7mPhQsnZjjs+CS+Eq89KGTAN1p2VH9a0mpczCy9U
Bc2D0pzrFBZpxx4AwhdPlTaIBuXkocHoG4aCY2R8BEpV1iNdqcIpd+ixCZL5aXZy/okfdoF3GpvW
ml/N3C/l+z//pM4W4C5ah+zmNY3sbnogWs3DrGUYN8EPuwr9kLBL/rQ1DchQrSq/KhdLE2Fsqif5
x/ESxZmRJBMaprUGNj+pqybKybuiPS8+z2Nsygg1lL1wKsfj4HXmF8+22/22MoMySAaW+gwFiUm7
zKoz82rxsAx3FvQQWZlDo/yLmgZOutVVMrn8oyepIjIpjsPIRLANTIcaY7KrAWbB8YtmymMILcnL
omRxfHKKsmPybJJQb9x/i5FsI6fmUKcqQ7x2leftGidERYYvoucniMwy0u7CLXtf804S99fiR7i0
sRDqc7QkL61OcxmQJ9lg0GFtuG1xeoCMpw1K80HacQI3dDNr3yc7oCDBrXRMdExdi1M0jTRVu05w
585kT8SYVsZdv2InjFEtCjJDevspk7whUYhl84klga4QFXTpt1Pp+YVt8lbDqkAEjWUx7/peCmRy
5A8e3KGxP1Quoqdh1vldXvDuSxhbXtq8LU+ez4Q7hWt25wwm31gZ43Wo8uqPMl5JxUFO5nQ8t4zj
dYqPLZ/UskcN4H3No1/+JiF1eB3rnBV9EMF19WygR+DFVu/3jHH1IcGheu8FXsrItxTEyon5Tk50
dutQm/d0bvYqCWmzaD0eDzLCuVTdaD1lbfmwWhK6P3CK7sS+s4Lcplq9Ccf50AQ5bXLPdDeTBhHG
lUZgamJxPi4OyBD1PngPkkMw1eHL7E7e1gqm8mWZZ/kG2S12LJ2UV/uBOuZMlb9GnA00STK5aOXg
VeTkHG6EDtEwCZmf89xqb2vD4p630VOZBVhSFxRoodH9JwjtVzUS6teVVXlT8WR/ZnX2GDLZ3SBR
/RiSdE13HjPeZlgFHtzSRgJlkMfJvA2268qQZo9X9DpSF1kVzjZCor33p0rcFKLuNxkJQzbBq5b5
J4vz/5lp5T9iSv4/iqQU12iu/42z5avgABj013/kWP77P/rH2xL4/8K0hWCcsBFJmqTAQvGPt0Xi
bXFdEZA15LiY+iIUyP/tbfGcf9nASCGCLUeig77aXv7b2+LKf2EDc5Cgk2DyTz7l/0VEyf+SM3bN
f+ITRGyZeGmgha5BmP+zgcOtM2dJkUAjsfPwOgblok8elOBN1wDS665lfLaxOOyKme2yvKpAwm4O
dt6cRFuZSfHKYWh2aTAUu8jU6jTYdSrxnpSgEhU4/scyiuKdf2e+D6x0Pa6ysz8LQl1+p3MhY8dd
aGrkOdxM6dzv3PT/6J4jduj6Jf6HmpwvGeCVcTzc/+i8bazP//kl0fvYwVoY5yBmlDNOPijKpqNg
vJggSRBy2QiKEoxEy1YmUk/7SiXM/E2zM5jlvwfa9VAm2O7jGK7zgXCD4C3K1vQZcwCGz7qZXWA+
Pwv3nsjTR2JGxHEW7vQYlhFJC6Pv986WvSNDcrKaCRzZyN9JgsgL3ZfCJW+SGwSVIItJwwUR15Ch
rP8tPaOPpk7dPWNt+GWqq2rJ0rNDHmZn1TG6BoivkY2sOEewbauPvmIjnbr5Y7ww/6tbBCAnTRt4
f1jmtG+BzQCU8TRjlSav5EbNSXrrWOg4GyKfObBLochBMlLH1ai67wiK6LlsSVHbjk6XfXOoRx9I
t6i7rha9RXUdwabr1FdIo7wx3ZmknJytItX11Zqn4cOrZlHsSW9XWPasYkCcndhis5oAydlcAG8t
8MIbdPDXJAbGs12w1OFt2JrmFDAa7yYyHY7piL3HpbEHbcRC+kRL1ugSEqlAxUmOKdQu/oZqtnbN
mCV3YVLAp3qpGG/8EcCGCDxri0fG3DpRol4ICydYerX7Y5mU5cPcVvm2JJpj37UT/SLzbD61n1c2
uQtT/WMY+j7WJHUuECze7TQhhloKt3vzxtrZuz60r06KK1u1poA9dhjEYJT2Pvf8K8Pcq+6HfdG/
B+S+Is3pBG+bqhzcr023lTUCoRV2f7bwnN2pEXvvUiVmG45C73OVD186jLZq7O8iu98RXLlumnpu
MVGb4URiYPeolXBReHRmi3h345OW+MNJhLozaEskM05KGBXJ9o1VAxhjUjsVTeW8EYk5xD76xkOb
o80sKrv+VXpUgg5MMX+vooYKjcSSP6s1I2xyyBdmtdzTW0V0F3Hsfjiem9ZePoNSr7G9oqEjNDai
v8L1WexdN6n3dZNyEqzLiWDHb+1OyU2fwofzJPzueHBjWS/FxkWbsPGmzMSOha1OWuEfN8SyWfQb
hNvtzp8ASHwgKX9Iu/t0Kndq5ZIl3Vg8zCHSLGkaGtwMcG56NSpnyRmF+5MaPIro6vUHnfsJfhLB
vSLhNqI7gOCTDRYseErB8L500/ssHOSY4pvOYLF17fSP5Tx3yrpbEXnWlWpiMONHU+Vv5FG/9LI/
JwQEWGn2XOb1k8i6YwEOH7n1NizmgxzzW1eiZE9gPplN6DrUPExlQxR92r80Tf9lFfNbz6wZBzzs
18bZuEwdcKXXhQha3Gq/M9d7IQHt1wI4dSst2dJnjNAj97X7AOz9sxBMmcbamDulrZuSlNgJUsQZ
YKRmZuf+Tw2gGFeeRVSFw4QyoTRfBxj+anixI0KCuQRuwha9juglPBXe6Jy2FavoX7wFK36EFMU2
O3R3cbr6R7ubY2iOmIua0fCQaRetjftdSSBkS2GwHd0sO8GzlMcmbF68MvHJz/DhzrOi+3YzcgEL
kgz3xvFRey/3jm4/rCIL/1gROlECjc7FPBMGkHs729fts+NPO9FU6TtKL5bJKdq4sO5dlZ0nljCv
eJ9brQ/SGXetDNdNyYFZlTbo1S9/ogpnocovLYs/jeieitpViPM53jWRR/M1RCGHMIbeDa5kXXiX
5dlL4dJpUJfNT1Ly901HzLsSya0ORuoOkLcW4/wUoH9ApHi4bu3XSRCTZ36uJlSmmY2c3b43xr4N
VB8v4cS0Xlm3kySecMnVIz8ujWKEJKKl3dsmyGDHhie9AnzbDKtDO+D2yXatpaHKk/Vkeflt1/s7
vyVuPw+7TRAZTHTdeic4qeaifRTIVtjmEGLhyt6Czn2kufwQSt16Eb8VdervhSZJOGoex6xGqes8
OoTtsTYX514i4AWEviksdO51MqHgVxBBKY18dpHfF651z0P9bA2KQA3+WirlgLzy5GCSidsGV05I
3gCDab3Tk49Md6hiErrv52m6Udb4qeaGpA1SZJL0S9MIMi/GbJIsCg6LnV/WcLCwhQwHbJO3zhKQ
Z9TLp3QcLxViP/Q47EbWm+82xC5TJJIBaWf19Ihombdai8AxWHZDpq8xZ+5pTmfUtui8bcQqTlDF
VaLJLDFH7b8KzYbE2gsZasZo5/ediZFJJkft9Dem9m+NImrEU394vrKtgSCkA9IEVICMzcZPr1nM
HPA3Tlp1m2K5Lq+Ngd2dCTSyh0UTkGU3D02rzcsaSuvcSO8JkVMaR7WH1grbS7wWRHPQWPlviwN3
j1VH3N82r8GAmzXV4bFY4S+HFnWmYbI4k7i7HCaTOfEwLjvtfhFyUmwXb2Ltjiy5wfcabIA3ykuO
qyhIF4sbBzRxyItmP4HXPFtg7ldnhlm/pmB8Str6zdG43t3afSOWwIQ3SxK+hi2JhWG1n2b0AzI4
k1YBTUpBRVTsa3mlZQpzG7o3unsLFbqIyeNnGqz8obavz7Sgj3W58wgHIvbiLbCCV48E8nUqQ0Sm
xaegmonTLyv3fk0oYmCa+p5GNYhld/gVyP5hNWiRCFPcLMgKUnRhxeocA0e/hV0ScSMWX9hfOLVE
iH5a/XSkBCMzIOAIToWcbx9RXaC8n6kJXtul8mLlq2k7qOr3NUEq0tewOAQam0GbE0rUlBuKzY+R
8nlMxUlZ8th0+cNQqueM4ohqyC+J5W0QqIILNw8m8Ku7pn8eEThUptiaOmJgMWClzcvSjWhcYDu4
U6IDqsxzifqS91h3LoiKj9vEf+UTf0bU301JC2pl78uZSAHSiT5MZrZlDpBR6r9Fom4j3Z0x8BxI
y/s0Rf6kLIuvFe4cArgOSaqf3LZSSD8Jfc5U/isLq4GFFxRcWsE5DZaLg3R9qNHfKc2dv1g15KRt
H7sMFUS/Ohtl08MInJheBept7W/wWt0MGDC22NHWjeJGjb35lBuE0V3R3RThOMcTJ5jsUHBJRn3A
8f5BoG/tASc2CxqKQ6r6cUuUnYzVYtydNs9Yu8RGzIni/1Du0dNfrmKjfJSoQHyo4mLMn6CZpm0e
zupoJymfGp5iGpC4innCmIMNAhbZ23vIaWIa0NkCPJkeWqd4NX6H7LTq9+NIT4k/7pzBrg5hmyD8
FOSQIGRxY3twxDFHELsRDNu7esk+tKMOWVWdrap5pOWNGmFOlJjIMrLZAEp6opLl4lZxqsg/tBgv
CDTMuz22cy5ynv4uE+XHsuKkJPJ7F3WI14PQfqMX4TFZ11uHqhjSFLuIuD/Jte+SP7Tcb616eWxB
/mPVBxbJRAVGAcEFNpyJxdbnbMqW5qMe8vw8uwzg3FsXx1+Gt5rR7Zim4SnJc3sz9T2KalSjEN6b
cc3+OhGlZGnTv5XW+KAC8eZ54TFNmk2S9pwc19D6600pSxCFbMaaGwX3BoqtbbPytFgausW3SSuQ
MIuwOsIw29rCjjY2+B2sElk1RSXruIW/AR3HJNQm/SNewrdCZ0ebg5oKh40vO0xOEJ9p8I4rtuNo
m9xDJgyEfYtixJSvAVF3G1eZXYnri9lKv8lqufXEDMi+HhF4vEvCJOvafxAjKcedeZ0NQqTCOrTa
R910SdOh2E/D4sXTvF7WyVxy1/7TDQDuKdwks9lFJPrTHRhzsEtdVhfd7UCE9LbrAPEHf/hSY7IL
ej7D1CHWGPvlF94z4JNi/eKzfoVz+uEN5DnmZCM5rVfHgiKYuGqm32FdPboLWrCBrBCLI3NbSP+q
W/FT2tJ6YLo0EPnZAihMwvSkPecmt21iEzuU4OamGexm43XpS4OQ8KD83MRkmNPW03fx7C23BTHh
sUJ3kALnMkyPG3ktKaLvc3CfkL6e+0BuHYlkaSxGBH+y5NhB1stBX7y4pSalp0SI4rt/HRtnUz3d
4LDagdi9IEtfdpAzB7fN33q3f6pKrHA5R+54xceHboo9S+/n0kyHsWizl4pkqWY7oLiCmJdRe5wj
nusY7TILYx1+REE9oGcbywMA97xvJxGdGn+Sjx1j9643QV9tktYxJ7plG2RDlPIIVNUHtNbuHzQj
4j1sMxhpZw7WI92pxyBDWKrZJeLCwHA5xk7ui8EjGMFqOygXQ1H9OfOi5NuvpPth+xO8IGMGHLpS
Sf7ARkXdT2M6ttgBudSmapYAV2Touy8gg6xzMFSY1Izj/inZNDgzcuJAmRr6v7OE8OKoh+BmP3dO
RD92u1kpx+z9rreoxZmqnxaZxwVKxDpaTujtyqmYTzCU4xGni3UXjJK8JNOU0FnoHJ5AUdw9yifG
xrZr5EeORmLjlxLpfe3MqPZR1u6biCS/JQi7H5+z/qa1i8aPrUgkr7Lvpm+xJss51KX6kITyozZY
kSXb1WKwJ9lTucmCAIJvdpqjyJvkudBtSF2h5R5HnNc/wqxYdDDMlFbsWnMdHnO7Jmgvjbpwg/7P
/NVlZt3Dz4tYBAl6ymXe4TGqD4vXLT3HXS9/ktEzD4wT45Vgzby71FpzFhcz+GdT5pxWiHhfdCmx
RTlSH7WIvLe5s5yv1uXio9j+s1J7Re7lqnfQayiyOpPeadc9VVn5Fua2ijud2wczDMrCkNyKndtm
7a0VYRjtsfWxYWGtLwaSaEfHwijjw3gzXUjrWacF3v6kK+eNw3KJ/qJBspyoUWSHJHD716s44M+8
TtMvihndU+/X076vF0Zmj5LTdURmROsXr8Jk1ucsctp9igstjljyD7ilsq+KEx15vlyY19apCo6k
ipYP5RAUJ6f1hwsMttkvM77JfvZRFTnKHOcwSaiP8tv3Lq3nLzS274PhvoeSTtmlDk3v+ktM71b+
23YLzlU1RFnJtjRiqfXshLSCsofFMxPBlwZG8dvL2uLitd48U3HK0GgHjrctRBDEhVskD9Ie16uy
U52nYepuO0+W25CFn49tXghwl4feweQZpMQFDtK/61x2uXZANlwLc4ezSvJYW3NwHDCvXVo5U0Uy
DOtvy7OqrePB2beTY9A2F9VjRxjJZyF8l9gvJnz+J56GxKkJhZ0o9YMnyV4jjo9jv+QYP7TsCnuz
yAxSkswkdq/AvzMlHVxk0Xr1nlyHZpv5PQY+YU1xG+TiT537xScrRPgzpnACSzInN63yurhLs+W9
XET6kswBFGjpB/eensMdBsl8p1yNUGHCw7+KvrI4GZyOuSYtz0lT5/d2UHJqG3/Y970p3r1IU/5F
fvJ9kPopmH9h33ttMD+WwzzdZMG6/iod3nQyG/3HzAkRepXOcvGmq9+lXdZfvB88JuOwoeq59car
50U3vEOr/Fah8RQ4utvmZxwUIyQz6w3JC80DpW3eBrJIvF69BnEmqJ27Ostf7GDgLcOmN1BsQHvD
ZlottSGcUexRYaMktSm6ZVvJT1Gg5H0kKZ8VlbVua9/LNuFqixeFTPmYJW2BVsQn19DQSjguIdlU
RTdSkGo7SO2mpURaZdm74apzTwP+tG51giwTQ0wY2PX7EibrBcusu3N8anoCoe/VXD9L4mcORGnS
wBAyVIgcFKcfa+95DYZpI3DNoHXzfTbjq2nJQ6L6QVX8GBMJnF/6ttGvytge0gp8ugUJt8/rGGJM
EJIBMkS4F0DCASDIxXlJLJuUiqhFsYXOxw8eLNvqHvumRXbYp+VHqZEn7JuiDW5Hnst9m3UoSGs9
WnctsqvsKLDMYVjSGU/3Nb4Vxj691GVPqt1sekvfLi1Kolh3C9Sdj8kHNrtv9AuWrPI1T6rBi5co
qu47f2nMtWObXdDlgRQBdSu7kQ2QDd5jIw37UL7UasVDGXjBNivQGQdYI+4rphOfALw2oPzOGWjg
iNicaYnrMKKXzD/SLN0uSNrqjGVGfTurck5uRiQHEGd7T84KLwWr3ziTKO+aEnk0ulDnnbDd8aEp
r2GmCdvsLa1zpMnJ4jOvagIbS29NnstpbQ7UdA0forbcbyu35aHt8+XkYOX/TYh98j0LJX6PuS2e
VZhbZwm/jBQxWlHchVaEK1+Cz6p9V+XmLYjg4BAycCKDedC9JGYnvB29kZ0y72bI8AVK/ldYpe3X
gGbvd+IAZ+6KpOqPE83nKFdynbDrXQVkWVmR4lxb616bYMgfkFpSYu4F5H9s+wBlzW5aRja3Cvb0
5EU1R5SdDoqhPk/HHTuw+xwKMx9ma/EfMnw1L7AQDAEdeuGbZszFfg4YHOG2owrXldMXx35KozfZ
lcFOV66zXwHIcR+MneHAUGo6E4VZM9R6GdkbA2IOsZsAbC7zGvZHMyKkJPN3PqBB8H4luhSfnjWN
B652c/Yw4pJDgH0FpFEu9U/qIGwyjZPc0xjvvVkMKPc+WSo0ZfH3N3Wbh6ehLTjkHaXc14GSxWof
YT96URWE9ZzlXbup12vEbYHLCMpu06EdPDiN451wdnHcL8rvn7uqmnZQSBhK8TYu9/2qrNu8keY7
dTMBbrW2z7lRLekjJhV3IwlXD+lSCzIxA5o405oAIlVVeFhMZDVR7BJC8tJZkXWy7Wp8FYu2Tovh
RIpD4NQP4u1+0mnBRT62EegxWgcs2PLGssQGeR4GnuYhSVNFCIW97qJ2ZZ1wrjF54zE1noHgbq0S
CJ5+ilKq4BoriuCTbJ7+hjh2ccHlavOLOsg1uSfajd0Zb0sfvYU0rvhJRwUk3Trureub/mVQdF22
GFl8Eunn9bxq4DgkTrm1c0rQrHBEZkeOl4ceJkgCQLZsEvtmblekSBjtibEGZOl9Btu1hMUHHH5l
qUsuk5zaCwtmvxdExTzPkeWcDdZtB2DD9R+Bz9qzq9wF4ZtHZk+E06XSxHBsydVBWjnU3BUu2GSm
uuA5bZOUmd/KxxeimeV731ryMPKd3vzZb456Npu6WkZ3S+5X9pWsmUXj+oyz89ZHjbUSSVN8IFFv
dlnU9dusgoLCrp1H1wEDNfDEGeLv+nwUBxfE27yNYyfvWTGc5nYRvnC3ybqs5W5VidnXM6fOvZf3
7T1yFAS3btmU5CpYbf85tH7x3XVhxSrfZNklv2rvRGGFj2OFAq4aVPO9Fqr5W+M32TOKjK9zrXgm
qsj7nIaR+OeANPXnAd3j0aBwPHWpAxKLBMK6JY2muh+gsO8Sr7VOg19g38hpTm39zr3pULDEvU3o
WlnZ6h6UiTtLR+IrDwvRHCq9MOQJz9e7Mp2mV2CxoUQVnQ67tKHYDdemt2M/pOXXGrNTzql0KZl5
Xrk/foZGMhiALh0oMtJPlo70yzpMgC8GX/VjzVGTbZ3V5VbAdt88hqSdkPBfzVunYWCe2h4r5VA3
P7AIHT1KC/EUfuUsO2u0eHaGbozsmOKh+qbCmoeVcHzsR9Avx5+rF42xfUc4hjhDC+Lf1iHtuwQK
tK9ZOQZ7Drv+4EVht829BROUr9OUWP9QkKWa83pwpm43SlCj9qrj4Xd1WcmU/hPMcPxaW/aDjMx6
p+1A7J1MCDTscrwlSIflyQsG9L925TOrdS3D1Nw/0FZqPRT2+kI45UtfJOapDlS9w1JHhx0fFfe2
4aHap7hhX5HfSNpgg3ke49yve2ZrNKw9xr7QOq0rjChpFhjA2lA99bz8MLgE/bYK0+ZXnYfDLw6Z
+caTy3prF4l7ydhrbvLGW19T4apYB1L9KrNefJAQiPUNDvB3VbTOS5MMP1gzQGnbLNkrIJUb4cGh
IdNyq2nDL7FuxqmeLqh/6vuJlKwv8ryOqxuas+j5rFXZjhj0p6E7gUibB9mEnt4gsrxOW12OITLr
i/omYcNaScJ5KHybE8ir1aW2A7xyaFn1jteY+rYaOb1yCgF2sKIeWK2YrsRKh3jYbm03pVi3cX/K
aqmw4tcigx0pXZLOe7Nc06lzvZdk/ZQxw0r7ZvWe80eitEP9DFNnkmrZs97Ot/2KWbe45nShyCTb
qKdYKih6bhP5/l/sncmS3MiZdd+l914GOAB3+KI3MQ85D0wyN7BkJol5nvH0/wmWZM1iqauslr9Z
byQzSaXIQAAO9+/ee67jNvpARa6zm1M7uIvHumLnG7vBvnaE6Nbas/KbHhgMdk9xk8W1eg+V9QZk
MvpkSuZeDbY0L4ez4pH32XDkQmNPDXslkNBl2gOt8EGl4a7EVLdS/NjMvsllJgubLr9yLJxc/ifY
AJBF0uWCk0/WeuiPjlU22NqK6zGzMZ4K8TC0jXMeUuZxHH/HVRRczu+9fUsgcn4pEvSUiY0X5me+
tkY03ZAs51L3zV43o3qcZHisYEOvUOQXTqILlR3JRur8OQya5zpbLgULs3Vkk3GaHUxcA5R1IPGd
uA8T/zZLqpuRMB0z2yuntF6Dojj7NeUnMjtOtnlIpuI+GQmgJEvOpXAIi5jgPuwb/cl2lgwWzQDa
1RcTCQR1TNh5qpU1TtYL207iuQI/dtE9jIpM1OAJa9eI6YnDBsd6gL9qZEedaZW/kwqqT0sy45SV
qhmwHrIV/Iof9hK1DI1eC0jM+9b1cuoy2PhWO2Zh82kSToP9v61eRpa+/RJ51XqJfefFxGm3DqMF
844pLqOmanwgwU8lCHlGVFASzAyz29TByjonT+1MkpFRfJBcTQpovpnG/NiVHjKw7+eviNycqbO2
2dUOvWGMKFDgJ/fG4myJgXGuDoZzWw/eVn5PqokvYZWBXpULiYXREaySbZTdY9BwbziSMuxtzEzI
VQXLzcBauJ90TjB3GV6SngwPqexgs6Qdo3xO5kc5RcEnq6aVU40G5RA/NYcGCHEwbCRsg5Xx/XFn
twUvKex+1X1YYts+WBLJqqmblItUIq6NGHYTP1m2EzWsPSBMlua1HY4d42Wra57Bxy8Yvpf0PDvt
fMVp0d1WM1PRgqMybS/R2H826IcfaRkxH5vrsHu1Zq98wKM/oRnZ5G6BKp0ZBRfWxvNKGEgLpCse
i6i4toQAWtARJeVVPT6TxGuuWgw4b0r0LTM+dhlm7dld+1FX3XSaEhW9UGXbniecXAi+c+wdDWLz
HmbH4JBWVpw2hxgnfpVZIc5BTDH5mhQP79slzrJ+bbHrYMAyj/Yjs7fhuS+G5MIjzpWzbV1TXM2T
Lcpt2E0yOEFTEISFF9oWduj4BXFhxNhHLJkJsQ7tXmt/TBH9U3EUM/lJV0/2A9phzTihWPbsSYm4
KokPfHTD/BRYcZWtZ8cmFUyJGaeqWcbbNHX9T16kab9AlCx5Yoqo/ESnWbobShbioa6Le3uybY/g
OTQUuRj7mg2je2RwTYmrE5aEFE1psUGLrLkxuzwb1ZbpbYk7yMVEkBnZbBQZgpNV6Sc6xBlQeVGY
3DScS8+42uMdGDp0KE638UxTLUXk1l4Fqf4umzS+WzJvRONtKufW6XkA14Mjeu5HlZ11YcfoRV19
mxAJfUF0o7VSZGKj0liueWPz/RAWkf/5evHoDvcDPmRJGq8W2KTH+anw+vJZARE7zLgqVlQ4dbtF
ecGNZQewy6L7SJavThG/eLViKuFHPtlMa3jM7aU8WOxdP7tLKe8ymXYb9l7DaxsJSYAvEVdV0QLE
BFUHP7wy2R0mwvhxxmd6j3Hyq4yZ2m0Z91UMn1LPcmFvkP8ksZegdglF/4/NVvOhKFJ1V7v0/GrC
FBpgtTbv4yUCkszlgP4NbbWYWcNEbYnvhBEwsXtJ9CnnFLpjOXCOYeNa6zTMHfKJzhIhj9rq2rRl
hAWB1F7V5xxdqsb+WokAoM3geVcWmsGJcGdxM+e1f0QqpHdAF1+joHrMAqskX8F5kekqn1Ff7iWy
Mnx/YAUsXxCR3cbPt41tvrfpsjwlMpJw0OJvTlW3Z6EzOoiAZF0DTkpumRr7T0jn+FT9vr+fUXWu
4yxl/BksHdoGytgqslLz6Ahdu6teJ+aNAz7Hp5rTL/HBXN1PkjbJFQQDioZlwsFS+3NxiMbUJ/7l
e9+4/S/Rls791IZFeOCQHzFqEmbHefRgkng59F4OlAZyuN4NAmu2YwrEtayiF7iOkIO8rsGh78NT
vilMF8AR7NW9NVw0TA52pEjzWK/j1EnGVQatIFzbvWT4l9mhd2SIZd/lhV/e9UnU35DyLa+TMXJG
gqSI/HCt7SNnfBSGMWVYldXt99yKo5deeHO84grCVzKj8Ldllj8vTL5emMYxOqtL9yrkSAnorqq3
5Yg9KAsZqyB2amgYWXebjIQuKgLMa78jBxXUbrVpsDGvFpkWV8NSBsfMZCiSsmGVNZqgNhnDG2cG
+VdTnrK28sIeVilINOwgOUKFZCM3LjVkldrcO5ELqdFkzkNZpfM1bGO9Hiu//qTHbY03YR1U3Z0K
CKv1uBXIkFnrCm/Ttuy1C4pMDYaRGpb4y/YEM/bClKWfrQlugKPjc+YO2VkN3Yy/P06wMlyOzHCa
gJm406kBnvHCbBGLDOFcuqbSM7iu5tbWVbznZJs+L4vT3dIQmayn2cq/2Jzy9mG51J8D0mEvKhbq
w82by36CeBYONTJrEwn3IrKz56Yqn8c230ycI279ua1PVj5QlWItgmtcu9fS7aZdH/f1eW5LsUeS
J/1DdviOmT/f1XYAbm4YG1lH5soBsROLdqvUqkBi4MDi7VxXt/3C6tjgfBQrbyz627bW5i0KI32w
nboDsQN+Eg5HmjyCpMBJjdSlrtEzxoPp7LznJm/GKxlKGlqIFGSgl0zsfFh48DYM+6/NkFOn27ih
xgzB1KaSFwVdEEQ49QPbzK69JJRGrwLHiuD1ZNvYBiiU2A5EML+m+XRZWq14+iix79wRmIYVAh0C
GA8By/rSerHCEfkNVKpYw9d/GqwZk4s9nPgc55wyadsGEbFxSJ9l/dpiY6F8KQSvA2I9ekjbbm04
Pm9thOPrCRSZv4HC5314cYSi77Gzu2G6ltwM+L+24LfrrVM3xzrTdByEbH/Qyl13InUZuuj2wrdB
UwpPtP8MNX4xjTJvtxxlXKD0vpQXHPNPpSAwlqeYhSk+9JQBr0fRFOUxToijsC2RZodHpdm6OA1o
C9Dyyqf1KFz1Dca8v2kn+SOHmL/D91zg96DeLdQ9bf1CYI5jO5wAcsDDjCaSflHUbWOnTX4HHv8j
e/f/WjjwB+/2/3cVk5c2gb8wcPfwWr8V8Z8s3Jd/7HcLt8Jy7V9g1IpfgBXKhoT+u4Xbk79h06Yw
xkhF1QANGf9j4Za/Aa5WimoCn2LwH50G/7ZwYwmHdeobsNqugh31T9oJfqGCU3ygaV+82Jtd/s3+
0R3z0206BKFTZB7mB1k17W50UTcisLd01o3efqwBhvx0de5+d03/3KD9x9uRb8Pn0WLAN6PB2HcU
V+nnx0Kq1hQm97BHUkrO89eBZPShCsh/9vz964N8m1JPNjagKy7VAz99MZmgGgp6PLeZxUkWLg40
zH3txvoGDJK2rxOShIzcdcgM005VYJ9gR2H5Q1nBJfrXX/qXmgMQFjZIMy6bQ7UIl/qXli6mdD5T
KzqWImtJD35th08KSuo5n5c8/ZvPulzA3y/78eO//4vv7SIzG24pGh2I6vzKHZ8a3dcoPPA+IOGs
Bqhjd3iScXIPJn+x2Y6ci2iJ74jtt+9//S3tX0oNfnw0d6zFN6RggQrkP15yUicpzYzgJiv6AK8y
7Ub3na2aa7RDfKH2YCGcMKKeTkMwtLcR1xmXQMB5FaQRfMlLsiqpyvz5b/4s+R+uCOum1p7DQih/
lOz9dCcQ9UwG4dLC5pUQJ3wiNZigZ3yYs6QuLZhAGjo0DiIjxRtR9dO+W0RxZs+pcNCx7f+bH+hP
Txw/EKWxvMMd33AvXK7iT38OBewhqjA/ULnMuAEJhlERGcO7NOsxBwxRhiGvqr++Bn966i6fybNH
4oMHkEH4Hz+zI70JC07wmVPdXWUQb0HyYS/860/5063H65RdJ0sdryzKyC5lAD99s9yUAOFjaKs6
qhrnpreHLrqvrBS6UEOs7n0SeWqOgyx0dSgpTq7/5lX3+8vs55ufRcUYAAQOaRhHO/Yv3zMRIceL
wG536IrKMWyCSXusMMiTG2jStn8baAd5nRbpvUKgi5/JR6HjmRmf1ioAKkiPGAzQLAwYfmf0T4Oj
seJ+2REptM2GKhSMEoFyUBPyGJbcbSFVdjsm9Rhtw9Sdn9hHW/Xz7HfqXo4zUnBOluA7g9+puxXI
AdZKKXZWz0kzTTgcp6m26q1f9LP3bA1z48Ur3YFmgFOXts1xaLClbXQNcofJsi0r9muOuYornUNi
6dNerJTHVGIl8YnfJWkcc4mJ42xrNOJoTWGLM+5LCRf24vmtdX5AXlLqtnaz6pODrH6l54nfh2Fv
XpuveakYPDPsKRyTrptK6OKuiyhq2JRWOmItbe3OwsYvh4HEIPrT94DCtvlxaAavOyxWm7V3RBSX
7/lcyXIjvDx6r61wEiSAPSoBWz/zOQCMTLho5M47e8VT6drYfDv5Orp6hv4XRMtrLIHfspPrxbRj
IQmWXTNW3ZeUPo2OVSOPei6clXwZF4EoVLqceQhpa7CIMzqDXLEbE/5ZxbiqyEKz9efIx2IIKADy
3hkSetOdZWhID2WwWppdski8vouwMJO0kVPnzBAGF1C2J8Uuz2U/Y+ge2bvnLZWXJOWB9vWB9oi9
BlWGOc0hphosjMY5xHY4VB2S8LjzsYoExxlgNybmUg3fm9JE1kPLsqg4FnjlpLGyZJfTdNo4X6QT
4Ov3Fsb8d5FnldbWgQrkPTBbT8CjR8Bnvi5YPkUGj60sHucqDuyzp4nRXJcazone8/NMyTrhzhhf
eq4etTpelw17uCwcrolVsjYIXIogWc7LGDogLRbNItRuZ7o7qm3WgkNjlcw76H8U5FAW53ZkLf1E
d+2uZCxSU2PvBu96EHF6AhOCxr4MIvI2Fm97zMvCJN5magcfTIsvEYXQnHCPe0YmybZsqy7aL/i0
LnyozKY/AnnIwPPwKOVq3CR+sjVBmXyey3HTG9fDnOfR1rkuY+DrWe5juw7qCfS8jxyQbpmQXIhV
lLDjSOFodAMdgQN7XET9kaVU8F1wtRebuQY/RgZoyd7Y+qp5b+q0SXbLlGXWbQMdyNpIO5Fn2CU+
T6jVzd8S/uUtDRx7XLFFsOVnblfVwbgsCvvcFWKhEqDHk7FaMKplexaMdngFnIk0CG5/DL9OBQDS
tZdMgXdY7FIV+4Gh2xejMcPjvW4nsUeyiZItggNR3dmtcDqEITjG7eKMnPrKLhynyzo2Xo1pMgT7
MHQc8NX5OMMH0eEkD02aqZ3nkUBdw0WCHJ/0cH1I06ALr6gUNljEo2QgxtB7wt5mAVd2XaSpZOyQ
gaxWgx9r0hHY+1aWV4KHzmLL/7yEcXyTMYytmT/FBEizyJ9x4dJGQLPmXNsfWeDK4xgvWJiTFDNj
uUTNa5SkDtzQxa+Xved04rsoBwITiuaL8aYOEd1wgjfheBOGNmyjMXGGqyxlf/DZC3VtHZYacY7h
YugRDlnIhaU+NoHch/3mMBDjyF+njwXa91sL4Ok2LmJ8J1gqaTeAe3npTOCo322a0o0/+faC2wVc
z2Uhw7ZQPjIVSOBCEhLPzvPik5vvbDuZr3SSdfnJQGx/Yl7YeFdycSoXrrPAC1iMdhavK8afIDmC
qsp27bTw21BcbPqrgZzWtCc2TGeAwTtotm2RwRwiTDtv8rkZnkDKMcfPZkd8Y1mG76eDUFS7KpLO
h2F+imTpWardwY+B/hBaDhAmG3V3rQvXAQlIKqo7x4VTBIdmWhpxWFx8QsdF51F5qiLdYAuUkuUG
6iZlzwjmXsM4iQ4FTDK9FOioCtAFJ+fSia6cSnTfQssuqgdGHCMqRJjq+0aZCr40eYv+SrW1uq78
EQdx5nJsXQEfCR9BRyEq515tdSsji+S78KoLG/oSq8J45PnnODCNf23Frl7ETioU/GoFSQkf04Qt
pd3haAVkmFZ1usopd2hJ5szOOywDHA09EOF5RT0FBIc0o9djlfgVlrqxIlcBBgQeMW41vmKKbnss
Fgvna1eU8qpkv2F4dZUxNO8yaudbrRkVnecAD8VLJ6BGXdVuLrIb3AdRug8zI5oNosOw+ATYwraQ
t5mYxmXjVqyTDELhQKYH+oJGY6CbdslAYBLzhNzArWs0VLppJES5hvAPOMSru97+zJsCgzrAAq3O
JRxwHESMOpj5N5DR+s+0znkpcbiBuFxcTdJnmGPnx1zBrdviwO9mSC6tpkqC2kdkYVIwNYptXY5Y
zfvCyqk4AQl/WxGzozeT2/alqXjvrevRKfJjrONMIiYl42PTLOH83EUQ8q8JdASCvra4vdNDiKAH
hNuJT2UuvGtmNNlMnCDGDAcSKw4fjRDhd3A8eQ3LUpluI6emC3eQw7LklOIZbd+DC5CD2CaA5s9N
hTaznvBMjHeqdtu7QKOXf+ntOHiBkZUlh6zGtrkJALngx0CrTjdOxCP/ggfM816rFIVj5y/2wtYw
Vg+dPXGdp74JAB+mNmKqAYh1iyDgAxxZYJmsu8qE2FzqTgIZa+aMtqGAKaFnt6wpAVVH1dqrQ6aV
+I57ubKUHxAAwv5G6mhAyyKiUZl3N06G5wmqtdq2wvh3PPnyq7aS6Fwvl0BTNqn5Q1YDPRjVhZYg
Aqd5TOooWTgTLvVNEihdncMpmbJv7lCGD51RpHag0ITV1djHihQUidMGpSMSX2cZsefrUxCgtFSH
qf2FSiGVbhWetOax9SLrOlH+NFNu4bbl2W4kJti46XKxiWSmzCZzIF4gZkX5fWwNWJQTT3M2j0L9
YlmC2t4u84mJaif1SLi5xsMh5VtNffRm3u14prRHPjQ3Fmh2TCGC0pYm8tZgoSN7rUOLEiihU/qb
Bpa6ccOOhZyD1AME9MIP4gyGhIvVO2QSASlR0jPNWu9En7K04NfNIMg+id5pJmInUfodpy2Q7nrO
y48RleJz0itTrz1eeWgjXWSD6qxD/qDQSiy8Nbp5K8sZ70XVSfvzUiJdrHW0RF85qlXdNQUciRpW
VT7q5p6qla7aD0WAh13VxItfuB9a/yN1G6/6Ylm17I/sHQ1WjCYgBW7jFA9lsslbN/GOuNZAePMS
N958iDMvKt/YGpU3SNGIz+QQIjo53MwxjwPwk+jsXAqAurU3G4tgGHC6YL9cakBY0DLpNQIbVhob
3pFFaH3zwBlnuzDHswczMrPkytNLehX1w/gqFoz6u3jEHiPwxOU3hu3qVxj0Tb+rabFPd9E85dam
QYJ7Jkc+ORvTOpO/dmiHQOhi/1puFSOMaKvtTOFcm7v+li4lmkoVbQGsqgohmv95Du2nEhdTFceu
4BsqDgGrdGrNFdKUJuJWT1ZP+kkTbbaKID/M2BvTfezmKcsvQOPPA8omdIjGdV4JgYkvvGzcSxwu
yMY1zdKYwtIqHl61m2Cgt+AnpbjA6E1Y23PrAasLJ94mjlsg1XeZbrqdVpjtNwVVN3CyfGf6QDej
OiAsE5pujS/kfdHRKkBiGS//qnTmoVl7QcZbmYicbW+JdMNrraxav4O/cy5t9jzl+7juWoijJgN2
kkFtVCvJ24zRb2mu3EATdMXF5YwrB24y+0ooJBXxrlbf63hJq8NsOh+6vQYTBbUJ0Go5Iglj9ow1
nSs5d1M5xgPw/r60v3XAi4i40PlUAmZO8M1KGNMzcmO3WKdOCBcOqHbcQ8BzfBN1kf7uSVIvKzi4
UPdoh7HvEOctufXTmPtjcSt11ZOKm3YLImZ0nCH+fCeVxFLTOvHEx4bUEe4RKeQLmso0UtIm+hFL
SDyb9YJQdEW3GlUDiU5z++QZB6+YGu1RXcddlOlj3vn4M7rUbeVlqtw6CvOukw5b2O4M66eOzrM1
Md+ZBc+qgScb6YHeji3sFoOnRcQcxMUlpG0R72Q9EoqPLwGmVWin0QujkMjfisnjEJthtuOHbWJg
J0HZhm9OgoeXBBYtGXus48OXIUkth+a2YflaTMlgNtyqdMTMc4LltW6JoW6gtkTOfu4sJoAONL/2
QFdZnX3kngqLdyvzp+yovMbyDlHtRuIQJUoGqCjsrneFh4Z0y/qkSE/wHyhcUCmI2h/zjP8bav+X
dJnN/O9D7efl67f/QCW5/EP/opI4vzFHo1CaqSXC0A/AyL9G2t5vxsCHt5g0WVRqXogg/6aSeL9R
KcpKyzAUMcLW/Ff/Hmnr3+CbeJTQKQIwFkOkfzLTvsyZ/mcKdJFe2HBZfNRl2sxg75cJW4fzkALN
LDrkQcwJhRjbfhL1uCcMkm6LVsonDr/93U9X6D8Mtv9YZ3r5UMWXZpbPrp8Un/OLzuIwX9WJSwmM
6nMFPHEwJA2WTrFklHYasGAZO7tOHUmdBFmVFtZzlE32PxrB/f5XSEcx5bNdfmT9618xTiOEBCsh
zMn2sKTzRZKlCRcYap3KX3OJ5w9ewV9/dRvz1Z8uuZaM0Rj++hY9RL9O22PQGrPwYFAIrxufe5wx
sz8788NApmbhd8BUo7qes1dwMd3EJUAAjpL4cbTdz6z6GALem24a3dehqeQLO+xqPMTJ4qhnDDfQ
lxFD+mpjK69oDpGXyOyR1FQvr9g9YlqqAWc6VV7coIz3MaZbTOYr0as75uU39Q9jVGBbk9zgOSFx
E1z8VAKv7UvhWmweq9lHBKCabsNvVyfHIjdOtk5++LV6Ohuqy6vs8jawMO3AQpD4g01UfEurNJer
hRBw2KrjonzvWADq+2YUYFt1sZcJOiRgroVmD4r5rjL9nRkvHoLO3eiLaY0obEDOIegemQjWeKRh
qKAROMwJC+t7Bt0OhETxiGKrHkM3E4egkt1aWqjEQ8CHJDohDALpdK/r+cfx9FaBOPY2EXl6u4aX
EQSfReZ425F89t5crHwCt+lKzqlG3RffOf0TVsXzho9ukDn4eeUXJ8/J1NduBhydx4bNIV9R4ST6
VvnKe/eHqtogZA/WwxC6L/nFpUi+7Ay4Adr4KKj73RLRZL0Hj4oAmnFWoXWqKG8xutZriq5qvKhi
/gZbvGuPo4FVs2LTBJNjNlWY3fWTwJNupRQoJj2oVRINMAdVVqcJZQvueDs6HbCaAMgFP8qsXDLS
1GSvcIIk+gSZZ9S3gPixqnZg4npIwwWv62ayQYx1QZ/XD5KWtObR44eaDlk6hF97I9rhuq417lzv
h1GX0SaVS4YqvG3Hg+avpx+e32Uaq54iMqmvxVQmHENi6k7OYY+fODBl/xClICtgkjCBWAOujciE
wRncRtIyBHdlTKdX9MPOrKMYM1hVF/oBs71yDpo+BYruhiQUO2qB7Hcz6f45W5DM2WQKgx2jhHe5
rsbBs4iB9Bkb/TK5OLwDcna37ujPCQCOH6ZwP48Wb4O7bh6+9nWWkwFw+jzbQmdkFljUvUc1Qdo1
q2RksAeRuaweYB9iXqcOsHjVrK84IOiZAHssqsSmjzyaH3oVEATIStChT0Nnzdm5mmZewnmWNlgE
+w40CGkwSctHgyBBWFtgK6X2VBU7TKNlSE2hasuTvMQL8NOTNCCiwwYzz1lZqAlQJO2ZBDJ3Kxl/
1I/UqITzzkFP2JWJIgsRdZnLSCrP4Mhgk86to9WRTebxDcFPlCHxYQbmdKktueMHW1ryZLdl7N8x
CfKVO38hIqvaq3EozfOkUid7nBZcRRu0ef+pLoLxU3eJlGDWmjjzFf2UbRz2LlzoKPbohYZgmX7h
qabWK0ylF74MTj00GNAEdoK2iXxzyFOnuAaW40/rMJFzxkqftOrRGQEUfnSO4h+18hn6Pa9IBxcA
s7b8bCy3RRvRbG1xTI35pp8vBDeVG3t4Cho5v1+codG5aThkr/M6K5YVwqfEaDR3DYnZCLxnQh3j
GQJf9OABdvJ2QvnEMlzG3NHOA5n8vjBxmzeFxdmWKxmDG+iauX+eE69Bkk1k/0jiNASQZ1MhemyM
TEl3L3QSnXlyneBqjBmnbRlrLg/wpcaMU+XFNt0Vkylv5JTPQA2MHE+gF5Zk48q5+WaYdTcbDp/2
LZMZb9gLF9zFBsJ/824NLlHhIVbV04wvOv+opKduANkQm6+BubdkBR1wYdrVwxtdOo1/ahJwUyvl
h5ADQ8cCGkBx3XwgPQjRFTB7rfDt6PxdO5m5L21NzkpZJqL0BimUCjc9vRFzqeDPtlm0FWlMyH1A
zwIU4Ysnz17knSCCVK4iqs+JD+RwjEuHaQJ8ohmESR3HagOOrKV/qTUVGXTJPN8jftsAPU2m/j7D
FVxe21U6LtcNxdp48Csy6IgvMbZyqdr4Vs9Avvei1tinMeHFKRFMB4c4ZXHuxVVb9eBMk2K+S8Ey
3Qqi1TU9QZWTHRFSDG8HS6VguydunE00tlxqUUqn3OMsQm3ovIkOZ16/wW2UWM1VQ3ghvOtm+r23
tOzE+4Y/5JXFM7w1tSCfDO05OmAPj2BIkhFzy+VYTzAIGVzwEgNF1RWfKz+dKmgiXY25qiER4AHl
f0poC5h5ZYCtKvGfk9A09VvdMwPjJGjX9pYk4NLsgXD5D11f0cU1sb5njnUlpd3c5FZTDS8mkaRG
AeiKaNf5Zf+cEna8Y/TdO6sm7NRdTyyA7HdEpHM/uqQzNrUiabkX4wx3SYp5zjgH94h2sTf3N7xU
2f2kqQbjZUUdf1tdz6gBI9l1s3fTie7eoSJhg6E2+/AyXhebDG8gRcesMGJduH5IyyBujuZsUQoZ
nWA0zPyX3bAe/VTCccmEf1Pb8/TAeCluzr7fpNFuHDqn27mpmy2nElDanlrLOgKRZTfNNd7/hSRf
0dCPbNgKtscWry6bA9ctP/rJGq78RMzToW9GM9AaUXvXvLZHs63bXr9VKRGSzdwureAmtxfrZugo
0qDE2crPfVxO/qatbXKsqumtepcmJhxZHuzxWzIPNJJiK87w5BLZ6Kl+ZhcLyNtGbkQeyy7iYhbS
mDB+K4Y6X5HhGd477d3SziLOZe83W5Ia/iuzWKKX9kvnUoHkYfTElot5TPbZpjUc+pk1Z9QvdacR
je6A+9mmza1GW1BMDq0151Hei5YAB4CiUCVXC7DUN79vg9XIWfa7jExwSseoOFZjSa+av3QnUleY
9OqxomGns2+cIu3ITuTNZh7q4FmYLP0S4jggmMGE81zVgdRrTQb+yqUv4aOL8ho8GoYDcra8rkHc
7Ciei18ZWlvPiVc9jI0vEWlTNMo8YKMw2sPDYtobdqVA3arsKnCc1/IyrM3yyxMnKlTZtGs3fQ+l
L5lD6u8wcYHWoQeSsf+pbgfr0Ieh3swKa26GDfEQWV181h2VW0IJcmkGdCgYnuwm8/Nb9kLlpmuT
Zuda/kPTpWwD2tHeqzAmY2KuayYBQCPSk0eRVBqFFbj4GuR8Rglyzpjc9c4u3Qib3qUrxXED0q5j
h4Ecqorbsby7OWRFsqnmGuGo36GWDAeWh++9KdM9I6HXNjSwyZPgYGmDMR9ojSLMN9lDeZsGLXz3
KTrxvwlOc9tU76FMP5chqzMNwHKfztHZ9xCionbXmvyeXTIOe2HdB83A1onOppC4ZrxSLq+pyE5O
qIE9ajVqfHjBA3kzJCj+iDXcG3UKyOtAXkvuKhu4VdSV4ppfMCDvaCcP0UJEDZmXooGVGINrSjED
bBwjcdgMRq/A37QrGpuBW1XdsXufiJkPI5kA2fVsAIX31tnRCLO8UE+OHNUb77fohkn5Kx0Z3h0x
247pjHXBvWnoL664k04/bSiwfrI97OpU1zUrjnhra9afNdPbpvHzA0eh7q2y3eLo5Wof5ZgpS7IC
JzzHSFkjdu0hXfY1GdraRF9kr2woXDAmGrkXncCYG1Sfu6K5WDC1uYYkXO2x3Tq4kbvrZQInEE0x
glL04Av4gkM1HQPMoMyITHptrA8fcaS1PRj4IjpUNsHCRvGi4//rhJ08XWt6HJUawMP7Nj1aHNJI
0XL3FfmkPneEXhIsxtsL1MWrgmqvipAkM8VovIbgUfTc5nN3dkpFy6DEYu5kufPg5nRESd+9nxf9
gLDf7/NFqhtyJj6RNcSSUc165/v1mXu0f1JNeoUTBlN7UFxFscBYllxDi863Jq3QLa3cWaELzMcW
XMQRKJKzdYbwIcOA3HfDvGlohLaMnfM+TmsmPFk4nlxDWs51H4Sc9ykw4EMLPvJsOUwLZ5zWn306
G59Cp1HsG032eS60vIn0lJEZnrV7E0X0X8dVE6FGKfse0le6FcEEWzkgNBInMCV9Aih7sczOR+DE
8ac8Zi+FbOFfkbsINsJY6S5Yxk8ZVLltZarqhA3jVMLpIHUc9PcVyb/TGC1PlhH+wcJ68QW+SIEW
yhyg0iWtEIOmXSSfT259KcLORHwqUukcSIKFW42VgnI38rMcbqL8bamsx7ke3afe4XVHKkRdSjGD
TRKpp0bb4QPMEYpU0uxi0NYZFVvdRNAlLjdzGnzCc3qurTje0YcEa70sRmqlFYog07hOfQmlCq4X
FvCz4+ecwCrIKfgk4uu8b+IdI/79yE+ztkYiHmXkWFut+g2+4Rovu2h4KaOe43a2b7E6sdSXhA3J
oAX72KTIZ70bo5vZDtbmeaE/eUZSB3kqhjdtwu4+CQlnqLhPCFt3wcp1/h9757FkN5Jl239544c0
aDG9OhCCoSgnMEpo6dBf3wuR1V0MLyZp7eM2qxplpgeuwxWO7722Fl/bS9ae+jmDSKSlB2eZtedo
zaqcz5fK+eJ580MAL/IzgoU14QtziP3sbkqQj+9TDr7jAfnbleHqYc3k4UAOxHQOdH3P1Yjz3uM1
344E7+xrr69uE+Re5b7yfOgsVlyejAWLU+u74C8h9zxXWXEDqMzaIzCoUFznNmoHTgPrGuWP3eBW
oVu6B1TKPrdy1C52I+WDN5Y1Er2hU7NdHD4JSi2qrpOEG8l27n+IgeODya3aETcXjv2knzCqcRGS
t6m4Ber+FfxVtBtr/crr7Uulk4nbkOBV8GW4a8YuOEbB2oSpU5thUTFcxQx34qBXbTlTUbCoP09E
DgRPCfJnAR6nofp+j0TZt8SVxgU7l+CzjgjiMYXtGOB3R4RgL2e+zzpCMo24c7Wj3gmTm3uBIJs0
sbQlgoPPZm6Y0DEjJAODtUYpx+fjVJgg5/xpadovGOkGAswWrXAI1pnnPnGPtra6jX/SLaqIbOai
xr1wyvqYmv5XYzLi4N4W7dt+wvByTM3UoTacrfxb/u2k6wPaTd0Zu4H7OIOzKP5iQe060NN69D5w
Dwev+nM+wMapLnPjCbe/Coqh8zkgpV2VlqcGFZQ1n9fVMZBPjK4F9GfXDlw2rKc8Rr5gXXkzScjr
SP7jqG+Bhn4/W9opebnOzrj0dE+1UdSfYtFEgEPhblgJ9wH4DTv/xK2VcWinyNkLm6AJ8inPQQmu
dEhRqKPJeOoItQHzg/b2aBMZcvJsUj/mALKAE9Q/iP1ssDzRp8Jr33KNcYSNSlAMyM5u0EJyHLVj
tuHW7Ja7GPKvbVhs+Ola1gBIO7r1ESFMB42fodlyDYyCA3N9ZxUw3DNjBM06WCDe3ED/UDqiDJmK
3Skmg/chtSDckDrNN+PAdS0GEHcPdNnHaUvmCcp+kmKD3r3uVptcm7XVmU8IVfczMW18j/UP6SAs
fo6Ym/f+mtXrPuo7aGpitt1j1JAPAMdWy94E1UJWmhYRWxPhCmttrya2rIVd3xLcmBJoZBqM1xiN
SnHQKFuuO8pJVCSWjUUGr8rDh0nVkbOEETQITpIgOTspVpJDs3jW+yRFGnVAJ5KEJq/2wA1cvANd
DHbPm4q3OrdPBJl0800rJvdQrMvdDDjqqh+6723pEmdoItDpRuhxqIO4bzgm8DeurEpMR1SpCdql
en2w1ym61KRDvqmirn+rJVvSVMFZo4Bhn2PC4HAx1T9A0Mb5TkymuOn60YCDoD2mJMueNcI/D4Jl
6DQVyZbSqJ2wbhw6Q6/CAnfhORg52hIRX3iHdHCoZ2n15D3qMAG4uNOsfQwz8qm1Zvcz9/TkfbuF
dSVGdyPwbQZCHIehSM33jRU0V8bAzRy12Lduud4uDnqm7U6mO+tZ+2BN+JscLEw3+jr+4JKm2mPI
rK96zybeXPjiyraXS1YZ80M9xf4+Zaq/gT7hkmAQmOfGbRZEh3XtzhfPsjScw0NEwDGFjHv8jqAK
ucEBHuoiFECF2160sir3ia17QP88bjVtL3rmrJhduaAVyJLW6vt2NB9hno/HwsjLB7jXHgeeaA4L
bH2IBgmuOThu2Ry02C1PgIUJ69C4bvRfJDuaNsYxZc7Eu4V7AxYZXUcUmo3tnwsyqZajjUL6PBFg
dRPnQjuWceY8NWaxYqYUGb8PWF7FQXmCrdyNH3X4/O/WnP/EyQJsqN6LgsiZ8tta85z7cuA83AVj
+4QQlCAHTGD7IIVUSVnDIE+EstwBxiVYUOKQKKlB2S7N9ti47akL+v7LoNsLiFY9umCK5eOATBBC
mCIQVXwifsv4xLjOhrg6DLqTnHsg/He2ASFu6KPipAUriz8RwO/5Yt9UUcnfGinggQimDIACZHzn
m5AKcyrXo1SUj5HXiLuFT+ybgOd/prYxHx2+8D/1LpVJKKXzO6fKg3iXD9AkNSgreP5m9sIEpqPW
J/PFoBw9TgbIYiQlhMAjvHq36NhDC+bxURQ4TOEh2Wcxty0EnxKYEOYBKJZ8/Fp5anwz1+5HLDgk
UzKunAPkxfEJoc3josd4YNZ8IfrSG26jmnV4AmKEzIejRDVtGOYlhoINIiHL7A/cOkCOXwFHdguH
fAhwA+c4dmA/jbwzUC7zphT9eolmwsnhdCDXWfHadOj+TyUqzTdzbGFD8wvjTKEueLds8javc77j
7qzuwXMUZ881OIZw1v7aIOchLUbr7sYCAmami/XoVc28QyAUX0xuoR6mqP9AJeoMaQmRIqc6x49D
UJHLTufe/xBVHbEVXfXoiIIwrBflnYEtCQ30hNiUz56ID5+G6V0RavTYazN+qNYDFp8SZi/yEhkU
sQ6l2c1XQeknN9RIgbY0iXXFvX1zrw9Rvl/bAKpS0noEz+Pogu465XhjOQVOuQd40B866wtZAtq5
7Iw42dW1RXgUVgfxjVLU+jXPHTdEHMfmXbItGAvaYpGI4Ri5rvYGa8R4hRs2v9MpX5Vs8H3yTBmg
OplcN+yJ8YVs1g03pVGW19QZ0YmW9gXZoX+XJoAMEGnv/SmB3actV30r5vssSpNLtUTxe/9F9NjV
fpHsCU5pxt2MpeAB0dbGX4Z/wpF3TM9zK65K1tF2Np+myQNYmXVvh7j1YJLTOxOIsmXQh0sOOq2r
Ki4ibOcBrSQjOnHW1tpTghK3CV7cL62J4QEhHEFlewSaYkt7AVfLf65/ooKAbnN50XByCGkuFPrh
lRBk1+01PP/7hdO6cY3Q1AqxGVfxlfOiBs2DiTgqp6b8CTWdg8XyeXAC9ix98+AHDoRjsNHHYpjf
j1nJl/h8QxFE7Ll7dGO4j81NbTnFEesW6hPhcBBerJqS5IsiNak5Bp+8IEH9anh84pjkvggtKjjd
61/MmLDMKOi974tVCvbiej5Q1KzukFqbzxGy2RA4OF9PmQWHaWo15yESL6xrONwtlTYQcmPNEY6z
wL4oxw6XLhPTIXcV4XK2PBHu0zBsVuOhdub+KDyNDTitI+uMWqbgIe0+e7SJJS8OcTrx1dpn/QXA
FMKbYOJeazaokha6Xd/PWlG/N9jfdia+9k2A3XFIHxLrWIoxPvYGZiOEh8kz9ZeB1AQkdpNmYe1e
+AQjP65+H0GIvOVWiZTpwjQfl0p3HreKEWjWwgmx7LbE+2x6Ypgrw8VLgevCxbEfRna155rfDUO9
y/ILx9XmEDQgxYopmx/NwPwk3Cr/iGsHkfL0Ilg2/K1bSkJdPq0vauYkrdhWeCI+VggL/dSP3fre
yEFFGWNjkCi/dkRKugCm1tH3GR98nvqo1qm+CevCNzZUnrhO7XCwYu3GaApgv4ZNnGZmRe+BQQ7A
gIELIPX2+HDK8vG5H7z6HGQiQ2poMX8oyUBmmhBi5hqJA2RQvai1Mf0v8WdUL7d17e81bUGFVb2o
upEwUWPaJWxP/PTaspueemc9rOf0RRWuvyjES6qBJGvxqfxjmHs+biD2ZdTefN3vr2fdt8cT8PN8
2bWrqRnXZQSELxtapJXBi/6cSzW3QkKfltVxMLrmaRkEkNZgQKaK0v8Ud5aXnVwKKYDT2+qT1WCT
2LH/bkhUqzXftDla9qnzxoPrExgWzJ15R7GW4z+KGkrsL4L4dtPGT1rHxQB3Lybi4cyAK6N7Yxhz
pumjGmJd38z9dx8Hr/6IVpaybluuz10OYQTaObV1EyXdZOvnoG6fRsLGSDfHiLAkd1A3+J4KHglI
OBJ/geBzrZ7TbsP8fl7xgd32U3vxcU44u4gRfuhn+5q1cU9lOw97PN3OTB4DgRxk+unR2aceSmUv
C0E/uLu4iG6WjCtoN3b45h2I6+HshX7s4OKJ6sx2OWX6QvTlOvX7oRZ7391uc2obogM8QHgz+zlC
FN4nd3FTn4Z5ZZkcZutCiNrjPHP/1XZEkmkQHhPRuTtXZKSUBdUhd9kqUsfCR8AVJLWKC+C+Y1wm
19rYDCfEr/xz/h80lLm5T74yt7gLzTinRMMy1NvN2BJNR1LcvSePr8BjlsxvdA3ztB9U+4A5chhz
BK9TcwfP/o646pXNRvwIqup+5Utij9ske0Acte/Aw5hOdluMjn9YUjIj8fe3zZwDgdS9+3jyr41i
gCJnNgipii+W779xFvhFo3sXFWV7gN35w8pQLwwk4DwSmBA/lIt+25Tz1yLupn3DSkqRBOCH5Z3L
ZliPLUisg4/8P4TFVh5XqmS7qOKLF+1+CjACrwlf7qiHisRDIDckt3GQQM5sLa4wqqk5WFFbnErK
fiA5b6hWp6gmYuvr6lB6B16VV9lDaVF9AcxLj3ApvUs50EMI18u9uYWckt32nv65EPuApNN6bwVJ
A9XAbr3rjiXkzIkvYk/h9gmabXrrT930nokQ7AKjwlokRkboijsZF72L/T1oHXsP1X1mKgJUYiov
1hu+Xwk7hILDrQ9lWgwvOLQxv3i5od/ZHGyo+RoB4sk6Q1JR4VEwhuiz1pRQ7KhP7Ljn/gSqz/qx
rV/7QS/zr+TLmV2YN9g3+Omcw+DoIYC+jbgYmyksTu501dkTH3ZTa7r2G69Yao5vXZo84aAKFg53
g1tiXgpYvEKwVml8wx1RWu5jZ9R/DKynu///b0d0gj2o+Gia1XgiGaxvPvxejmK+dtghgvEDh5qi
Q+UTCy2m59c+NBx1QVfrJPVZfZA8FHbRP04GSZ98IruUSWa/0j3w3CM9ng4DNegWGUC/L/sg+lgN
NbJwq7K1faQVhXeebceZHpErkkKDCgMNPP5RvTh21kh23ojCEgRJUAFlJv27vbHcikYWm7rSYI1I
ROAWGceGt/8vH+H/qdP+n+kgrvpnddrT57L+jBKt6tN+2UyvL//+38I0DXXiXzbuV1RMrud4voHI
7G9lGv/I/AvjJUZQnMfYAzEH/kuZphnWX7at6+g9XIPPEdPCQPkvaRo3B3+hGCcCCjNasMnd/ld+
a/u1UoonQpPGB7DjBTyEGciG65i8ubJE/v5sVikMdS4Es2LvRWvzDUNXckx6B1NHjGl/n01NwYnC
WEGrLinSyqtq1NvphHqq0valF4C9myZyRwR5Kve2kwDmomC40Rzh4XoHpAf1U7Zqn7pRbFhIc6q/
6BYfXnz1WhQ5otXSHgPP3+5B7WSEZ16MS3PcPkG/ldTtAPdUBFESpdGt/qnsi+Y+pXBPluQ0spyb
4zwcm7RttY84wII36RxTuyn7aCRAevTYBSvE3+0yr39Q2r02s249aJvUK9Efbj5j35A0bhwuHPT4
hfFMbnzEkZpbo7K0xz8o6V4vIn//FQPT2iZ0YRRZjKOfzawFheOhbVLjuaxscYRt1J1mSwwnzUwS
riio4/w0hn+hH/zFwOCnuPwwjPhACTd15M9/cDARMFidszy7erNcx1U9fpwt7n1ORKVtqQlD3mGC
MrLg3MYci68qw4PYL/Ap78cZ8KHVkCYFwK6yv5bkNn0HtwNrGcI9vFn8iz3xWfARn2xYisWeOsny
dvAWhwARy1rqY9pUJdEaUyeOAyH1QKEcJ69JDDRguOTDBFMnaTzycqiWZW8E1osW20uzUHeMojtK
FIPB4aZpoOx77aNLGedTEhdevtfEYHFWdbsf6M0J18hs7Ks7kkmGcvf7HvyPN+Y6rmU6WHFN29p6
8XUHTrMw+mF25+c+rn5QvLvGa0W6iBlcODynf7+u/1t9WU2hUPzz6vsu/d5Xn8vX6y//xd/rr6EH
f9luYFBZZ4UzcCP89/Jr6OZfXMK6NpsyF3betiv/a/k1rb+wwusG/wODYLBO/8/q67OYmxh7bdPD
oUHNy/zfCINfrxzaJlm2IWrIcxnN8VKvRT0D/cbT733WFuvyUx/8avYytv4tOf53y3TEz5N2Tl2j
K5piCrnI+Yqp46vWxp/UmpaWuSabNT5xqjnsMw7ZaWs85lY57pUaNyUiBccmTBRFNoUecNnDXJdv
Ctyuf1rSft0pL6GRP3EAgkbL/clMphDH0g1SF+pVBV5UtSeXDne+K4q6G3hyoFvRiUzxinQCPn3U
Wt/WmJ8efaYcgaFIjCH5QB5OxIDEK/ZSxWeX8ARxmhCuxUuE0NeORxe3znWQL5Pis0vr3xItKQxG
d+BDviGlvAAU7P3hjb4mPPzPMDe3Q81P3TJxyw79exnDwqx18zLCwxHn1eSk/RnI4jrvhyUijEeL
Ru2aDchUfNkvxJGf/i7U6c7su6iHhsr5eTQtpEPDotZf20nx5x/lFpFRLJHdh+6YpvdlWba3nWP/
gUmxdfovFgZDWhiafCDmzawGSJjBbdTpdZgTlHanNErlE5DvFDrxDFypauUM1LRIhmdNK9WWNFPq
lpkrPZTOMymN6fQdPylkX/FN6blNqVNMs2wIW7GGzdUKdxVmXAGleY2nN0rtG9IM8IcRom+QDKHV
groN+hqd+ZD8iebzD6/UlBbkgIHoZX1Dx/TarTCwkc7js9qDS8uxMaA3Q5Q3hK0HunlHVba6t9d+
VOyXbVr/NI2E5ujeAAQjJDsje+Sq074sBloQtYeXVuQYuEKiQ2UN25ZKBpxt0kmj9UGtcWlBbpo1
xmXLo3eBxZFziYzmCzfq+effN78186tpKq3IgI4Dt9FZYMxY04BoFlw/DVZZPrZrgB4iclL96vd/
6R9Gjy694lkHwyccwWqTJdm1QQ3iRIrpn+hP/9S69IZTv1/deLIQWWCUTM9tlqZv5tTDFqP29NI7
nggA4f74RcTRmUdcFnC52+GrWuPSO4bC4qGIKXsyR93gI2zd5QNXQ+Yf9q5/6hrpFZMen/GhzStu
kgFIREDpMK3aP3yTbr//F+NH3/7oTzPLLNqlIdZMhFnnTD/awjGvq2YlnWRpzWxfDtGSn4LKcpR6
itSk139OT0yq9l3fhSQz3FrwWkAGFm9V3gKViddt23HMzaC3dGGB/solSXghGVitaWlL6TNh2rk2
d+FaifeWF3DDLEK1pqUtBVF8PVkpT43J/JYaxTnrbKWNEJ/76w5xEq5AIgSeIfcX36Z8uTG1Semp
LV3q68ltSKaz2Ur0Mb5K5uTHvGaB2nLMF9OrIdkhkKn6iWNN4eMFCfxn22yeVDrb0qXOnoYp65rG
78NgTG4yfbxayvis1rTU2QADKdQ3MYdXF5FTOWgfnY4cOJXGzUBaexMvqMdGZ3XsBz2/XY0cvM5k
Nu/VWpfW3sGIihnBrAiRpXLFjfwx36u1LK26qGXmXO8pzWvYunKBuCD1FKektOZSPLLMpNK6sCq8
N9y8va19Q+lVmoG04M4UB7SsWXnqXqt3pe4+UxhX+yIA4PN6dK9eT5RlkXahkQNjR9oQI6dR6m1f
eo9pgBPdQAdJRmr9OTD6R7KO1M5Ipi+9yaZDxlrHTRfOie0dp5qYxQFayVHtyaWX2aAq4B6LTrGc
dm8beMcyU20RlMmBIwTNriRdKnSgNCM00L4F3vpD7bGl3cxBEoEbjuFt4LJIlvqBK1ulTd/0pQWW
e8HazbdoTPpmF+HI9XS1tcSXltfG8h3hb32daPijrK8UCxTforS6+sIDKtKwuXtV/C0ZEmeHZu+L
WldLy+syzV02kBwbmjPxB305fI8MW22V8qQp6UOKTltAHqG3QLD3jCPlf7WlRIaZugJvhWsXXcjV
8j03ih+ikou233fJNjn+8+hGffH1StL4moFsmO19hnSG1K4toKgH3Dx/h/nnlCTi+Z3S97ppSwPd
z0vw87HTYU2OyVXViyA4oSGY3T/8lK2dX/0Uaf4vlV3O2PK7cFzmW0eYnzzTefx9L/1T09JiHnCV
1Mxiu9VtCLtDNxBjxbINtcnkSR0TCxz1M7HqIQlzV64v3iyjUCqfcgP++vVOa2BnQckGty5IYfwS
ZSwAzkaxx6VVoMYAW86RhvwI7FAMkdKKCrVlwJOWgTJwjHgF4RY2nl6gF7c7JMHmO7XXKa0DHIQG
4Q6si77v4x144pB1UGrZlVYBAd4oD7otjJgYk5YQbJIY1VqW9uVYHzXCCyL62iWTtHe9Z6Ti8R9G
4DaOfzF1XGkV0EeSoV3cvGFktHlPjrrVBo+VWzn1O7Q/3luln/By9/fTZ+JUdxN8O9RqfrkGSGxY
312M6kqNu9LsD7q299yMnod7dcld3Ih+pPhSpdlvJgUnfCy9YTa2h3GuLiOHULWnlqZ+Llh0e9Mn
IUF8E1DTskxtiLvSxNdXV+g1uVWhLUoAgPkl3dThag8tTXtid0enqj26ukqIhgfBAbpE8fzpShO/
soFQCnxpoYfb49ICBjwsdWaqbaWuNPMHot6iLWIu9EnbKHBW52uu9io39cbPRRBQ4vOU1PT47Gen
odUO6RxdKXW4I819OrdHz8Hc7yuH9AvrxuA7S61paebn+JGnGYF+6M/uIRNP8IQU+0OakMYUD17S
0tViMg+NT6A3URdqDy1PSIReFqqHNrTKBSwZcDeggGpNSxNSR6rO6ue04VDkh9lkLYR1o9a0NCVb
uyryHsg2lRSU2WZxgz5OcYBIMzLNEJhmOIpCbc3MR9sall2HQ0qxdWlKGlzOeXhdWUusLNsZnfcs
gj/VgLZx9oudx5EmpDeLZI0Hqp7eCN7vZA9cFC2zYYGUmL3g24jUF86mjoFbbfGSUwi6NSJsssIS
jwcEUawglRfyj9IbtuV5GrXECqEeCckhzo4ratHd2gGNUWtdmqrtYGhu56dtOM1LWPrtVdEpbp62
NFeX7AXiR9P1MD/olfkUpO7/KvLivy9NUTa8XhbLLg2MITfo77UNXeJtoz+Lhn49dmx51JPM5Wjg
cUIDXyBGJDJDvdJy1NYvWxr1HQL+CKROi6s5IuvRI5hez9QKfaYtDXt7WOfZ28AMtfA3iGGzc2cs
kUoDxZJ2Ij72c3Nc2UJxgmIEWvWuM84kVeFdVvsD0jgfiL6zM5ILQj5dsF1aoKUsxaalQa5FwnPX
jJHojfmeG4v7vh3VljFLGuTR0ABRCrKWbmmvs7mDza8f1TpEGuRCN4Mp6xmJQtMPmMROcVU+qDUt
bUizZnQmyuounLBSAYwomnrXFGb1Va15aVPKEGOAHF2QSpSp8TgnznwRWHC/q7UuzVDfjIIyybDG
4VP+nnXJB80nP02tbWl+LmvvmoOBnSQXEZGT3Z1IB9W2pelJiBb+U4dRWHTBdyMHAW8SaKf03LLo
SB8Ht7ZdXijODTLVgzloiP4CID6qjRhZeNT2/lSZAQsXiF4Tl055HkWmNlxMaXqmmlUsBrC10BXT
3VoSRd+6SloRirWvN4rawn6ZGDGnDM183zl+OIx/OppvC98vDhmmND0TC0NQ1HR8lRegeh+Mtm+z
k08O5sgdizH2MMBX512GXyrDjUbS4SGxhBgVf5g0g1EbWIVf1G1IYPEPIgrWveW1amIqMPeve03L
MpzWYrsc6QlyqhrjKtmSANWGqjx9A20KzA5rbNku7yrLf8fx7INa09LszSwwaWND6SioV/3HmAKf
Wrta+1NBY+vbX71xaQKPq4CX3A4c4z2M9zqnx7If1WQGL0lmP3/pRXAQ2ryiW8A7349R8zHRLcW9
25C2Vh0ZU1I1DBbfdwnNq96uvalWQZKDiVxkfRhqEhZjUhXmJL7uffGo9DY3vevPPdJrawpBgrjn
wSJuM4oJqhgHxRqJHGdU4VDBirydHmHsNRxiStGprcWyVEqA2cxyj6+9VHc+mKN3yotBbdbLor1g
gI2gGROn9RiMlwOEaamSXvG5pYlZUOlGhOVxfDTj+66MbkXuq1XpZcleYRPhPBLNGa7lCO5jQHSf
GvoXtXEiTUvOMXYF/YpZH9SfiqAth72BaGrZKzUvq4vseXE8CEx8a8zRQ4opLpoMtcOjLs3LtIUi
YGznUpt4O4J7AAJ6tppYwdSlXdU2IpcEbHZsAR1z57jOd+DJihUNXZqbrRb3JBTobQjI5hEE8W3V
5GpjReYdD2tvVLFH03OXhk3EYV3Ej2qvUto0C78bXSq4TUhe8DuYl4/maCk2LW+Z02JNPZa7EE7u
TTSId5U/KVYAZNnJLMDoWgOz3hm7b6wBN21ZqZ2lZdmJMKFbBB1zvp/TswsiqvSbk1pnS9OyToXv
zT1FQHfNCTgp74apflJpmly61zvDvIo+y4y8CfWs/zZ33h0gabW90gikOQno30mDlce2CeJeY+0O
VflO7bGlGan1gCZ9nxmJffjBa5LHINAuak1L89FvSPxYLRZYa9Dfgoa5ISxeaT7C1Hnd2XUw4mwb
yyb0Wv0t6KR+F5u4zdWeW5qR/WxOWb5taNR4TktH4/0EeU+tcWlOOoRSloQz881S+9pxWI3gg+ZN
4oNa6+brfjEiB0tMx77g2NF5noI3MNuU6ueEm75uurRaBMpx24SzFn8cff2p0golvTK+oNdNj3jr
rWBlyzEdARemggMVjyCMlfpElhDZDRkyY2JyPgH/sR+qAbO0cNXGuCwi4vxA1BKkg9Adqie/D55h
6XxUe25pZiYsTUkq+OyfRlfA1CbYDqCg2jD0pbnpDWbmxxPDsFmBluGcJ92blEm1J5dmp6eRcF5t
9VttTo4CAl7pG4ovU5qbGT6mResoyDliWnbcz8HKgISmdKwyZBkRqJ+pB07ZhlFeCJAPwX0L4VWx
y6W5WQliEqKY5XAYLJwnebZLU11NlEO4xuspBJWkWfWB9zmL+RTb2dsuFmobmy/Pzjwn/i7lFAHM
Amae5z4Z8aik2sAl+PqxSVp0XSBlXDhPAZR33M1HW4fQrTQOZTkRmWdJNNYCfiLzZtKTr85kKO6b
spxo0qMMJBy6MHY4A7AyrN4SsG7U/KmU8+sPe8OTZmgwmyTwNHYTRlF79pbxOTMypZsKnB+ve30q
E8JBtqq2RmzIrk+G+KDNQJTUel2aopB6vDViuwiT1rlxdKiLrmrT0uaJ8sEC0oDdba7h47ZN8i0d
y0Rl1XJRCL7uFfKok05U/nBpZ8cFmWJucRLwtxV6hUQMaaQnfu7GwxwMF/KuBhLy9Pc2yDGVLqdx
6Xzo2XCeYVvTuLWcSWg4T4R5qj23tAth3jVnDyEOWNug3dVZD/YprtW6XJayiJSAzBgY+KWz82A/
lGv7MAeTuP/9o78UN/6jNka3SOM86Fe/BTIHup8YbP2iL0mn3SWkskR7xxiL6KlgTvmXJu+m5By7
bscFrDONgP0Doj7OhV6mNn5QAmfvknVupxSFZkEuzO8f75cT3AVh8nq8OUTajuNUCIArEWufYfxA
H/NFrW1p8RhzzYlK1HCXtSk/2k4MGSxQkjvw3FKvjmCmEs/MxYVMOCL2/JQItOi72nNLa8e6lm3u
24m4zGNDzGE7EhWaOb7aWHak5aMG6TyvRrr1OMkwnmfB+YPkrNi6tL8PkN1F39LnA3ORELUIRKLv
/FDrGGl/H7JopGLCo0dO8kHvpyur085qTUvr3kg2TjLaEc9txgcb6lTgFVdKTcsShL7sy8kVDBXT
qO09l8wQmVDdKTXuSmMlGh13rKpZXIzCuiai5OBUreK6JA0UUhb8LgsETQeTuRFyr/LK7RR3Ammc
ALYiSkMjUCSHbEmWK6izPlOSBrPkSePEJegMhn4nLnFVlQdnhHaEBc5S+VCjdWmoRJGnlzO04cta
eiQK1iVQWhJS+kjlYMLSIm2SWVYmUK0qnp43e5WSxnoT9JObqY0YWV02BFOM+JtJ1I5vtbm5hSat
UgMHHSRtwDroHidliFyivv5Yz/E97+DL74f5tqz+YhPbQvl+vnEYJ9eMcfcPl4wM3uu5bqsQDOmi
7ytDeCrHcB5f2i6MvoUhrzss6cDRwQARAUwcsFqvy7oYK0WAXDQm493Jzqb4OFe+2kySdfbs7lq1
gm+4wCSL95kF9Z2rNrXlXNbwxn1jwPuj8cRryduCfhm3KvdTdLe0ArgzAeaOs4gLBB3tQNLIGy2O
lDS8NC6tAGRNm50+WeJSuAWYdXv4VKa54ilWVvP01rQSJmSLy5KltzY8ua4v1KaQrOWJWjeF8m0w
BgH2XoBSRftmaJXEcOQZShM06ciIrQ16xW/6S5VYZOt0KiUgmpYmKJm9WQmrUlyCtDhHbrX3S1el
5kbT0rzUa4AzS78KlCoacOhxl6RK98Y0LZ3inFn4UBNpmlBKEhpufPfz79erbfv9xXolY5lMt2vz
TqPhESnCrUbowE5k7qR2WLGknTkLCG2xTMJjvaic4kNPnF68a5IGE6na40tz0/QNz29Ev73NZt84
w1vLUvLW0OXSzAycpgWMyYGlmEtSIYBuT0OQqC1Xch5p28GBdnuOLGVhn6c+2CWBrjbAZR2PZhS9
R3iTuFiFF2okSiVEGyv1tqzgiSpYtaM1MsC1ILnNIxDMTZF6ig8uzcwsynM/AmJ+sa3YwMA3JKfS
7321ySnLeNaSXBqjbWk9TVJ9VxeiJjShjNtKbSjKYh5HW0hCLZrqElUliUJ8TzRLrLbjm9LhucRl
3EZ5K8gfI7ZlJVYvTd6qvVNpipJ9GJBNVrYX1JgwaOFz7zWdCrZa69L8XEaNEMsimC9pMF4yp753
s15tW5ZxNeARnS5v1vkyziTRwAPvjnOtKx77ZZxM6mbkFOMLvtSF/y42Rb2rnFlt7zSkc3OUU2A3
wAxfUJaJU5WP5lkE5Eopdbms1OlMu1sqK5ovpbeAFYz02Sr3QbtM39Xal6ZpAj+WUhivVOORYQ4c
3fZP/omtiV9sRrJcp86NIZ1HXqnuZOOPgNdrH+Nq6r7WrV2khxnJZvZOW71SHNV+i7StrjMwRy8g
ZdbtHzWh7f1E9S1IM3atytiGYjBfHO5q+gFXr6NUJ4fmJ81YIlv11fHpJbIl32SecTbULmppWpqu
3rJqZZ8a84VPjGRPJiIM3k6xKCIreGI7qk1TdPMlstP8LbUjbdgtnWn9qcJg6C/3eL8aQNIXbwbD
PiLZuLlUzcaYRyufhKM7as5N0vux8bhardE8izgn/WW3rNjcPs/uZC3JPo0a8sJ2qaPHVYsHkJTN
kOtTsPszLP7uyShdp4UaXQxp2I2Eut4JoiqCY65HTnTV62BYDxUM8eGK2C4ikqBvkq9ZRQRXHUaH
hD5g104Qf7A1h/hd4iyJJCmitu4IsXPRe1oBdKNLn1KMurfNQXNOea/b8dmd0yi6nxrf3q+kbc3H
zljCsTTtdxyihi+2Xve3zrvmoTomj5SbEhH7J2G1y1cSD+Jl73B75V6QG1XBlQVB/ofWDVuIJCjI
eG9XqRefoC/a9ZORmeOPlZzYihTWssWApnOfcVXPllN+M6q1IphQK8r6khBqvb7LGuLRiQN1t+Qk
35m7K7Oi1H+tCVJYbp3SqaxPxdQsw4X8rIywRGJ134p4cSBzO5POxa5RN8VVGU8xOaOJXQNWRQKb
HvJaN4Z9HgdQ1r2xd6JTD2L3vzg7kx27daRbP5EAkmo5lbQb7ewz3U8I+9gWRfUdKenp78r/Tso8
VTDAWeEARSu52QQjVqxvvr23x0iQtOo9eNI6rEzKBfP4jx2TPhUhm1doNBvuq8+Vgjt74ZkwifMt
kkt7TqKWoXncR33gBBiD92RCYLVOICXuCey/VxE97SAevRqmVP/eL9wFL71fLfgaOHTD/3ftExBv
y7lJUniJdPWZ1JPwn2oY/jTZCFgwkM2H7oZUdu0cnePa0CU1wN55Ge/Ajc4PILNLUNoWStNyFFFc
BDTo+0vCj9ZLx4AfnwwAtKim+8ngZYbUZZAe+wqCyDtfmgPJsJYqS7Zp/QyQKkWbtyRmvQDd5cW/
jvCY/CvAMrS8+CDNJOkKI4Qu9zzw1jMxwhgnJiI2aQTQagk8ycC+45+BFXEVN/qGh/4AakI4DvOX
VSUzwHtjHfNrFc5Ep71gyKRvAXYRQMJ+tD4DYrELCQBZqY9Utb2/54DleN15rRNAuecS8hdUY8Fh
y3q0YyK+9cFwO4EcDxf+oCGiylgi4fTeiDnYcqqG+rtR5aZTj/SAPKBlbBV5QmquP4xrEH9G4gAo
HUBZwPZp4dFuLjP+c3NdE3+B92YzBskTSgfRnHbNaPqLaOFDCe00emNgwx8BVQxKLqiJWz6tq9y/
0B3E4T1dYgAxf8UVsAk5qdrVv284aX6xo9rIxUu87Z8JNb1vQEexD3AEqyPkLCpvehVlfZCsCiJz
3IHqomEDrYJpoKdFwH79GWSmkJzXsgVgZl8F6y/SANWWzuGqn0Zgwbsz9pa/Zn04DT9NFSDzJyr4
4l1R0PbUxQMS9jOssLfTAC7ReKe9qY0/mrD3brXGf0krreb48zIkLZiJatmavj4BkhE0L3CYbLrf
gDvD/k7UQLStaTIIP7pti1/C/a3TZSi7rEZZaHjHFMOaKcMfu0+PA3io+gLcMEvuBzO8rwGA6HEs
lQNQpwzvQvEWS13Rt3r1KrDogfmg4zugFlm0SLXDxw5EpOpnMvpt+XPmSPTkZAKeJquqJmrvqkkG
W9FF9Gie0HoWfWq2GvismmiwG6dervMjTlNvywIgU6JzA7wYSyfN6/aj2Xeffyx7Km7JoKQuxlbM
5W2Ituh3A1/m9QrmUWceuq5DuMBaPX+OQr5CBiRX9XsB5PW5l5sASHbAjvKy+WB1+6bWwxM5PRBj
AKkLl6q8Qrw0XsiANUG8SCaPGxclucDQZgRoAaGah9btuPRP8QZ+bz4nFfxzJFzj3klwnvkedUk3
Fn195P6BsyMFQS98n95XBnfV/UgQQEoRpFLsKZykn45yhj/3/FJ7Ez9A9oljfGFZC5zOXSICcl4a
QWjhBQkYN7kfB/OncQ+RL6PRzL+DUhbfJX5vHqLJUz2sK6rWv4QNOqDOATbB8oAL8NbuQzYaXsBB
6IGbqJoLqYLjATyL8R5pLdzufqeAe93jTqhzX8dGAiCDjDFYe5J/azTfH7kMmjjjxnxlauQ/Qz6W
P9hAhu5liKsDK6GikmYRqZJ8G2mNC1F2oAaFu0gT5OPSsG6qH4FOzjqoYc7YkfGEBLrMN03hDbsA
Rblt14CoPg8lSkdz7F8mOLSDubA/iXab4N1wtGAtgAQh/bDDulQvCCNWsEL4mq2bZ9LDmNcaxje5
AP0yFX3c3yvGHjbwMsN4+iIMcKWMqCpfUaHP0TZzf8SgreZtDRzhAplRDvoVzyTASjylySovWxm3
EqdzEz/wpPmw7hPow8H2IxZiOTcjUJORrs2HWJd9Pioxr3kbgp7DIUZbsWyTEsdPuG23cUO9AKqA
D3WAF4SHEx5XW/dxTzych+XIU9C6aObVLU0Duj8AwHmhanvgegLJs5w3CHoBOF/iusr2mTw20foV
0xidxvKgVySyfsgABBHfNznTnchhWfibG1KdPJimZAmUNwgAtuYMD7PL3ooxKzlZMgKz8jMcwZ9J
mzyte4y+X48i8lFrBuP1Dp3FoMYGI78fguahlJvJo2h/abppqM/V5n0FKLFK67K+g7nsAy1Fnwo6
f+xNndzmCDjq0kS/YUn7KGqUizM4WD2ETb9gJ/RbNpLkHk/O4/0GSPD+1j2OoA706CplYkK05Yf+
fJZ+BErWJnXGGullwTC+lrGIr2wR0zuR5yXwE/80AI3jSzbAAB0GBQOg62ncNcBzhmA6gnNZF0hW
RABsgPqCcIaj97hrwmc0UMW4acocf5Do8gMiUwns6zE/M0Gj3yYqlzLnumIfqh4Ny/moGxQdKex0
1T0F1QK5A73S/fEIeQzCXifkRYCXVWf4+yjLQq8t6Rl9yXS7kd6nDxHxYHIaAGAt0g1orX/6Hbat
g/K9pEiaMvo8tG24pf6+bF8gXIzIGZ4R5WfTNGZGzNdIGLqxINmwMic9pWKojo8c/u/HKSlZlbV7
xz7PXQWQ/QQ47ucYnO3fk0Dl565tV8zOWmNPYTuNMTogKnXgAkGi7DHytmZ/nTouulssSMLOExPE
pKT1luA00KkN3jnWQl/9zpSPc1jO66Xxg/pbewAGfA1mGXR5wiSWFRtmuMH1LfjRuVgafGuQoIrw
4vOK/jPHUDt9BIi2AVx6QLIVOVIzfiHw8lkRVCVVc63KofvUL3swfO1hhv97QSdalU4AKQExj4gY
tSuQXoN8D3GnPWvZ9v0JYHMeotC3N/U1bsf+jdCgrAGIlliQ45psJf7aBZpeucbT02IMYJ1zCYR3
CqvxtXsexgHsy3btfIqDRYEcggwrEO187g6aTrXYgdCbBH0aF3bUb7B05PPTBJfN8TyQdZZnRUvE
hkgwA+psNsZgdjZ03XLWg6/yALDOK4JmBvwKnoL3HhdzRhWltyAc5/iu5CtDPBYex3QCE6v5TJh/
bD/DvSQe1tfoLZdpII3KZSOVeKkhl/WL0YebE6YCHfWp1lTKjMQM7GUPfpDAAwFPdg27CjRCUKPi
IQuFUsMLPMo79URhnQZcL0JeCpDokezPeLegbSWYjyA5IbZ+9tHdumR4IuAqPfQObC1sEiL0owJd
cUuoWKCvieIVsGmYI5apVsf4tgE79z0YE4WV4XFckJFCH08W1NL87r0EWChYlCwfu90DC6Eb4el8
pe17VBJtvPFzvSB2h31OMt0toNrBmSqIv4N9E36YR6++AQSHB4WCxzqOQiofQ38JdFrXegtuXAqY
7nGh76YgOI7ftQ7nT3jVJXHaDMCdZhMjV1YC2eHVpl1ymNSMwcUHGG3Leh3Q7QXE92XP/L4BL2nk
yZdjrUsvBR4IzEAxDN0Xj7xjGdsGscD9iJP3eKoRrqYrVIDnMup68oMsMxi/eOyo7rJ4e92fDk7F
K8giQPceQGDSW7wFAb8Tw7p/gBRS/obOQ4OKMfYdbGARbinUk8xI8yNo7hfgakC3qd8DI4CTB3Nt
ddj/5EwF0XMsAsCs926OM1T/rptYgWybIQLt09ILHsIJjkrZESvkHykp9xmJNjAY8jUKBMlkVdeI
x2I/fBmrwXutJy1xEy3AzSYmluvTEc7D9Gzo3v7oTLexvOa99NJdMlxP8+xPfg6gM3sMgXB+ruZ6
QEOSqb5ItW/jl5ICrpb55QE8K088L8cGqGMQmICXzABtnThO+2SZsg0wpepi6oPddLKAfxeMwCll
M8wNcaqvXvMFQV0TpbAoV+juwYe8HWAW/QqlNC9Il/sfqzg0PeDMiyxmKLIRJC3R3mBDRh65VVD+
5ArQpVMJ4ulVolKXyg0+6GfSrVt5V+t5E4/VRMTHUYdPaN4I0p6RPGJykacYTVF+ZipeIqPlb1V9
Nw++AbP7/7DNgdgBFhEDlyewxoR6BMDv8C5E1+QeHnzmM+x9vYfOiwGr9SM0VaZt4iMzDojT6p/o
6PvTQzkz+WODN02dEkSy5jSFdE3uItrG153XDdRUTAMmiOhdDqchHIH0rGmQIokAdAxsxS/wPgZ/
bdQAYQImtYJsvnhJdCCmaGIvh0e1Ly6iHGfA6MXBX7hpju8g3osbNUI/1hIvwZRvLVUPCe7w/Qfk
0Ls+HTvuwMvSAbC40aP8NnQrkCMjuI64beQ26HNXUjI8ISeHR7lmCA8hhxU/8YZu3up50de2OqLr
mGj9NuGwLNgODNcdoE1V/Yw0fvtLJC1Hr7Lcl5yNWwsjxBLxTT1Nj4A6NS1IBB6OsYEH/pcRuq0g
ZdBlgxi2Hf3jMqhFnMrQxE8UMt/lWooFz1LAxsJ/sLPfkzUk3r3XCazlFQ9aPtx3zTZcQ7YGX+ZS
RS3iK67NqaX9hFWFS1HBrbPiRdR3YZDuKgZtbePA3d6JOhQ8B+7z/Upoqjda9Y+1Dvy8ro+bOvYx
hXacvAZqPO4Hsun1gfnJ9uHAXTGeGmE6dGCVHuaO9nFUDOu2sVsn1viDnHevx6TLtgarNaDfMGuB
f6v8ujvIyQtBwZxx6sw74GZm1M9RAIuarKLe/CJlUkICL1t+1zfmFzmO6Pg+t2H5q2OaDznISXVa
y33PAHSUDZi6+w44HWELFsRyRw6gZYOGVqe2ldtDydR1K9vnvZ0Dg+QEoL64/CE5S4+KdGHmgTL2
cxcJver9mN8qylYAi7YJcBva0HksAhh8qDyZg+PVO7qVpmsTsO9gAtZfNVv94Epa3EmZ9sNtPKu9
RC4H/OBU7Mw8zHCAR/hV995lDZHvyABYO+SNxGG43u0zirJZMDE23Hs1STD5RpIPNQzG5kfAR0BL
AIokGd+UKcHka83erh+Wqq9+o8iw9DmuYI00DGw8McoR7TqTbA3Vvbdh/hkIzc9h3/bNuR+PdxvO
ddrDawgFKQwouRII7ysaPKmE9WGmcbA/kF6Y77Jq2vgS1wMEaDiF1Jwn9SBprkpgns5dDH1EADBt
mZK+xmmzAEtRZ31AcfNNSPhS1MQli65A8+i6gGtEMxar1sNbXAPScjdMVYNFHfRVrrugA94SF5pM
EcoPQGr6KwNZt5Jo8K9Ju8rP4B3qPsedMZRpCMOI/hzUbTDn09Ty5hwDjV099mUv8OphOgIqapH6
xyIqXABUM9QZtUzWJKNjlbw1JlQiA+07rO6Jj4zGBzwC+F74ALDTD6yEkP5nLNXRPZqkXlZYgZiS
XUZdNtNz0raD/+sAQEpeIm7Eb71AU30H2F19YOfWU/hEKyQIQG6uKu+5ZAcBp4pKFCKw0+dkwiVK
ZbfmgLvhOb3JRHaf4A8U65O/sPDRR3aTtamHUyd4ZmFHbqRToFGaeGz9FGDYdr1TVT36F8X4WJ/B
POqrT6atZ3baym0Pch2rDvcbqErdl3XZcbqhxDVuTxT5wO+ohIx7KpKalFkLByuRV3TRb61fhQyo
PLjL3VaD53SKS0R+jlY1T+dVeMgcrMs6INiNZjo81h0vWQ62dly9bR3xhmzZEwLu4XRsy3O8qvHU
diuejXiCtPVZJBXlv5FFCs2pi5twRNUKgXY6Ix81vELdqoc0ifF/KJqERAw04H6VAPDFyGN+GQEJ
DmiK9EXEU2wy33saew8HbTvLZCkiMIirHW2f4Lbe1wiyJIClmjHxvfQ5lyknQQ3KouDDd1njfyNC
UqEBDRGA38dSNtN3JL0j9E6hFrpkpZrwA7VdfExXg3+gyfuN6BiJpqCNvpNez921GcI5fOWmNeIU
lVjjKdvj/pk0ZKn/SSZvwqO3UaXK1U5kDEUBqwIOJGvQbcG3OTw8/o+v+wGJBz2u6gTlr4fnU1sv
QRb3M+HphlB8d1PB2c23INjWqhL9cJ2jvr12fEqekCsLHKsxdgPuRAfawwZluCYL2fLmnap2dHCH
dShQgTFhFWTEFszREm/onJua0+zp573kZ7ehLX1Dh1ssWAI4WeqJAUpLmiXz9tClOIvvtgoxB1L3
XtJD+o83zH1yTI94xrioVGP6L2m+AjS5G/m7E4Ha8Zib71BWcrOtoLY0v4z2FR7qaCnCXld53IzP
eOY7qT3x5VbldELZrtmJgod/7N/wZH1lxHOR8WBoS3rkI7HpjxG6lYIARgSxVyFshzmaS0kZo1tl
0gbpXF3L9w4xPzhP9fJRx+FHp1Voy4LRWA4gWOQNt7Hib3oA3tuMn9yGtuqkiCRYB7Pm6SbwpOto
n9U6cakbY0KsbakgO8LTBb5KSLhuAMUSeu6MdHN/oLYqmHsDkniont1W5l1gMf9r8eLPbnNi7ctt
anEIQkx7e+8MQdYo89TmNie2GrhZRgCDlhLuIyisgIsLoHm5jG7LxNYCU8RX28KwvjVpvvrteh+U
gYu2JqZ2Ywd4x1AdeXA24X6LPqL2VR/CRXOEoa1dyUY1Mniyos0vlmAoyzY8sb6qHUcP/5QaUzEb
DogVGraTg54h8X7cEXS63Q6hpV8AaI0FrUY7a8leOJOXYG4cR7a2ZRysnCqN87sekeKAeA95sB6h
l9MCD62dyUu61xOUqDcerZdOH3cbHS9uQ1sXpmjMqKYYC+UI1Tlk5IXX/Ivb0Na2RI03gpE3zAgR
1f/etvqM6PLVaWi7qaPtwyT0NQ5Y5IaGM9Spx6WeWu2i2YtB7v1zDZYhG3reyfE2beE9Hbzb0JQf
3D7cui1REYUP7ggrwjBiaRRUlz1yY8fApP7PrxZEK6QUsXNQlYRoAN4S0qmtCBNibUrcwR07IPu/
oUENmTjvThC3I9CWz8P1vuwGDz/kXi3gydMBLPmgdLvhbfk80PH9MqB6fjskyXq/uQ/I30yC33+v
f2lyMCPWjoQYoAHJZELr7YjUx7cW/snf8NTCqwrZs/C48mQmzzsJ/Okvf8v72vsv/6BtPTabo4vR
iF/fevwRUPZUZXm/ofx9dxg2QvOAgv0rSAKigtKlb9wOY5vLx8aW0b2aEMf0i/oSRMfepUc9Ksd9
Zp89/iYSUeHHT3jwPJbsoae925fbTQKSR/DQxePw1vXI1+Id/q0Jh9ntOP5XmwDo7uygsMuJI3Fq
uubRj3c3UxG7RwDX3yr6Gd89zygKzvGYch8SHKfDx+4SiJdqbcIJ872s1e9O+x+XsZJ/Gfv9KPgv
69NuEyilRDUdkqfbQKCxQxvSq/ZV9FnsTqp7JH2tMwjIhpbxLR4Qrnd+Giz9d6XV33wR/sd2/nfD
ABo/dgpzG+T5sMT9Zvk1VD3rslIkiwTcfPSeRd87nnp2B0Elpkn1AJ/ffDV/pjt7iNfFJTGAabIO
pmXtBpThYAZycGTUvBY5zq7S9C+/8nug9N9+ZWvH9tVUiRmr8taZyP8tCVlh2mlWR2Mau4GA+hNM
i+BMc0NNdP9IxKa++lMr3bat3UPgN2M0xbTD1JioLxj1FKq7yjw7bS67jWDzhq05NOy5QiSTYBnF
kS9ms3HLD9hWoEcN3soS4PUk9XbzePjs+drtyLF7CKAOUyaCUO4GQaVCmTUYUZCP5PGXG579j5Ph
//77f4AoutAvkbjk/c2sC5Lmkaz3xwWugpA+b1rPyBCu/Qe4qIyvk6TkYwfxl4fQqI1/JsC338nF
jxX05AtHVbT0Pia+D9VMiLjhpVrq/mudNNOEBlCy/Vy80BvOuOhncU8RjkNlNmIsPWjxbqK+uRl4
U7txoRvnIUDfUgffjfFuGocH1XO3FJOt/682owMDiVKBuPCX5EPW994/bgvUCscbqGAnXmPogD3A
jX063K5aW/gPMPOiK6jainJroDXHCmqqvwQ9/+O4sVX/WtAqmvEgLKBETl7eb6s3PK/ab04TYlt0
ou9n52WE0ScUf7a9zIfqp9vIVihOy3pqdDlgqkmbbuIuaR1Tp7Y9p1Bm4JHoedHNJw+K43h1g4xR
252TyYiwbcbIoT+c9jm5N/BcdZsOH7fJf5wAxu/Cce0xNOXq7M9HDvsUt+vO1vbLAc2la4jF14Vr
mZXQDkGg15qT24db1x3aY6uSsZEXNaRpOdHds+4Sp2aKmNpEbZTnji6KMXjgTWkcniNoXJw+2y4O
oPrhzxvoKEXcQeKQjKlRH9xGtl7GkGSzsHmX3dNaofk7Trn56jay9TBWajMJJKtREQdhkx3LrDLa
ob/AbXRrQwaL8JoYdTE4aBOUO1do8g65OVlMxNR25oQTuiihSo8KFYbVHQq/8gSpcPWXC/R/HII2
73eDjiBq4iEq+OLXD6xvxAfoRh2XuI2F5aPHghnK1iKBmkmH9Dwq5rZ7bHtONTVmO9DWUFCic9Z/
q6bD7eFou3NWPEnMTJeoWKYBWv6f4+EYgRLrkgygQPIBV8XIC2QIZUBfFR0SpyQhse05wbJu0GIR
hIUy+kkc28Ns5jeXBU5sd84dQjcUVMOwIKMswckWbWr6yC3sJ9zanGUXVUF4mLBoQ/8NPQfPEyql
bh9u7UyagH9AagyN2KSYaHmbAqe4ltj+nEarIYEHIOSU5V5d6byuVwEtidOJQmws9sRiRWHjGBY4
V+Q59siSL30rXZopY2KDsedd+bOGUK7QHAygOLyFS+04Lcy6jA0cecNuDYvB8Fx4HD0fTgcVsd05
y2BU9Kj2sNhp0p6gnyQnToO/NcL992OQ2AadQwy1ab1i9MSEw6npKz8jiLLcfk7boNND8nRmBssQ
UI77flWf+yNwerr9/7a+/4h+lkDCTKrFrp/XRH3H8yo2mZmVN7udKraT3i4HKGO2Yyt4T65yZtkC
8ZnT5rRZmYfw6gC9h1sRjTA3MDv/AHCO0xkOmeaf67A7JormxXUrtnCQkL2X43kRcX9x+nIbflxD
jD2jGQO/5zDIC9re6uu0ULeFbhuXHjKJKiK9sIDG5lUJ6EuCLnI8WGz6cdJoOAwyDA5Zc5BSaAYz
E+jIcZ2/767/WIwcXnTQaydhYUqFDoFgFB7cF6tSOXl6xMS2LwVqKUZdcAqK9hhyfUwZg4eh229q
nVxNT5OR9A0pZiEySkXhG+a20G3r0j0mowFVgRSVBmNpU5DZcacoiNjWpbB525puLkkxeuPbwJoP
Y+u5OFfExHYubTvZQLinoU1t2SewLQFWr43bQrF9SyNfo9cKkvqC7Ax64Yp/NvH24vRD2r6ldTvp
Y2zlUaDLuGFIAFX6w1y3bgQ9YruWdrXamK9inFpr9BB17WnmxOmVgkaEP7cPYD8cDG61FSuJYYbT
nDopHI9x660JzSGdcXGaohuQFEPlsU6nPfjiNuNWWNtHKBeRipsC/RBQAYUPEKa7fbetXBJsWOQx
e2uBpHYez7Ko0Rzr9NW2bmkdmnWuNJojq3lPg4ClXuiUrCW2aKkHUX2LqVgLhY5UlYizdnKPjImt
WVLBPsh+DVasEDTwRWEcwu7J52678l+apd5vN/i2roVG51MugeI7+cYNk0ds1RLwdT6rlF4L6GjR
+kcfSuMG9CA2IBdtG1uV9KUuBn99nNc+hxLN7RC0VUvaH0t0H/XvHbQzWj/ruvCa5LfbArT25Gi2
sdnXaC1kGBdm8vJyitzOQNvGMOEaTcwVVuAWAOfXdHt3lmTx3GJOW7YUwiBxmQhdITzz9QldXmFa
8oXmTtNi65baURkf+fa1qDrv9VDmXNXRD7ehrZdmDKTfFhK1FtSrC8G6l+RoPrkNHf15du8BoB5V
uKwFOMrPgvFPrHMzmye2HW04dHrFE2It0L15acx+jR2JnsSWLM1K7pvx8NUNI2UKcf4d2mL+cZsR
KwSnzbs7FR3WgkVfSmJOtKvcgh5bsNQtzRImaGUuGHhvR7texvBvDNv3n+vfJUgSWnsSjhxohFjN
WsT9sPNT3E5xddJiYl9LFIWjNJ4D5ZZnIjYvd1sMgeX0isPcr+5YM92WwXM7yW0Fk1oDLoH0Wwpe
D5mAYT6BvtzpZ7XlS+Lwh531wVLsyoiPMxmqe9HGbjhSYnuBRtEY4xLylsJvJUm9tYnv/K3f3a58
W8QENwa1qrDCidu90wF5XpeV24lri5h8EiTGN5gWs0QXn8/3K1xN3GbcelX1qFN62+TNxTHzFP21
sPOO3R49tobpqFEE841EQ8S3BK0kveOw7M/DEO29isPlbimo9tAgrwo0cru9jm3zTx4rnH5IbxSr
FwNFqq6wb/ibyuR/JIFsWY8fbJqgeXgpKrS43BnsoqsHUzO3W9PW9bRbNBg0O83FpMKP/p6gvZfD
k8FpjdjKnmZoRnQM7UuBXrrmtk7Vx0FOi9v71Vb2QGfgc3Cl5yLh7VnF8VVtoVsq0hb2SBmrSpft
Uhy0eVNsysMGXehucxL+uQq9zS/xYlBL0Wr2G43k3/oVHkNuY1t7MlqSKVHNMhes/xWih7bmlVv4
Y6t3wmYdmVgw2aI/MsgZzgB3ut2btnoHrjBsmN4XdNnO5hqt9XQKk2X+y+H6HkT9l6vzX+afXkdX
WK7MuDqVfzNQLH8fBzRdQtNXjcFpgZ0TTWGzhY5Pp9/AFi2aeTPwQeJT0XrelE/9hL5kGAI7DW6L
hcjeG+jQB9i/lORIh2Qds0ZQJx0GiNJ/rsx2GQMv0c1cdDCmPA+RGvK4g0Wt06fbWqHaW7Y2mrA2
6SrJfUPha4DX8+62Pm2tkARKTUKJOhWcdlEu2/ZLuDRu8G1iq4XCjs3Jxsap6Hn82KmXqoze3CbF
OgxK8DECNPtMhV9roCL8n7Xs3dIftmBnkdU2dQpDTz36n3ASp5FZ3Sg8xBbJmob21TEEU0FpeYeJ
vl/m3u1CstVA8INJjF77qUj2BE4HIu1at4o4sa1ADScAAgftVFS9OB/DL0aE27609UBkg0vKRJKx
oMzPgcXLksXxnWXrgaKjYtIDaLiY6i5d+QYjsM4tILLFQHvb12hPgttD25fll8Rs1fNBSvbDaW3b
HqDwnUgEj4axKEEaDWHn026OIZGtCEqWHV3HNYY2iVzyel9VFg/D5rYCbVVQv/aeGTuMPlJ1qXvY
koWDWwHIdvxUkwR3p2xa3HVo6y/LsrvKFZJbtxlnfx7gw3u/mX90ZUGhBkIo95IMjgU92/KzMm2I
9vNNQapCoawVXWM+tTM8Dx0/3UrW4jgRYpYYXy+G5uNRf4OLiGMG0dYGBRIOHt3khVc989sCK6JY
uOk9iN00LKv2mHQAf5Ae/txwid1T+OE4lsVsau9+6Hb1huDdoslPDyiPIuq2N21kL1mqYISHmb6O
lQ7OiSyPC7retdtlbGuDII6c4jIs9bX2onsPditcD25JbFsY1CczDRcksa8VO2BxNfEHJirHQqGt
C2qMmWHZgFmppv3DNDYqhZWCY9xvK4O41yIrMb9PygovDRMnxQirS7eg0xYH+WoaAvNOOeOw+ICX
l4kyfL9bEsHWB7VCaq/ZYgwuxBsArZ+FcYkJI26Lg6Z26GZYXOur18AOEV6CMfwJHM5CDJ38eRZS
CYdUaRjwLZvMNUugD/ruNrKVrl0n2uoAtiTv3tZfG689m3pynA8rXYtLcp9kb+DQO253g67O/HBi
3GM+rEhzQBmPSTnqq1atOMPii8I7uGcuD2aMbj08eQB0OUoc+jptcT4S9VEcTg3DGNr/84fUbY28
yrjq67LQB1aWTVYy6lRex+DWjYnwWDcdjFyucO555DyGOXw8uRxVGNtK2sYdqfpR1vpq4JKIf+ji
x9pxnVi35TyROoRvyjsPCi5zMevhPHQ4pVIj/i9ZkFZiGEmjr/2MMsdeH9Fpo/5Pp81jc3s9Bm3k
in7ka7+Nl6ONUkySy62D77b2JUmWHnlyDB2HddbMVTaUjmwfW/wiYNUNYyQMvW3HmcM/WRLu9lPa
0pdpHclBJuwchZxQ2nfqY0ImR/BWYm3LEW1R4bTB8RvmsFnor6cOvjNuP6S1LRWcZjT86fT13TcI
xSu4CUa/3Ia2NiUcZmBXBEjj1T+Ccw+jmjRBtt3xu61d2bUAECmYD1/bXr2x+kfvxS6yfKw/a1OO
Xc9Bl8Bk+2TDnRBeynFxiY6BSLUyM2T1VQ+3LAQmM7Cujbygr8flsYOhrXsS9pxzQ1FKvoL8lkaD
n0Xw13D6HW3Jy0SxU+pW6WtZHXkdF8vgyC+11S4N0z3TIOJcN9nlyCel3eAkScF8WPckGad9JB1O
v3Ift7xK0O18lNRxRv4fed/WHCeybvlXOvodb0gSSCbOPg9ciqJKVaqSZFmtF0KyLEiSe3JLfv0s
1O6923Ws1ux+momJ6HBblgRUkvld17fWxXkEI6EtjBTP7brdM6ixb8dC5X/z2uaPftIpdA04eVw7
M68Gg/ngl/ubV744jwVoyG0dicJ2aJSnkm8N+/L3NsjFWezTzLb6GRsEeJoASG5vKtrfncE/vs7/
K/1Wn36v8Mr//i98/RW9z46nWX/x5X/f1SX++6/1d/71Mz/+xn9H3+rjU/lNXv7QD7+D636/b/DU
P/3wRVj1vFfn4Vunbr7Joejfro8nXH/y//Sbv3x7u8qdar7989ev9VD169VAQFf9+v1b8cs/fzVA
SAHX9o8/3+H7t9eP8M9fr2UPf/FL3IOUrPnlH7+Efd3V/fBLLIun6uUnl/r2JHtcl7JPzCUgN6EW
NfQ3jpPp2+/fsT+h7UghCW4RxwQl86+/VHXXZ//8lVqfLMtyIAyhmxQy4isSStbgo8O36CcKlnzH
NU0ISkKz0v31j0f+4bX9+zX+Ug3lqeZVL//5q/0GR/x3AR+XsUDAi3vpSLIZBYLyx/3dqLLqaq2w
P4Ns86UaC8xL6qDF7vJMHOrFJSGx89esrZJYMOe4GOWySbLyqgd1s8eN8QB+Nvoy0TatPL64hQ8W
mvOUkPYsQTFwLBWbY2fu+pskJ1VEzcK61vPSusZMG8i9l/JKgjjJc4pZBsug0jB1XbUfluRroZtn
B3T2QVm1D2VmiA1xeho4evqiDJ6CzDFhnsua21KlsczZb8ZonpuG8i3455pwqsbSL4E69KzSPKdF
/jzUxWNSgghYMZ5DaoLddbUjPcPQKg/ixa2XFAuoq3WQvqP/9QiuvnvSpp9JVj7WKeqDTsMAjtSe
MgOjP0PxiuF60F3q9MiXdEM0E8XmugcbO5FfVNeA8Q2KBw8QinjmBruTim6R9GqeDliUP0v7mFBt
pw+OFmIm3/RAeroHx//KXkhYkLTobhg5s8BwuVSR3o/NZsjwdLmB3vs86/dJiscERcPdYIMP1tCQ
q1cmFqutilfA6PSgd/V7sK6pSI0SxMrK6MGXjj8mmr84CPw92LXKg/lprhOS2j7UL1jQWdVJQvPH
U71egOi6zl5SU9e9mVfDlo4yeZwaK3lIcyfbDMConIqxyE5jAdL4tAatrdGUXj0XU+AOIJmUXQoe
4n5B86ClkL1oRROCrczyc477O4vePNtWbTwMEJv3ILSygJayaDbt0skAdPkvWkHPrqOBmxUf2kFJ
yNfq7LXSsldupq+8mQhYNKurWs0sEA2WKEVDCnI8QxLrs9K2fNTmENuE+72b6tt0am4cAW8sG8Pa
KiiCeANUcbFrKSiZMDIW4CxkHkSsD5g6VZAqqWgAf9h6KVH3I8vADwnOZm80xi4GNbLYsUoHEY3k
5pdCgcgfs3KPSZrIaNGnewyJKd+RYxZYhnOWNAFqKrHMKNXtoyZH6wjZyfZrpYGetYE4L6ix6Rm6
Kk2oO8ZZ1PnLlM/3eYvnFtCxOTRgr/5cDm3uYZhI81IQ7vsoSd7Z4DEMh0LjW8fGVUA0cKo684we
3Cy9GVVoj5q9DFyIs3tVmtwlbf6MLtRtNeDt1znWQDTS9d/WvGrk6MGAnTWjGr2W9bkHxdr9JJqT
Po2H0S6uDG7UwbJU6DHlOElO7Vi+qLDZZY/dac1WREmdeXmNrWuthQfoPqRXbslit9Kxuevq1JoO
Py+5fSR4m4ClNg/aTApPG21QvNfWtu7BVA5C7C24bR9budynjipWutb7pMc+UVM1gIqA9QHvq6ui
q+iGpwOPGl5h21HQIkObAyeCM3kndeGEDMoud00P+5Kv7JiUWWGhdRASxWfv9OGQsuJqafC8DkYS
JGlO9Yj9hLmlY7vgM+no4ntZBiE/OenL1kj7KXBIP0KcJH/VmuHQgmAvMElaAutNRj/XE8jAdBp4
5+02eXyzf7VEQkbB8x9CEQkVJB27qEiWe81WxNf7pA7B3C19u81QrTHwjlvIh/kUY0i+DW0ISehZ
18CAT5hdX6NzSH22ODMkWaD2wJmphbqmSzRbUeyBKInl150xY0eNgoAzM8GS1Aa+n9Z9ES899AtK
F8bDabuHyuge1vqZ5www+cptIVGhqluna1rPBLPiDSikLb+07I2lzyTUeMkC2NR7AUZNr5LsDnyr
pqfjYSAs0D0MGTxFkzxRO3strQl9vQJMy04z9uHbtSuTiAAcf/EIxtlELGnYDTq66Yt4VmOhBxAc
lIFMkZggYGk22VRlXj+ZUZWpexDzvxLJHX+B6McOdMWH1tBqf0pxZIvK4n6dFVetEldtid+H2zu6
cjqYSTKHSwe3xGj+WNHuoRtKsutZZni6ttw30kY+O2IjEouB7Hwa2syvbNvtQDCl5SDodbRK+TJf
uoM7COw1HdzBEzTGoczAjmZjnscJ505Pm1u3rB5bLf+ctyDLTTPsBdFCBgV0HODbTSAYBY5p7lsL
tDFEYR8NlFy2BRKyW1M0Tkj6vPGJhndJ4A7mQT5ApETsQKPw0kAQHIT9PfGnQVM+BJTNXQHN7W1K
6BxiftG4Ay8mWHkn0/L7hZ4nU7iQOtEwtMvcENrTEkNCDd5tYt9h5gFj5EWDNV6Lg7LPXiHMdLvQ
+gSY+OOMx/JVih8Gcuo5BZ06ykLVVd6qe623j2PdtiCVHZ0tx3CJZ1K80D7tHsqlwPBXjpXomfYN
xK8iKFInrtziEfvgoZqxqR3q3Lml+zXRshedOXNIyALrzSfdM9WS3CRzdSqEuoe48kMiQU/czHl3
MKsWbNoStX/X1r7B00hPgNJYQzNw05ZgbynK8tHQkp1q7MKfsvRFS9elr21YIMCnPV6BvHOa5cM8
NbnHUzyjgWUeVeLGmqPu53pKdgLTfWE9l/lZEylcKbqvNqZy7gCiEGFHOzyCJV4AVnlVcwpO9fRF
DLAy0FIYtlpT1FvVJBa0NvB0bIKvm3gGMSFoUkSQoiNhi7lbnE+8WDisDLtlokEJnueg0KBHwnHa
Og3vzpjgA8FSgCcc+PNoarsSmG/fLbW7wYIpHwaXeSBnxtNALcwbIC/uGQ0H/3Q5eekEa1Apxjwd
krXe1K0rmIEPeexTG/sbylGdT61EHbrRoPdGhtVIexhda2oyBT0G/myZ8Ly9VpyaCsz4um74nYmP
7uaYJje1GfIBQwtmc9y/qQjMkUjuMqqfe+hgee7SNQDZ4WAsAPVFXbGAOhfAFq8rsuwaBJnQeoGl
9Ac533Po9zx1o40PU8iHNb6TvJQ+F1MV5QskcnTEVj6rENQ0BCaH8NbdOLzWg1rCziZ6UnkaAsGQ
FMWVLI2nWgkryMf6saz5sEHcHPVTT8KxSl+4kNh+MFdCwPrr0GyCNgwiRxNarVtL2R14rB1zAxJ+
Embg4I00CIN5+Yg/SIOt6dC58HIo/ITa2I3HqW16jDbrZz13NiYqplfcwakBB7tnV4nyh6k5jROe
T+lFttJnCcy7jHAGEjaSZ1huaEo9g2SS+0UJxzv3FuQsFH6T9TBnKbSLvMLJbkeNDBvVYaMK4NQw
+ITPbZvpS92Ix3RylT+uIXZWlPahN6HsC5Mlggw0x34yl1OQJewOUo0Ip6HDAIE+I067pvOtMVqe
AW8dIaOmtOdUhzOjDSjzpYaDXiRQoHozhhytvTBNyK7MrFfw3k9hXlPlI+i5H5uk34JKXEZuYoqQ
Q+UncK3C3Yw9djCBSM8+reDfVsMCzD9kfuYUzTvl3C0S8fK8ZCDo5zYNOJkhDdTBE2FeH8sobHOn
Z1kfveVo/1GieuBfu1rWr/1lGvpD5vruT/3fmKw6dJ17+DBZ3Q/Vk8x4h3T1j7/ynyWsv1/uj4TV
/mS5OoOCGuY2qLVCu/5IWK1PIMTWTWIhoUXGijrLHwkr/YQ41jQdB993CFlnVf5IWM1PNi5iMAPS
0hDzAKjlP0hYkRYjIf1zwkpcc816TQon4RBk1D8mrG3NbKIZeffZGvMb0UPbozVsLbSt/BnpeoNT
zJE0Dm3z3Oe9uxHQFwzgujG+RZrmSehShX1bLRt4MOsIub8F8kqIwisw4B8oElSIAC731ES8A2TI
sBm6HjY+6xD5lKmKxtnk2wUM46GlJ3Sv3Km+MtTMIxBbu9ECrHSQSnpWcrE3kyGeTKdSoCHnuAvU
ADYlJskRGTZZUGN6N3C0vIAMLdKIBfP7wdTBLwvkU5AZAJS7aWAXljrbIyZmgeFCOFGt2WmKQEMi
ynEXzo9MWB38fPFsKPPMqvKKd/lLufBn7iDCXf/BTfR7ihaVp0lIPdbLb7KAwZaivR3c4krTGWLH
fOFQ0kS8O2r1Y8aQiI91j1k9C5SYE5KwcKG2ANwJQQiI4V8JS3bgKk92Tq8t0EEUz5kaXF9m9W3q
jIe5WRM8jpyaj8icUWBYDX/+7KyeNMMIfcQyPH/T6fldi/Am5iXPrlm/9GD8qRe1T6xeRegFIjxG
YPKW2UKYAYHT7LCodPGSoDxoXM2NfRxEiyTXnqFX9Kj3uJssKgizIUWh0+oMJ6zC+k+1XTxOqrut
VLpPlr4JSYUftqwK7AZtDuc9al/f0hsGignwkfSHTMG2gTLMCSFVW3gss++GCmmpDVcsu+IRxBnN
xinUvJMFZFsWMusWMmeIqtXD3Idjh2BNJi2MHtfhZvB6iItYadYz+DWQHPmdyF/XMoBQ6zMOxaPr
QsITDK0FJDvq01v+wfNs2GDos3lschfZkYFYtV1M48qsoDU6MYse1bp1ZlMe0J3UPBfiW1dQvxmu
HBtj9BDDRjTjSackNwVCq2eQx7RnvgwPkIuMCB9YsLjmtm75cwO2b+Rw9W1m9/OxmatHmXS3Cc1L
38yrW4mnzVt4U708GbIH0nOas43sNBHmpHx2BvGicoxjUVpkAacmGmigjgFpYkE3dK1xuBmcWJlp
u6xDtKywFcgqWdpX4gWiEohhjTPCkyqygJ/a1BxhkBDwdFIJyDboSA1qEMb4EAuw7geeIyhNnGH2
EgG/maviRDprC7qvNDDT6rZTOGdQsXy1lHEeV8GtaSiw7Xj1ajW25kE1rfAhooBNaOtVxDWqNkmJ
rE3mwPe65XTIefa42KikaCkihSLH0s6NM1Y+lAbMrdtPNRgPVHplLxYkrRLLDvt0OUwW9sxs4X3q
HGFF4SQp1qI3rpqZz9ecgM5tkRIJuUgKHyIBaVi7HfHzFM5zwiy1rwtcwDLbKYBq1LJZFqSfoI99
gGJV4w/KBrOUjhJDW6fZS19DJgCIk12i8deE0egt4DUciO1RxE7p2FonB2bRJLoZY3iVBoVEOQlE
VZo3sEIGJMUdWxd1jjUZwkraIXX1Q4Gq1raG/kMwUoVCiEUWT5fZy8inA0QIXtlcjPdFjpgHFMhI
blrEU5zj0aSblf6U91U0pAR1vyKHXh3pHgRLn6E39cT0sQjAw84jiEggIEygs2egbOVRgdIDdD6I
zxRiGGaNsLQQBwtrzjQvZwj9GgVauQEdsa1AxeyaMXPZsjlpHwZkfiFwqtVVOVbdc1ND4nDkyLcS
yM+87RurR2KNw4Z+BoOJc7uFQPKmU1vdwCZDfMK3GkNeRzlH3kSH33G//5+HINDJXdFq74cgt033
1Bfqe7gh/1wg//673+MNw/5EHWgr61Ad/V7r/h5vGMYnyLwQ6Kwa1IXgL+73Pd7Ad6hNMAGPLIRB
7XIdk/seb9ifTOJA+sxGhOBS6AuZ/0m88Uad9e9wQyMGRXBkI6j5MczoMkw7Kjo4sdntpFV9hXRt
UJIEMq5GpHU1NBchKjpdD6n7e2vlh87KDyX5H+Kbf9/wAqRSosVZEIljs+hm0I5uRAa9BQMZv+eq
ef7Tm/jeBvjzPd4AkT/7VJdtuNSYsgLyZ7EYbqaFBrTqg8myV8hkOM7PCXgcIOy478wFeUvn93DI
NLE/+IRvTGo/uzvixz8zRhR2CQpgKjRw8E1RXSL/TTRUqxbPkCWCi5NOUagB/xIKfb42l1fVRwQh
b3jKn915DSr/xFUB8XDI/rUYJNJgJlkd9R2PLQAu0xTdBn08Ta2zd4QddFqLDOojnMC7m+iixSfQ
FmlBmlbHCoWa6+FYXPdfoEpY3aMF9xFod+0o/+yjXcTDGrSUernUSQwW3qChLgLFKVLdNXoWwVC7
QYaC09/cPReteK4m3cUg8xxPNosWhdo5QxEoIZ6V8lNhIdxMlghmGLnIHWRKETF34Qe3Xj/N//yU
7BLSZi/aDNXmqY8h1RWN+qmfnMjqUnTuUXcWkNORWFG6bxmmFOyPuKrWHtjPbnrRxGfurNW6s/Sx
ILq3chwBghBpI41cHBk6Q0sO6CA+fcRR8M4uZZfcWKgrKNb2jMXNQ3PLv0GwfZp99HeSL90BLFzL
h/vyvdW8sDUi6XJmCrONXc3xavOuNFDhUe7b9llg0aAP2WrDxsjNz/qHBs54m/P62XpeWB9rQsQ0
JV0d9xvb8fm98VAd6uyQ3fKWbbJTFRMQuzqeWPwxGL8m9g613WN1GOV23vPE+5rkewMig1BHvBJH
a/DlfX6ytKfxSvMgEu+x1Dy0T/WxvimGEJp0YRtZ1kELkZhAQvtYn/M87g+sMb4ULRqVX1AF9L4y
ryUQRYRi27Y3d5L6Llib+W/9zXgj2cEIDb++Yr3vRDLOQ7W1YjDWq3jezAH1zWSjom5Xh72+gfhq
XG27apPIr9mhO8otL3f9tju6NzauWDQQfb4rb7TNcN2eWgdMymeaPOdfzKs0YlAW36b7egs4kREu
ENN+gVY5CoVdMD5TCoNx1HYTSG6jLqoiJ98PW7n9mwfrwiYbUwngvKZIjMgPil5ugPrlFhORmGsZ
85OzJp6JGWCozoNcUYD69weAobehgp9thguTrJlT24pZJ/GwHl+deI7hogMJuTnymIF7vl51QLtH
bgAWD7My9s2p5CRS6KT1H55w572TcGmh7RnGk4xJzOheN2s0PV2E2SyY3Hwnl2SB6K2XyuJLMen7
pGzNsLZSaABACBBRvAWhy7WdqIerTN48Tt4MZpEMgTVfu6Zqgo5fCkLRlrc3UNfuUld4iIzH3cQM
vkGQHra8C+ATh6AlxbWmQalw0lCgJ8gYymmAODiYFC055l7H/LxIvziKY7Opz3lqxKDByDaovJj+
OKjfeJVdg6kTRboi9YqUnmbDOqjKCjC52G7M0vFYuwQg3cdIZ3nMxiqAPHaAvPu2zuQ2NaQF0bly
qzui3aicDkhgrGNVk2u3mvy+eU7Zo/ERsfg7YQi7xHDm1HQhMNYkccK3efvguukz0/Rg5sPJabCC
S9jbzY1iB7ZAlBpvHHb4Ayf2nk2/8GEDJvxGSwDOYCTtc2YaAVhYA24iBEicgKfOvsZW7Dvz9zrk
u1Hdex/1EvZJOzZzWy+TuK0ifDQrQfKPTb56Ta+ub7JReZLfAFYN855uHcf54HO+E3uwS0joggpW
OadaEttrCUUMAHOh7QhV4QzdHTdv9nTZj9a5qm8+sCQ/Fuj+CGDZJVCUmuUoTavLd1XcuO6ukN1n
DTKz60vN6zQU2mHsipNlwFPbZL+kOzf+6zv/PAJilzBSpWFoSWKuEqK57r6lBJ3RcS9dDZGA2jf4
eg2D/vpW767qhQur9alggAeQuFb6KUv0HbPu1q7zkMrPzK4QGXGv6SHziKT0g1uupugnhvISbTov
sqsABjLiMen3Gl+8ZLphkM0uMxH2hrHnsIaJcq7fKgB4FKGcj4w0Ye/d/MJKU6lsCL0i5JvHvZhc
0F42GwbnkNd96Rmzm6Bpj/JiARMlRH8F7d59WbjXZecZbXeslnm/FFNctMlvjVlfmQQ1QgHGBO61
Zu5rPcA6GyY3wty1clPXe7XAFEF/ZwOV5MzYaH3iZ8PoKbIFLSk6TovPINE7Q9oZRivDmwV9WzsP
6Nlmq+P2swWtrxtz2U/NM0UjC0FiFo1j1IHVmW2BpphXyeGtA46MOaxRevU0FD4R0GmAFiR7JR5M
cpzKfUIfLHozkDt3/tLQ157el9WtMUbCjEbndey3mOwfZaxbG92ISgFR18iY14eG7nk3RwaQ7+M2
S+PUiq0MLcINSmReXnpNguKe1pCrkSkkImM++06lbXPTvBbdcIeZ+CsTc6VDsqBBLPYupuUGlOds
1YaoqPgmHzdicOMxDbKxPc5KgIXLvMX8bzSoWNeXI2VfTPszuEojqFBsixQ+FMe9b+g+L6xN5vIo
Y/OLkaIfy9StW6AdI032inHuGyXZZ9ofoQIcm4V9B7GQQ2WWX3s32zt8vjEoBoPAyaWkHUITM0hL
CmCE8A1XCw0lv04a27iIckDHHzR59bToLiTjeXbmDAXaRcHm0M9lkUdLW6FXjMXQZIXuD9Ov9Ezc
5a0DkhEgsb5BRw+y67UnWxQgX3m67VABdYNiVKXXmdMhG1iYW12k19YCyZQJgu/2tk2R1AE1MS9V
YAm2m0wCdoQmLMlyAvLUZygwjc2EzryKLBtiesWeNexsZN226uewHczAbXnYZP4CwKSWEQy11bfF
XF3n4xjkUJkGWXOcuPXkOVEyt+vSXCOnvOvFF1MoVEOB/EOzH22CtS1RTl+bCv28SsesSYPpPpDu
NPJgY3Za5Tn3qDMfFWffKJlvh+bQQmt4Fcn0atFNvoOu3qi2ROe7KaU3YqYHVP5up9R5ZsuMCXvM
ZupkmxXFRlnWVe8JW51aoSFutM6jPl0RJrxqseNJHyIL9QqzNLZaUscWRfneYVs7O0EeOgQEcc/6
dp8PIszIb1qT4PzO5yylqYdwO8kBGqKCP6EtukkzVARAYGHqD7CsnnCguM1Phs0/8pPvGZr13/+U
oRvK7VD/Az9Oq0B9Mm9ZO6I9DqBOxgJrTTdfSwjygnw7Guxll36UPb+R5PzMul6kzw5Qf9SR5hgz
E63lNDmkPQ54OW7qXD+ag4X9jEqx7L2hOUqrhszHbTIlQYqAT7dvW4Wt5TDfSdugKWxfb3Rf7wcM
+KMBULZ+nWzzARGkAcVYcyWrz33hCICB7mT1m64j2nnhEwndxEK3iMJHCpxLLUpqKH4gRAMOJByI
wgj7OR3Rlr8RzgDQY+s7d+X0EQ75bd7+Z0twERItoH0E6i0VsQnFBVLtk2JXkLtK/w0exrOQdbJ5
QG8f6hfpDL36kwQwyUXMqqOOrAO9O8d65YOewavsBs6PBy4xoWmqjmVrh+dMpB84X3dNT3/yoJd4
fVQIs4VaAhwQyowzOGFH6wOgKSKAj3p6o7vHbhG+g364IOcOzXm0v2JR9Vfg2NiUk+N3HLPezYmT
wwhgGzYZ2ReQWWkbLHPW+YXwhwES5cWD2WO7PaOJ6LdFEknQZQmQ5M257UsItaeiCuwELGs44ivE
b7EAHG1TNBJDaXEPrUggNanX1ndlGnJ38UtTovH/tShf1xTAsnWf91koZwFleseDIh+kUkqPdTro
m9CS6J+06dFIwe1LrhoLbXVNnXtTBUTogJWeRR8XWUzyawrgnL0IlM+wC7UZLPf8qv4yN/2mJmzD
gD7ieeu3k+urXG4qXB6c+xCRKMK0tH23/63qda907ii8N52fHRjdATSrfx23vOlD/uxtXVRPNEiL
mkKC2wQCt7kR1VByjwpin1RfR6lYO5Cx1d8O+X061YAJ/NZmZ6sc/RUco+whXCDFDc6VOzqkG1bs
c7QXBAcu+S3J2k2OusU0XzADsJV2wAklIhzE2nMa0PdJIij/XLsCTSLMQcH0eaVNwDieAEM3Buhv
BhCE9SWqnVMv/EoAFDIuWwrxs9y2gEopd8J1toK0QV7Cr1pVuLR1mPMUvGZpAHS2RxCO/PU6vbEU
/2ydLirNNIFEMkOrLbaK3xJwLovWPsB57/Vx8Wjab9G9OkL89UwG+tJo/G7Qo8zRDwQvTqTF0eza
eLTbs9HFFNs8V9r1Atk2rxOfZUa/kFLGdtpD7JwAXFz7AIr4VrUm0WOKnOQ3W3ZXUzrvmVZvTUI9
vXga3Mp34UuXVAAPqEUs18MMu1FV2rVWtNfNZMdpA5RJ2/ktqNAN9UgBgsTItjfOdYju4aFxhljx
Zsv7JCpLoNrw/1a30RS1Iz0bgvy+nfLQXjPm+jbJG2/sVgCbZ4OAbdFFJCzA1TqGzP8j4/HGj/Cz
Zb6oedUpQdMAzaYdb+2AuR3idHkeUMBkybhX/fWs4Z8LFjWpFbTS/VwmJpC/s1cY/alVbvRxWdFc
k4WfPcpFErGoMUFz2tBilgNxBMDuXlfXUtUGypno94lleDYBbSqc6Q7hd2wut6B6EmwPtDTsL3q8
bX+GzodO/IVQ3Vfqiyo+L4CEZTbKClP5XA5LjLL+jrienxSIQVl/s9R1vjMBxCPudrLiD0ng38tw
L5m9nYZaTj9B56AFICJR2YOJilZjB73hU0jN5/a+6tN79CD39by3TS1YeuDI/vrwvHvzi/xELC2g
vt2INg0KwsogQMCzfd24TyUd9llLAIkb9ybwDOtrdPNi3+G1avQjDZ338sFLFt+iAvaEdMA65qVz
3TXJ3mytAH3NU5Kjxl+jWrnWribrtNT5/V9/5ncqGG+lrD9FSp3QXN2YwV5vIK2t0Cxi7LTm9Wvl
pEBoMoFLD9CWv77Zuwt8ERzoXO/ZCscBvW372YZtBs/yprFeSObuLXZX8iaoLSegWXfSLLV3smVv
IQ/667u/k9lfEgKPbWUA7EGs2AY8fyrtaBmOygbWDx9TiiQi7Ye1d/rzM3lJEEzGRWVLjzyxVdfG
ZAY5Kz/r+IzrymqDFnWvsmX+bORwldIMAE6EH0BompsfbeV3SpGXRMIV5pZ601xYLOAtS0KDXJm+
IVArx3oCQhr0vRGRgvnAF24EHuuv1/i9rsMlzXBRjEY3UcViaEUisH9Yz26b3EviIMBZ9gaW3q60
YG7Eqa0/XO/3Xu2FDXS5AewZOrhgCxxqH3VAWd2vzX+M1KzkzCspB1AXCDndIB/SXcXoeU4fpqR/
xNTmKUU92uyAtUo+am69c6r+B2Nxa/LBAsI2bgrylIxpKKm157oViUQh6Nf3gPPsjcT6KN9Zz89P
fMAljXFrlugij9D1mkj+zNB6BIvXrp3e7BUzs5BwK6jrLxzJ8N98zwRP8ie7Ia00tTSGHW7h5HCq
B8RqAnN6SFIWgOTrNCkUi5uH1ol0Lf17tsq+yK7KbLBAOetqiNjHfbpY+xzdsgEneDWLrHL2OpqV
BrzuB5/xvVW9sFaDBUhwJ6gWpyj9rQajxjmdFxPeW+1Jp3sJxQyINALLSn6/538E87j7eCTy/yWY
KcZ0HbLGqX+B8vhWiSfxxxSk/EfAgbYe+if+y3moXp7qP8M+/nW578APAtCoDQQn8BqYknybf/wO
/CDmJwQNpmlTYjnMIDAO34EfxPrkEqAxXEA+HGYDU/ov4Ae+hRYRBsSJ6TIMOuII/wdAUyBTf3Iy
GUAkF+cE4kQUKgK5echjvm938oiod2t6DapaHjuQ3folPbKjHTqIWzfSd7ZqZ9wC82VcJ2d+HDdJ
WB0Qk22TcN6UYX49RXxH/C6Qu/xKPBUxMNmgcUde38Q4Dfs8TIN5Y/vGJvFFQAI7tHdjLMJxS/0B
f58DEjWBuEl2GCWI5n3mK7/dtnsZUh89zD1K+rG2BVQ0QAC57WIAXDd6RHdtJKI8UKG2qbf2rrlN
d2ZgBOIoIz57w8EImhh8hBtrUx5TjHZ4xsYM+i0NtMOakEH97kocnG17JDvn2o7aozpkgR3TYNkV
Rx6P22ZTbmVUbGiobYcd29Xn5KQdi1uxc4/1ody2a/8z5L6Bz4ksLdQOVuT4aLWhhuZ45QFzAYjw
EfSjdvw5OQ0oMM7PaJrGKISEOS5rbqT3LQ5lkGzuuOf6RmQHPCRh8mr7WNdNs7XfHoOGxhZXCNrI
DJDGefX/Ju+8luPGknX9KvMCUMCbW9jyRSuJukFQEgXvPZ7+fKA0MxK7e3T6YiL2PicYiqCKKJiF
XGn//HPf+Z54E57mQxJUQeYJDo0NO+bdu7E/+c1+9WhROA6uFLQ7/ak9Erz4tOi7yiE7Gd7kG0G2
l4LpptzRnR1Md8Vt7K+Bdct0WnhR/fiWJjAnC4oD2YIsGB3NKYPFHR3g93Z6iA/pwfSVb9IhuwHb
+MX61O8q7qNzW3t4cCJncnvbcEZPO3Snydev1V71Q3v0sqDeiX7hxjvQm7fhdTktbuOKvugqTmk3
rn5N78RT8XV9j2MLgDbaOgPsZnTai+hC73mh6+nc7bP7+rH0mv38TfR7R9sbbsFJkpv4OAbyLg0Y
Gub1nuRlfnpWz5qbByHplIHqv53cGzfGvuVq9PMEigMwObspD4mLzxUkrviBNtaDfJw+oNFdEhLc
rOn1XxJ+X1xxp94VR2VPH35qL5JjXtQ76QZJDEIv8XOvYZ+IfPZ1OOaP0k3ymf3Dkektmd8g6Wz9
oAaCn1yz+/ScnuRDftLP1dG8S88GO6A9pfv4UB7UY/cbdh1Q6n+x1d+Yp6ka5EqvGulMW5VHImf2
e7d2yZnvBtuwa+6hdb9964PEN9iV+b7er67qkcN1eld4IDKzO694jm8mJ3cgsHZ7f/LALDuZ/T5x
E3+wJ0d2SO+Bj9wxJnXPDvOznUR93U6/JJ7hIUUOXbuO5Cq+4WeeyftWkPL+qEaHIsgcEm5ObwOJ
dItg3lW32pFUrgdgK4iCJEheaN7IjYNGt+3L+rl4hM7nSPT8aIJr3CXBcq13FtKfVc54vBMcwxHe
q27LZ/0ufIp9fZ8f1X3mhG71aD5FZ3kvXaLkZCJLZ/2KQO6jvfyw3ml3htf548E4F8Yu2o+H6JQf
10vod7561QKlujE5OrQjh96l8xzQy4R4z9t+8EfHtCU+/zbYufP8lNtfgEl4IKvtxdbczhMPvavY
X7+lfH9y2ZMcGzqUu53FLlzO5HV77TCd0t0YpChW89LseuAXmj+SU7cld/IGDk58qGaXnYU8Csfo
AxLn1s4zRDh7WpIcMDTc3Fd0+EkNeCln4VieVn90B4/MuzccrZvc0fhfdln93jc9844kTx4AiUH0
5EBzKQ67ANY85rQ4ml3uhety2K6bn5fP0VWPbBrgAec6qVf5sccW2De7ylODaCd6s5vZdPe57aV3
EhcMs9e6k6M60pFeJ4c+ej/zJ3uyW+AkA6aGeax2YQ/2twiLwLxDDwy5W+41F2RObFv7lKOanXjX
7CBofDCeIrdF/JKPLWfXXGUvYIEExDjl0chNu+GdsSd1b8uBsKs5SXyoHyN3+E2iT1JfaeLeOrOb
yXzjdk1GkskKEM9z4+nnFVNGXjSgD9ZtdgW9WryT1l19GNQcnoClHBzjFPMmSmzVzFJYruDek8f0
B0/j14TVeE+rmb94hf21dEpnsCs7dsJgZCUNtw7yw7IbjgPbEPC1v23ZgavN7icz0IPRxzSDCEp9
vHisYue1fj7Zm9hsRpI/uOCuHXoSvJFv64HkQ4t6CFFUrW+iykMvZwuLn5hIvt9O2O10ZEx0isvs
N/wWozQbr+Nn8FpSZwFwI9t0to+QoOdNnrsd7jv/J+W6z+5UTtRQb7QQCZnLpPvJmXnY7eSNJ+1T
hKV3vz9IiqMwIt3UZFzTzd0VqUz3fOtM5OcYdvN+4OlkxEfnYRCtC4uGEVd8tBdPzt7wGWj/wPlZ
V9lundDTPTHo/ZX1lNzCS/jRHbyKA+djuZEp4SZ/DD3Ta7il5RuvxaldNuBnYCzRfRjZ8WN3bJAd
NVhdcuAOMG5H3xe8Z2pZ6M7ZL3mdFmJq+YBjJMBRYLkDwKX4Kgi6K3qju7BxFmfDam1/29aMYgYv
M/IjbAdJaQwjCHg2AjAYdiObbl9igjZRrjyL70luxUVKnqEAF3OS7NwN3XC/Pc7mKvX+cFx2aALe
3oK0sEAcIdib6NEsweKV+/WjeZ4OC8vRcdcm7x5/IgiD+hTvu0OzCaqrB8J1e9OGu+zAyyOwtMP5
bZB7rXMPOodnoNXPLp1vGTdlcbtMaeWaxetaaDZFHp9m1NdF7rn5jH8idkDEoyFJsyKw3M5OPvaB
vtN3PVY5cUPP2glHdNBRuJnAd4GA97drqXh52x6J3NSLXwVTwlRM3Gjq1EGrO8Ie1CxXkz2DnbeJ
RHlCN+3yTZLRLiIiFqM8Qq8NepYYv8OpMVidt35cP8Z7MraLG4NAq3ZdhA4yMPWwzaG7+sTOkTwR
q9x8Jm7ct77MnpUDmJJ2Art4k1RakAIQeb6wa/1d6ExHa09pPti2Q88h1ORtBQ08eiAW3BhXFxXt
CLt4339RUcPWadNVeTCwpDIivT3qYCduyYoqiAGDoJAqmbVcPFY0YEvdmo/TrXpBp/GuC1c6F+62
3syIQ+yyHe6vy9nszJ14I/QBOPhIfst9lEG+rYeTcAyNJWxIVH0w8V6mi8S3N8Wv8J16P7ATQnSR
wl2NGAr2BW60GJhn7YvO9hVvl8DExLTO4tbPQlCh1iq+M3jV+4ntWOAGzCieCR0MZxCbcLsyAx18
urhxJPBfHdy2XeiWbu1bPCdFDhSB6Vlu5eLMOTmL3PssrCselFfdJr5K+OxLaKzN8my7dXGkTQ2J
vGp2qqPgf9Y8OoXyU0dJETsSs6aNM9qhK9myJ/nUnSa+9mr1uJXxFONbjPZsS3Z2F3+tLttSNweN
G81ZBrQnf689C5fcDNKHEBe7vhZBg6MSuwr6Cb6546qfy2txu7zMu81RgGvES3BX2h2ag60eBnDP
BtbFYizwkajEy9nH2Tk65MDRfPI8bnUofYouh+hQBflyAvkaX+djc+7O3QstQvbiWwHIFgcniIrV
Y+4TUu24F5/uWYeihY+A2bE7BY1Dny2Yz9GmXxovqQpqn4Y9PCicW/yclJAisQunxSva3C6B+KRx
4u3H723xq+BExAyWU3ub31J7vCB/OQ+X+aQ7qQ+SAnimFfQ4avMOPFXH6WWwponHCMHQsS71TglW
r8FlzxxxXx+1S/gAK37PL+K98djoj0vr6SccMS/2C6rCgUkooQW64hAF2AnLAjrL0x9GlMm+P4b7
6pH1RVBUV74ORCHlUb6ZBOiq7eRR3ct4cMon9av5oN4kAcvDsel9xO3oT8kLBdGjflMEpL996L6T
zKYlmNnmt4IneO2uCDCRuJmbHyqttuZFgeA1PGeBpxjxcUi8VDi5PTqDC/6232V4UlrAB3bjdPYN
vukzHaiV3S9edkpOUUVcQwd2MPm1h5u3gztJbXZlayd765Om2TFf+yjfh6KrISf8Uj1wMD7f9noB
MPh0AGhgh5BkkzWs9lscZr2+N4sTdn76rM5H4RPuKQIodKdwxwxuO3pQIlveJ+1+DWK/cko3fZKQ
hy8zLzH8MrmTP3vPQHxQCq1t2iY7kXs0HMNTbd3Wka7OrZHdnv8t7uaGjrjd6qvXCCECl4ip4gKr
IOYivBRd2jN8kBV8ugi93X/rUKt94yyVPSXcjvyl2Cf71osvq+bP3xa/9UIut3m3QFtnwq+GK+Sc
X2bbmlyJu7CtIDJ3wq3s6z4gTG4Dvh43hbrja36XX5YogLcP47a5dThBqLUQma53BKJnw0PaUeuR
n3qFq7MfqM/7EsfU6AZsDi8O2XWee0fB0HLzzrZpaq5e43ZvTnfib872JtzrYXUev6XB5s9uy7WF
IL1NCM1FFkx07YgfBHSUbo8HKtB2i8nebgr+XRsSGp5psVMUEt45gYDMZxJ2hzNjFw30PwlVPOnN
qxOOzMfEp5Yg+/LBYWNTMzwpnoNFJwwNSq/nZgd35UZgnUHJb+4gaCBcXab6+M1DhfK39nkAOPoV
PE2qniMxv8581XgAdWcdkKOHZs96YZQmr3u/+gBxUcomtjf1xsDc0S1oY0iDLf/SB/Gmhr1tlQkB
UMq4BacRSPK3Do9R8KFp8VJvwrbguNh8gRvGkfLjvXhILul+87FNgwWVbSIQ1Z15GFCtXv1CqI2F
2cJFAa/ip8TbzXc3++emHnqb/jSMpUX718wupf+kWKpaOuOk4mkWNBuTWMKue1/xUzywcQs2pFQc
AgBegIFnNRFXEHSyvyFPQgOCe8fUgQHGUVndaJffbP7WvJc2uxDQ0IlVkMgl4Zna6zV8DM/huT1Z
13YPz8KeHC4ZDguPtXPIMeFUTweNnFH3Pn9YvGjX70P8vcnR0dgi2p9Eza44dOfcH48AsPgHdmoz
Guf+qO83jTj45v24hW3c4fhh/jDbNwZGqAi6x9Uur905ve9eNjMgPWz2DXYE8P7aTrIrTEB3axxn
+8vI5i6wB5uqsmyNH3HT81g7FXGOXW23xvbKn0e20abVCid1Y8DO+JmbXYEQ6yigDSXXPOjfJBxf
8kdu3aO0U79k8UgskaTbTMpKYDnhonJ9h8yJs/g5l0jdbnNa/c0ozey3yUVNcMzmo4W3sFni3Wgk
GvCabfn96m6+wZa+k73a71Bk20JgSwMh0H14l14fh84onMIGNcUb6TAjKta52q+HUrntdLa7XZHK
GtHovT3hSaPJZyelI5MEUefr9zw6aiC0V298L9yubDTFmz3lkBDqa1htiLTPUbCgLxWPzUGclfgp
vpIZgJkkPtr8SMqOeIibj020wDPAwuJo/dW6qc/ih/S2oO4v4uql54ntvSkRKjqR4xQ4YbUDBCdB
BFt3k8mJ31tCrSO0Ef5jiqc47FsbFi50RH476058YOyvne620Jbgmj078R5xzG024HVzEQf8n83F
U7yGLozYrg+5RwHU2RzDmYUb9phWdEmN1thcuhq3jEwOTl2tnLagxGA/pq+aCz12gnnuEt1M7oxO
2lIOBWqmxBszfxcta3+1W9/gYoqs1rI8No1z+CJdYUirbNIQm7/3KN6t93pmg07yYfbESTVRjZtr
KfnljXCdyDL3T4yKvtduqiNZtdv1Cw381+lbdoGNZIeN98wDCAY/vkLX523eQ3hD7ex+PNZHKVAO
67eK/CaYJGf1ZLKci5/sdRzD/kQAjRtDaLwfcYkJ4vx2t1xzfA39pj0aj+uB/J7b7TGaXnaoEJHk
BHkfIeb5CeOI6nfFCxx9yJUHr9xevpGf+kNxwgrh0MrYstAfSHI2pCb0Xbe3bs3Inb6AfmcehE/j
1tG65nv0O1qc9DmZN+UqX7qjsSf09rYAPw2s3avC/P+7YqOr2jai868rNm6Vfa0gBHl4zl7gBime
fy3R/Pj+jxKNIr0zDYWqCt22piXq1EJ+lGi2v+iqJDPqDvC5qVJH/1GiUYx3sqoYNPP+m9fyR2/u
9ifoJlVTlERZUzjh3ynRvOkjNcg0aaopq5oJ5Yii/WEetixaayVoeXUbFd8AF89iC+qpc2micBiU
7VVtBC0YpjlHpZDkKMP2d7XUX/fwH+/gTQI5hpNOsVrugGYWOwec24EPq8zUnc7LXmsz14RsYfhU
6L2zNS1Zwte/L8J/WVH8hd7m/7HSpLQx7f+1kN88A1P7WbBfj/+nUKvvDHrHSV++ZWRFqJFoGX5i
41U6EfcfQm2+o5lclGBTs+g311QE4YdMy+8YsKDzsWTAzalxwN+R6V/hEIa19ZtL9K9rsgUVofJ2
LNEoN2FRVcZyspIC8t7U6OxYNRd7lhLsRL30dq0snpoohffT+vyJ98jy/YRD2C6sba3ukmaZGo/5
9sJiHS0WQyjakxmDKB11oK6KIJc7CUqN35g+VMMfL2WprLFuqZb2tiVqzBvYYqayPVUhzHxZP+r+
rOm/nRf7Kwbg9YlkRdRe6XVF9Xuy+ie8QxJ10SDmzXAydQH4bUu3XMfYxEdj0cdDn4iTjx2WZK9v
Z2pYctoAmhdCFQ7MxiQGnRea35NaKqkpyk0bCCso4o3Gu65seTXka6NAR+FMqtg8VUl2RuAGcoL9
sjxK49J9yMZmgjIjFp4MAcIabW2YnJxAy3yBGaaKbGuOl7u0kOVHdZiapz6SjGMUz5+1LhVv2xI6
S3mch4i2FLEp7ZBBqZ+sFc7D36iwP3kZ1NkNxZRUyu3SWzZxmdZ7WZrE/pRNxuBDZ1QAX5uL37zy
XxHbr++CsgA7ROIfJfXtLn56FzqMIlE3md1JW+P3IzWu4RI3Ux0oeti5/1mQX/GG/y5C/LiWAgWV
aikwL7+l/u+GaE60OiQ3sCT+BtCHPA1AkwI01smHLxF1Y1DQVtY5NYDiRWv9YeyDDgIQsx9cs72R
B2iiKP431UskqF48bZxDV8hs7Em+aLC2ZXC7wg/hasV7UyvcoYFDaB2dSTlJ7c2YHEQCwu4uFAFk
ip/U5EM6HrrKyUtHWCMH7K4XZbKXKsSf6eALgK/TNYCQz571D114Tavlll4qxwpP6brac3q76C9h
/35Z0+OU3EET7efSIRwLp5YuhbExQvqKCRveCGBcfzaU/GrW8q4c7tq0/c3iqn+yqbC6iozJNSVL
fTsyeUjKcqwAdZ+qOJEC/uvr0OD6aVa+JFm1OEsmJSc9Wp+LphICY7VaN+7H+EHKsktS1qKvhbFA
61qoH6sW2sIiFG2pHz5KsuyP6ssoSaQ+U3WljaZsb9NOTG6ypMocS1Dve0Na3T5WQMV1MyXRSfqa
1xrd+YY2HuE9Ms66CvFUKTTUWpu8hFlTr/fZnFBWKMolkGGq3f9nYZOxCG91maIyOQD8igqBOGQj
vwh2lspinQ56f9I6+kiNMEl8FNJyWOtVc1Rm8HyzIJ+0YwO6zHQslI8RrcJ7yMZI106WDo+fDksW
80pdDeJiB3oKYCQi5FCllg5OiLLZzSF4Q+iVCk9Vs9+90DfA1e+7RZNliFSgOMWMvYFFC0OsxSxs
fyqWSaV7OCJajiw96OtF9ToTSsbcXLLjZM6zXUvDByOVfzeg+U9MDyzk6GqsDnQubwGtU6mOYiZn
w0kwZzQdxKtHIVu1wKRZ9jd66E8vhW0FFi1De/RawPxJD5XwoMEpDDmWBeEj3dqLRIdYJj7RZBj/
ZqtIf3YtQ1Zhw4P8XTTe4qJFqTc7DSLsU16L/aUwYbJUUsjIJ2axHVkMuJfjlfLs1GanWBJrr5Hb
zteEatkZcaNdl6HSfXhhu0ubF/Jv5qJIf9TI4MMhfhfFjf4dLp1fBTcyqnXqTKk5RW0oe12sE1fr
DES2UxoGHWFSBteITAq2vfIxbBIFpGAa7rRymvxSWvVAz6d1JwjUVfN1FC+RBpfxf95bf3SFDKBh
TAWHyUc3iTN+vUM1jGJdXpT6VM19dbfR1HtxNucHfW1JPyxxtk9h2TtJSv/3Bv2xJ1S8IKRxcxpU
03o7ch7WbYbbwv9NP2hnesaS1W40mOHftbwqXh5eJT+SjqPyJmtXj1Y9NnOqHguxJbdSJKw9zaD+
f17FP7xnuJUYPyJBlKRuKvtNhKJHor7my7gei4UMQN22u2EVJRtvlvz5pH2/2t8Kqf/v4pFr/VLe
9+3LS39+rt8Sc27X+9dMif8h8yEIWWkQwXH566jj+DwkbZL9Enf862vfgw/DfGfAW6nhAtGuRkCN
1vgeUfMXlR2mGqLG29LUDez+z4haJqLWFQPXnAENrxSa/4w+XgN0SPOZ3WAQzxCG/J3o4y+oWegD
fbPZQiatT1W3hEGUT+dOX6mFQVPvxGP+GULKgOaZYITbohkHJ0mMfQJhzKAXhyq7bwRqL5F0O0V0
pqSjTqVDDJ8jmW4WI5cp5JpZRl+vBPNd3tnyVMjHOYfpjV88pSs/ZrrsW9ZtP8IVHJsnQ2qDrBEe
VnV4lLKVLrr8Zu0b6pNmGjtGdp1g5MYno66owtht3sla/HWmG8/WjIHPuscsLb9A9b6PGErtznEK
f4smX3R8ln5jqC7MdmvrSil1x40fKQb9rwJdtZYsummkpzCUczFrMR0abD2rp2Omi7oXoa3vrHwK
wp7yUZ3R2lknx2nqP4wR+fCFDuT4qwF3nVCKFPpF434jD+nTj2H8beiKYC3NjxNMeo4xJx8SieBB
qz11GJ81xn87YvXYqvJXLYXvB0t5K4mrt4UfFrPCHrLClM+tlomHWVuuS9TSZRjl5JlLAHvm0n+S
khGUU19J3iIzPrTWLquhTAf8kPqjsSxAyJgWFPRF234a08QZGafpZn3bknFPqq6mX1EvaX3VVUBj
Jo5p2MaBbDQquf+1M2/WSWoug95woNQ9FNnUHdQUKvRmapjUUVUvS5jUj4UgJ496taY7qWIO9ZQb
bjUuIx1fP0YI/Rd0zJ/nPP4HKhd5UwN/rVce6EtNvj5//QeDZv7xUH1+jn7BVb9++7t6gXz0nWoR
+aBCDEv6edyMoMOmp6BfAFsDxtpydv9SMNDpwebL8A1dguuOXAC650d6QxLfoVdEgjdF1CHjU/4e
qvoXd5nMJKkN3dhOpMJGar31v/CSmM0daRbh0zRAzNApHnxi/W9cr1ev+98hIFpUUSTQ4VuOUREV
XNtfXYd2SiRBnzP8aeZUPCTKEM9eztQNiplTGz9lsSoA4UkEOgHFBfppbx0Temulfp6vi1Ymi7+G
WiIyuEscO09fK73zYemBQVLRe0hCY1GeT7WiDtdibJbcW01z/qwWYX+YBEXIgmgu+vdrp8bgPUpM
vzs28gLbfi51T3DqtjftokbRET0bGnaoQQ2bJ4Pc2EMO3bBj6rCjojGFonBoPU61fZj35rBPjWa8
SZUup7lzrOfLaDaW7llNZgnBDEUE3ZihCg1mGWUQdJQljefVGsI2y/gPWOLFyVq/TcZEo7KcRtU1
E2K4BXEbUkfu9AFMca5SkVLLpLVVlOxpyI1Uge+hBWaQZlQApsRYbb2gV8ojvGmI3pp8pF6biCZT
J7J4RHsRBKrOyNPY0MyXD8VqrgIdYqp+iZUhhA980uLbWhWmjD7HPPSVsmwiO5zV0HTUPjeBajSM
BHRUIZMvAjMsPmcRXGVOoc/m15820Z+kvJD3n2K3V1uryZqkG7pF1k9TNgf+p2AgK5hVZECyziSV
ztp1M2RulgLd7n++ypsI68dldNPUdPwvmeTer5dZytDsraETnKUrp32WGHfdKMkbAXR3NBUG5TCj
OTxKaTU4bNsU8t40+c09/OoEfr8FxZI1DbJMJj69Te5FaR3OVlEDANZiqq5zq9BpmlCsUePaGxJd
/s0G/DX0+X49lIxKhk+Erfvt9XroszNVTAWnLmYq8FDkurRy02ldGtJvWn1eU0e/7HU0Go4UoQIV
AAKZN250U0MW1plwQ2AwEyFo5KT7KCwjpdAlFvreVpRSA/RZpVqGpYN8KBLFF9JcSeYreaqc5jWL
aewrq/HajNw3pH5Wz2wqBdp+xghovRMqUUP1ke1jOouemt48rdWxlrvsFsp945zqVfu93fK/YOOu
4wsM5O3LP3Cju3/4W9NNz2iz/z0eNbL615bv5lnIE+FLnDzDpzb8iWPNt3841tY7XSZ/YdEDBOmr
vA06++FYW+9wwk0ZvlqC6l9LVcq7jZTesAxFJ6f12mj0z1KV/I6pbPDRGltSgkaov+dYv/YP/ltM
v7NimWRY3zjWFno/rUsh3VXMhAxC3YJcXEiAxcpr+8mKxtCeZSu2NWGCfK0ipybTo+6RuqQmLudy
vadHYbUz00yejbGtDq04R+81tdIOjAD7mE7dp3louks9GYBHy+JBbzctbLZMeaHKbGtxsdhyWNfO
agrgVuI0D/LMOsRxbtzFyiwAqbWY21R15lUIh+mUW332Xssy9WPLpCHGh2D37JGbPzNbjPlWsDKY
qwJ7Q8hsSFUWaAhWtHtJe5bzonVGicFUcdKBym1Up5SnzpW6Lj2bilidyzBedhWqyJGYBklTZcld
Lhy90zph+qIlZXgfp60E0QhjaE7TouufCF/lQ5Sthlc3RKyMZwP50C0MoMsrSm0l5FSukoXVi5Kq
8CcyI4OR8UZ7rJey/ELGPvTbVY8eQvLS741e0iF7FxOIpLL2IFiStCujRLltqkXxAE+sfp5nwyGW
SsOVjIW4xhL5NQsjmPiQL0c3Sgu2JXOd7LBvIKQqO5BbqhVdpqhEvUnquA+1EGzIVA9fOoammMT0
msEIKVNsbFlsp0PDYh5oKNU9zeqUQIWCN3X7OU/PY13W50XQyxsIOstdmGxDX/KsF/1Yz4ZAaavy
rPa6vKtTMb3otL1/GJKxdiohNO70NLauy5wLpzKqxselyvNDW2mA1aFpgIm1yK9rXWUXa25AicIJ
d1JDGRqTWhp1u+jD0O4jukamKo7PQ00g06cjWFgdhhV0LkNEaK1ketYqEdw0K3NJ4pSMudiKHYzB
+CyzQggQgjGxzOX9NCrp5wie97OWjLcmlscuWmK+xErMq9GGsd2lMEKEPa9LkWkhD5fuRStCsOxq
XDpGLE+7V7XxX1Co/2uCBkZq/CfVue+f8+UXjbkd/6MESq5hS1rDuY2RJr7DQf6uLPV3+ObkOTCp
tFgauoS38iMLoRrUQLcpmdQoFe17guKfylJ7BwzAEhnMoTOYkqGWfycL8Ws3liGSDdOAIWw1OxEd
rL5JWVVa0ay9ZYKYS8iUpob4rFuTBBmMrOxWOe2cWJPi7yTtf83PKCnbaf+tocmGMtOEgrBKjCPj
pr1NgcBln7WqBCMOI2669bGezLTcF4JZA1kMUwtI6NilOkXLpa4vKaT0xnWdQkmDuF4tYdEqBa09
wOuYt74ytqbihZ0hzc4orskKNcvUejVrC/eaLIFDzqI2h/s6tio/zY1FfDLzSlR2tdU29UHskqJC
sWI5PJx+mjyyLFSOdcYkETut5fpDFA3LV0pHSuOsFEncKIOa2Q6ZOPhxhOkeAJ6arPSeWfHU3rBT
63s9TbPQHad61Q/MEuk3YtGcxr98tSC7E4YV8K+pMwoqzeZpSKGZIrPIdlZ4hjJNJJI/GZSwDu6l
oNCFxHQMJllmS7K40tomxjEeSf7kbg/cAgxT26rTvg+LubjrrCTE34UJNSikYbhNY0m6MnLejB0m
0EAzVYhXoZnhTaU+Np3rpINaqdXRSzqsHgyIKtCyWtXBYxlORlWgpatZuO8UBbXNgLghP4mMhYOh
Vk/nlEqalD1NUql/mEUBLJHc6qqj1UX9BONbexVLc/o8dAxoZvpHZmKpEtIlXjUlFvbRWJhlITKx
b/LURuOhcyWO6fvFwJtOL1Ar3YmZwOetElvuIJBtIWBh0KC9LtEUOaGs3I8hFSkCm1wBsbpx70S1
CuhumHKFeRyZ1Qw38PuM431XmFwz1IvmSdQqkPrNsgBp6xQVoPZsrIeUrM4l6zpBPZh4rA+GWkEc
m1JKLb2lC9MvYtE34HOTRksgD4NdKZiVviYQXFdVpBOgKLM2WEc5XyG2w26H1zYVxumrqbSzpBws
q0nLjWWIYZyHRRyKyicqGQpnaJK0u2EKSf0kjim/ZgIkUc6oNirw/oS8XmSPZI+qK5demtRvw7AE
DmlYYXsD6ZMCV4Qy9DjTCxFA6chzGadB3yvIl6QVYnc7N60QAVZcqnIAny3LynQjNgOD2osa8syT
htgjhXq2Hc1Y1m5QYPr+/iFWiLHJs0VU6jIynjOH62wYYLszU+8UJ68jk8opA/e0cXVh6YuGjfTA
0D+pkRDRqhoVBPS1ocfCh7aJWTU40JBmJVnrpzEZdcUTmgk6vmUaeOpS6fhjVMMXWNYlvMzD2DXd
06LNaumGOgxT7JQKTK1p9LM3LBH8SeWo8n2BcF4MKmOWsseRITFg6OqZ0dQqw2hT/JG4zW4mXa2L
B3z6gj61gnmOXt+ByfJSy0rAOOtp98CMDyGBmCRN6QdeFNP4AoQlpSV1HjoxKI2mfOk7ZoDkrWTd
9XJVa08xoy5sxrFIvQ8D4CHLJDg1o9V8j5+UWf6kdeoDUY1xqQaJtr0lh62ysDffCEpmmanzbQr+
YFEhMjPozTX2OfRT2wjRFHSsTh9CpD0qC8PktYh3xYww5tvlkdMz2vHGiqr8ptFEwRkKcgNQlCXz
Ucmk8P24mkPrZbKQGLewYj9AovitqcKpt6sEJ1TMe2k/MI+QHq9kYPkT5cJAyT5nSIk63ZcSmhDu
1eqrXITAkmdRv82rYkeFl66lSPswpvCHlGWsusMqva/N6qXgRZ+NpqdZRaVxdp66YNl4h41y+Fz2
xZXcjOnJ/RS7zO28F1LakafOgKtyezMWTmovmM2hhRq9YQDrlPRB3YvgSOKE/HMyGXCTh1ADwjA6
tKEtLAkA+k6CAm6oLkZZolnhya3pto+Si5XG781CYfQoI8TzSAbZW1FUytKk/ihFEs3W2ftSXY6m
rEAkKEWHYaU/UIxpo9dbt9Uzdc8YTT9vw9Mqm/QMqBgDZViPUdUB/dyI+obw/1B3Jst1I1mafpWw
WhfCMA+L6gXuyMuZokRRGxg1EPPk7gAcKOt37w9URibFiFB0mHWbZeVCGSaRFxfT8eP/+Yco35u9
LrFXVeeOqqhiQ3HHEjZtRcs7m7r1ye6oo8US7qlV3sMSzPfYfYaxqhvzmEm7xoCbzF6XzJhUgdjn
7XKRJOOnbiFoRzSIWfreVTH8CxwDyokJYSQEibQObAAfGJ0pZ4sWwXa+wig8M6zq2OQ29gmynh+T
kvjrTZJxl7LJJG3KbPadZVyAR907UbFn6V9iQfxyvGih5jgJ6x43OEKQys20AM2YoxPe9mZkeLGj
+ks39dkcNNHVkHi3ZgcBIqt5mJJoeBjHgJC+jKQbmV8oopOI9IMGXqZXdp5QucFDNqmLxqGbi51T
2vPZTIiQZ2TwhiUaKN91cCg2Sg8dKkZxBMY0+ZnRRZ+LUeopdhURRBt39E2ycSiQEJyX6TYKNaA5
xWfnTRWObIuB1FTR+Qsl1bjR4dw8TWqhNhldUJOYrMdqly9YKhG1O/Y7Miynw2g13nFq/OL9bCYT
9BKdhlxqQE20ln76MZoXWEH56sZpWAPNc2YP5UkkurtvmOQ/RX2dfoqMrvPZr4ioxJ21u6B0zNdC
ds22rbzwYxA21sldyuYpS6Sw9nU2ozOti1LtZpr1QYt0mwZeeUz9kuQBUThdsRt6myTrbjDgtRQT
fJVkcZlFTFG7S1gwLrN03XEO6YIqQo/yUWfKOgozCz51vo38ta3y25L2kXUCv8m9r2f/erCiJ9Pr
SfCBakPMad5W5cGy0tb/7JURNuiR4tficEhThF90C5jUh2N36PwRdb0a/E26GNl1b6X6GQNXexu1
7TqcmY38wQu7BSdIEnA3vWixoRwsT5pxmYAR7dzE8cet9JNsDces5mnDbQwfzKJiVp+nE8pFOzPD
PRnPJvxSpaetYTactE2KwTYtpHFVLxnkjaQTwWEYiSKVo8iua8OSh8Segs+ROZZHsqDxiC7LYBMF
qbMTUgGFpezCN76uUTzqQndxlVekIpp+T4sRebcBwVAkSA6Ls/WlUfaXls1+rMrGgE0zTtd7iKX9
u77HLNnmb9E4Ja11Zuba3naWLFn203T8QprUfHBkYX0kYs2pKIlVhTDE1Vj+NtWQHdO2cD/KwUfm
Xw/K3qejEUkg3dz8EEzRAboamqC6xynAFfWZWZsa+r1BzWklYacePo2XFq69p9Su23ehDh7yithy
CbhJdjiZDeXQNVc5XOCNapCCUBcPXmqXyOAdw7oXEtoBa2wDaE1Y20Ka2oENuXObVwQQuBTQo+pt
WFhOW+0TOnfKYe4R11VACu8NghAGJ6LbqcYzJQbiK0iQvB1ptm8HMWCjlPb+ufK8Z7yiYftXaxHu
w5FoXiB2rBzroI0Yr6XWZVEO5smXw3KV2XlVb42oyGFoJXX9pQ+lxGdEjs1ZGI3N1aKj/dCK5BCU
gu1+tgzQjYSjyuBOGYIWi/EhWkdjUduwLYzPcyWzj6aQQCJe1FVngeVEyTEYrQg3LbxPIqOuNovw
23Py2cyN7qbsG2uqZDyv1HQIJi1Oc8auImRqQzrxhJ5l9qZbSs/qRJLl3iEzu5nGNxPDcbEY1I7G
6pvZSXIFlBNgrCJzfUqq0sCBelHvFcmFpOMWxnyEW1Wcq7TAGdWenEdSZlkv3TbxIcwpPxrOR6bA
16WMpg8dQwJ339W+L+LKNToMuYNEvQvHPrx0RIDP31CNd2wpTfQ0RjAdzGRklxZq9ICyGijWs7u0
hGCYUt9PpjViujiE2bNfmzzSWGzan1I4NMQ9+ClzijkifsQV3bQfjMpiYEnszKFr0nCIGQKgVu1r
JEvOOH8mA74r9qTmjdlG+La+9icjxMQlDXMkRcqDnaIZdQTncvFuK0VuA6hY1IqDGEUAzuPU97C7
XCa9tTwNpaNPDQ7VsYTBvWP48aXrldXjV2iNF14bGcaGQ/W3BskOpwITTaLEnAqnLia1pVmmxMoR
ebpfXJmU5AlS1FuoaLBF8xnq4YCpmLsbaXfS64zbT7hL5wMoF+zTQZew2nXcvs4P9hDY24Qn8+gE
3pMc2/ku91WFQ8RUSG9LL6YYlHTVJTZwxpmiUl8M2ZBthjH/kPhZfk5Vt87DevGuxlxYsaBqHvAM
hl83eMmlSxW/9qYm2NlhjlGEnebvvQlL7qBfsl0729nlyB57KwvH/RIOS/cAxi8vtKjGWyPBmrNp
w/eFU/VnJBqWFx7MuvdC496+dDrfKTPF+MElMS+xsUXcU4NwLmqGfo009HEHDu3pslQ2C/UcmUjs
8pxOf+FpHoKJ4tTru2XU/sFrTBqNvO0z+INVIodzjx3lLptxhXYgmSJ+Zck/aLsfMR8eHYWHeIJA
G7jjFDY+pq68MsaxryfUUKLRMQCk33FQEKi4i7o23zhD633wZehuEkwUj0XKWzt4ymYRX+S6rbTK
OKlWL1JlpTeJ9n0SO2z7suqb4EOazMtzQXqOiBW269dQeK7ZQcINxS9Y7qJqdDeE3Vmk2vUGLi7K
GKJzZpEqNnzVmudh2BQsOISOLGWHq20uljslCo80RFr7QzUZ5Y0ftCMiPDct+VHVUcAYnKZOjF4j
Ow3V1OqNCDRCnr5A1p9U+dee7MxdPbjdHlTVFfupNjK1b3rfWfPq7fWBZJ95zgwwMOKOveWFoRrM
d2SNMMevCIxueeXhObqf/Xnw3s3TjNeTlGiSzEHiUJQP7rxjYmqjWmWHkceZCLHKK1pi3LXtpA8O
o8dHr0oVoZ+uc2c5Q7/z5jQ5s8MgP8H/dHggZVXfD5O0og0pgJA4lrKNnj1K0T28iW91qll1x5Qm
GFe60dlw52FOSzCEhzkN8W21i875IkwVbB3FAkcbULEB1Zlmg6rK7jxb7PJMCrzyDSgedVxWsGP7
3kw3Rl7kRGVLhYxWk6tT5la9tRUGF64YkD95g4SB69VnktjQq2HRGFgZoMOxyTODon9qqndRkZaX
Fbjzfe3P5ZU76z4eiXzg6ofnAbfllBSi3PfOzFw5AbjF2Igaz0JhlsXXSlYY6VRD7nyZBwczsNpA
BZ7OwedczfrUEbh6YHSLxFhEubcLIlFYOCWX+cxanE63SiRBTXxlUOuzYbS8d0sw2Vhx2ap5UCM3
fdNSxy6m0jTIWCCvlF0gzdR5iQl+tV8qFZnbocxLrDOzHvazKvNbGJ09SvfS9j9VVloNG0CbOtva
SyfJCZhJlDkGRC9Ye2Z4weepC6f+ovSmJSCtcdFYR8mseaqauX8yjXpBhjOgINCtEQleI/pSrl5m
iMvJJXt1MxLE7Z6X5Tzt6yLMHjK/o/lhDTWXo6DjfF4HeDyoYMAt4QxGfmkzAx+26H/EtcbJ/hF4
Cj9u5U0puQRO8tBjhMz6ba4Tbtl+JUHKzDZdE/UeT9Ysn0oIVacpa9iPJy8Al1eN/Hdtds0X1oUx
O5sMI7hF9jF25L364n1eDgUQVsYkZtODuaAT7fHFVnk3noxwwU7DMqf7XBkoVmtIBbD8rOxh6MLq
VFRWTW564qVPqmtBFjwjsdgpJaMB2EBirIOrAhHjDwwoawIZFgt4zVAB0EA5ZxqD6UBKFcO6JEWV
hB/+7Cnq4BSZC4ylaiv/pN2KBUYMLVBEFjWAUWGdkQ5hC8/qTomMFDOBKRNf+G2afo/8U3ZqVfeo
MiM5J0s2mdg6FGVX7ti78SEE0nB8I+3NcV91gUtnP8tq58rafR9actmwMvFjvJMOD280Mv5InZoE
h+9/X7wAT94Kntg5xKswTE9p2qy534Vvk+6beGaNrfEkWK1jP6kHkxBkgIflWElbQ8IHG+za6zot
uBi2VSwmqaOLv9TnVTROAaJWuMly7wSdsewD4mFR5+o6lTf+EoHPzJHuHhvX41p15KTozRQm/Gkh
rqjPAa1hVzlMamx8Ash3fi+smdsvVBeqo8oGViFSmGe+oJ56p7yUkFj6z3VDAPauToBY/4HlAGBx
keDjggUNtciri6wwcm/b9EGCO00NP/Zokt6kN743FPqWbNLu0fAcPsD2SJNlIV7BHaejXz43jMyT
+0ma3AO/Szk539H8DPkSfYmJPEHwh9lbejCvSURcqKEUnJKSJNBtFPcJ6LXrmvbagANkxyBtVn3e
i76Wj1Vg8Tdplyzte9MeKn1LuUyLg4SKWl4aruChzNiul5f1rF2Sj2dUCOWVRempL8ahHB5o/KX6
0Pg6Ee+xll+IgG6Ddl3Q0oSgEShG/UaEHZ9Wy4UvKqbWq66il1NFHjX4Z+CABCk2tcL8p9eyuSqE
pKKMfAfsknSGcTGjOnC70HcS/IOMrhl2ud9yirpCdBjb9jAht+gEOtOB1AUh3frC8JE/CaHdDzk8
tTXDtjjWnrVGfC/1vZuMkx//p2lnDXib68WtSrCRbcwZIl4HnNldu1NjtWdhK73HV5OVP2CS/Miv
WMVkcIZDtIhmZPu8hyvT5BWTpJhSPCtzh6fWdvrrhoxwNLX16GsGiIHI94411Oov6NH27w662mDa
cLgtGkHbfOtYTDONFITmCdN0o3sEvhuJD+Bp+CbY3m3tYfFO7izJnw5HoyETbGgMYz8DtcRqKvvb
aqrJSI5G09sVdoNySZv1fnZ671M/hQrJBBzLNWu6Y7GfFTQdNi6KhBjfGN8FvZXtI6u3Tqo1LLGN
/IJR7s+v6ToYfzWO4VKaSO0YmIchXH2GQT9e08WwO4vlY47ZA+PDKYilSbOy30rH0zcYFk+XTjBh
htGm/f3Pj/z7C2uttDEHfasJL8Bb//3V3ex51ca8mZd4LGwayxJrc2Dj7FvmdWwgIkZQxV/cyzfu
2jxAEU0rgY/Q8X3ibN03VCTR5HIYa2AkUVfJ1eKOJNJ7RnTSBXSxuE+i8KImgeLa8MYOL2QR4X6s
Zboxh1AaxCS1E3YnmWP/lafbj0Se9XuFFngyQz/GhSHkvR8vRYNKouxZ0OMqsfVNWNf6psgE7SLR
7fQGP7/u6x398Y5DuUdDs9I3bN6mN3c8mhO/RVsE3SCq2VxlVUeYQ6RT9+znx3l7UlCwGLQFFiCp
aUdc9h9PCjJ8UfBOtbyciHboZ40cZ682g9sMlMHa8PPDvX2QORzm9j50KATLKxn/x8M1s5VDDKCI
dS8LT04eHGzCGRDoECYlRb+S8wpCsTCALC/0WNuffwHMdN9cWYadCCERo3jMVP3v//7qiSZiJtcl
gyH4gKofHjJZMcEvXMgEjCCN9Jqewx13hkyJDoEhVj4mS9UaYDz9AKAXCBNw0ExBTBRTxSuZZi3x
QE0QdugmS7wPnbDIi02iHAImyEUdAdkU9WPTp1POHmOxl6N2iomsUSObcfumRFfxbLa2eezSzsCK
Y1DU/u9zGW9ULLQMEtYe1HWYMdlg04KRgCuKTW1o+SlMZzc/J/Ytt6+YRPjd1qh88q5EpUx1U02a
mxhJbeGdVLYsqIxuGA/2hWbRVaPJByNa48rLIWnqvTbzdemdEv5sR6Mtd2WbeOd94AS3aTTzt7iv
Y14kJicYYpeKhzes6a0rcZHRDdhjzZdvhcoPylHcSupa+pR2GoZMXljhqRYSINhVwXBRhGX0bDoZ
CzjXOKcHSBgznAblJ8lDEyVI1UWWZR8WoZbbwJgVi6nt8hW8KmEsZYO/Vxe56FjQq2CkCVG4vyzH
zJvn4ZtXuXTRbZQNxjtdOIk6m9uR5V4OHplNvE7IzNolzOt9i2CwunBykKSdTSDXHLsRLdVmFhld
VOmEXChwmvxg6IJrmTDNwYNKpoY6U7Vmga5nkTPQe+lHPBio+Um3rqH3uaOAUmWjtXlU6Errcx1M
Nd5DeQ98PURz1xOMtH7CkLscZGBAU2xbORGJqlMC2I8M914uQsBJB8zBCcVCLltdLPT4yG3rMZM3
Skfdo1wKxfCm0wlI8xTtcy8KHmxH8NQUJnOO2Zj6q4QI63qXdCXGaIkRPiWlvpQFKt3Yb4r5ChNp
NpCVJDXl9L1LI8dobFfyixsb/VhvXZDNZ6slUGhOS8uN0zBw8UCpmwUPyr5r/mrZe0N+sC2fUkEL
FVF20S6/eB68elUjvyw7xyJdaiVoatJwwuCWc6ROhW5ikA/bZ1dFOHABf14k3hZfaLAwNs2A49u0
E2+7CXtif5iEEwPvKqK+pwbQ8rZld3vz8+OsxfV1kYdaAKBlWUhWSEyDcvFjNQRXdUdVtFCMHSP4
kEVW/a0wHdEfsyLy8DtsAjau1WKa4XmyWO1HxUvx/POv8LtLvNpZ+CxmLlZJof2yGL+6xEs020ZT
+wxuUDXetDNtPFBTcAt5F1aE481f63TmGvz8qG+7Cs4YegxqMhgTMIHfnjgzuAx2PAhQ44bFuYOG
DlZqtc67q0Y8jmk+Wn9R93+3znGeEChg2UPbgZ/whkcz8e7qumQOvGR5dK3nZELHpp1vsMspJT8/
u7ePz8qfZquBLBgZgQWF6Mfb2sBaiZQu+piAK6uO2dWXxm2ruqX5/PMD/dHNQ0fg41IAAcUKnB8P
lA1p4woXHrpe2vIzNv4EJLiQGZc4GtsuDshb/fqd0fHz4/Lmv3lybTRb8KE8JLj0pjic/HhkFr3G
l4mFTa+pqmvTlPI0u6ZoCdysmm5nu63/NQ9K/ezlrfXVM9RYQbQP5ZPMnFztjHDuv9ptIewdZBXv
vGSCiHkkFgi3QT0677smqC8iDboZ53AtPkQMo59IPDbVtk3CMCNyE4pJDOwNkJnn5C/Z6Tg+VaQA
w9nJI31CHebhtTNF85PjjbLfGIXRFxdUZ0ZMvd9+nojPw67RsvUZ5IwmJCM4YLmac5HmH9sorJXa
ZG4fRk7sG0HtrPptFqqBxgAqN4O0msFOHSRnCkxs+BYRU2xDBA2X7jS1ixswTmtG4wjjhqqduYXC
Y20wMK5wX/CDSHT8ffMCLhkO+4rLmr1+eOOOM5+QVl3eXJmqTe7KICXqPV4mZWKx7idQrmWoOuhD
Q12z57VlzWc2WWuzcEbLTSqdBV5J6MJWWTrWjYr54mU/ijrc54tLIWumwrgmRzl6p1+AoCwVWMMy
s/1aqGZF2PLIvJZejYCjhacD5jzTJERFiJd1SVTxxmkg9ljN+EwejNdASxlTFv45NHHeDnjvsdss
QKy90sVBXHSDC9G1mUE4DS95yNGSBvu5HqKjXlLno+zy6YMX0llsQwOV1sloHe+8EQQvbuasCPNd
E4XyIIq1MinoeEfG1aG/yduEJZB0ZuVCuJxGjOthxm6jbiJY42VN8EAHBXUtMcqL76BQ4eaNfOyy
ab1VUUhP0KU5/dj3n2cSFKbnRD0H4UWuROheBECWH7XXIjkPfd0d1bxEeKtV0ng0mM/cw8YvQY9c
M1k+wYspzxs8KfD17Iwe1Jw29+DNEdajczThUxDppN6YCK6Ty6IBgN6LWknMVAdR15f5JGdMELXv
on6H4WNs4B3yMH/nvyyCOCfYHCrtDn4dglhXM0sn8HeXYajKO1IzgVtvbiFyBytDX7TReTtrfXh5
8/8WdfSPSaGvVar/609lr/+GejMqtbmSPF+VwO2TevrlW6OAma+e6m//9R/vnpr0B/roP3/nn4R7
lxAOJNI+6uVw5Xz+RrhH4+pZhELRVFMy2dv+k0OKXNVFl8X/fHI/vJd14jcOqfWrGSLFifCZQpcK
jf/vcEitlcL6qtH4F+H+TZmeEjguvsqZw9r6IxMLjH1T1R8AzgkWThl+F+5c7/CbIdZgCdO4MzEd
aBs8OyDpkCobucOmS9f4NSLqoVsV6KTZFWKf2HyClWnFI032qQ+7+kmkyXiWG0m9t7xF7TRtHUHt
0j9qQgs3JMJqnHuhLcZF6aGNzL/0VYAVeWp3V/DMSVeF4fCUR9N8CT2e5lsn+b7riR1kGfOnzzP1
7wQjzty4pWGemj6CgDOMSGdRCZ9gQLi7sO/Enjtto8KqXbLqzbaA1O2h8J506N9GpStjHbT+B7gR
APut18FyMzHURcKyhXmH1MBKMMeL0Jr5xDWj7PWQbo3dA2QoRTa8y0bc7ucPLDBElOfZ/I0tLkYx
IqBWhWTDNya5p7Z06rjGDWMXtY238avu2cAAITbGvotXpWI8+UNgAeuP6Ihhe8zA9YNn4ZUPNnqf
VnMYB0kIncMKcrbhIr2rXC/bZYQQT8sAL0H3pNMP6VQdyVvT2BIsuKKqrv5UFWlwFzbJfPDbabn0
7HncGkroCzCVaV8GrbEPw5G1OsqPjW9/DHWZ7SyZ4XbpDnjAKHiSUeKSpeu62BAvfmfHpSiD/aDh
X1mTvs96duoaSR7IM3bgrrj0S03oh0izTQWwT8yyvqi53gcn0EEMU+V+CfXOxzDhbA5S7GwHDyPp
kOYy7fAB6UeKWcN0nPmkfVv7zhDXOc5LLMnlrS+Ut0EMg8mpqqJPkhEXUuPBOaVsJ2PG6O5xTMzu
wxhM3btxrImzTIfgvIf5iA2joxJEu321YQ+MdSzEuA/DIAcW8om0GMOvj1FtVw9/v0D+afX7oUb+
cRn99y2Q4Ch/rk26eOpU9lT9QY3k177XyND81ab19un5v2uIXouSIgAhNgJI9/m/VXH7m9rf/BVS
IHlEQMlsxCiF/xTjOuavXgApP8JZj60h7MS/VyN/pLx/r5E+JfyN+YeMIqcc+9442JZFbyM75nVh
eWrK/KzpcA3tdPbY8Njgj/KoQZXioZ4uet2d0VYyHCpJNh6c9hGe1rms9aPfph9n3HKhoYX2p2yW
JBwMt7aA3DFa9XNSL/eGPX/MluleWdDmxmjZLiYcJ3gMELhkThPlZFcwI860wexPFKDLClbfJJHg
BOWh6iCYZkFTbrsZyMSYn1xI2cTvIs4R/sXS0VZaAyyi6jkqvDht84tknD9BJz12ZAYTzn1vy5VC
YzE4w2tk5Yase/y7Rox3qSU+ZtL/opX7OJv5t4HA89kesOWxbaybmL1AaxpU+Lnq8Qlw5gLsSxOS
NgTXRVhtZc9wvcveaUpxLEMfGhiQu11MWyySntrKuk9hhWzxmfomnemuahPiZtpdkylIg9EtzGhM
p5bS3LR1ezlH+H7nGY1z2uBLamf+HsrDlbm6Q4U1Ht15nn4FzDJjFqGV03rou5xASwOJ2ILQNulx
h60QPfIZsbDuPIrGBhoMwztf3YYLEF7pX0FrtM58suwNM8jelwQUR3n0yNBy2iU2oQqBuGrQ9O6I
/Iu2izGXu3meyTDy1TGdS2Y0proPFjXt0ZyOeF2lrXPog4VcqSHXF5mn8mMvywN7Bfyio2G8XlLh
fdUhQt/C+ZLpPjxSf40dm1HjGCUJ/ulQN7HJuYkkclyG2Tkz7hR/rLlvdkVQ4Tia2P3RLZloxqr0
n7Oy3Y3FHP1/k13+j6lkAbJY13OoFiggV/HjmnP250Xtv+9273Z3H3bb//3LwzepmBX98g4o7+l1
lfvDj/xe8BwPjwE6O/LZ7BDznlVk811YxL8AK4Hv820wGTBXQ6LfCh5pb+ukAR9FJj1srAEyfmsK
7V+phKsBqUXhW1Pi/k7Bs99qfP7oWrwe7aCkdTBTEtYmrYlAFp53ZNKa7fK2W8gqzjHgn8bs0Hrj
pVcZt4U7fkgGfzuk1pn03OIEcFuypcUTS3hXA9L3wCm3dCdXZS+rT2GoiesxsNGoZx9ndzu1D5CZ
HhwhszivivbEKABun5jdaxPIlEDp5bny0kfXyEgZWMLpwqjIQ2v0vDGr+m7qCMiqyyy5HdSMkfPY
umedVTG0U3CT5qnZTlGUMYuJcmD6sRX9naBixJmGd7S+iod5wmKNgfAaDQ67Wgc70QyXyE7cPXzG
B4RC3Q1ekrRCIVkfSy7uW9d5ykR+BT52B3N3jD1TbJweAjQ/fNU6wdXS5h9UBGvEsC6wXrgkh/0g
vHnZ1aUcLrwxRAXq0TmHBexbzy4wng6ig2sO9q6R5qXT1c8mTKiNYNrPsMC+IKz4Yl5MDbGrnzf1
CM0PbjjetdWTTPwrPBFxwA/JQHXwBGDfK3DUV5PcFDIkAMoboEzM6UXTeVg2jxjzyfKcITuhVmg1
y6Q6A9i4Hux0OdSq1d+E7J9x+VxFZKkHUDCfKYsiXhI+04RPiFPPkhITMvRK9qboXzgO0W5Kgusm
r56HGdig6AZ8IBsgCDsQ3TXuEPt0qEykEgi5tk5mTtg2pEqe2TM8hkoY7lUjSvI+zEIcXC4hlHR3
dckhz0tawbvJ+hw0iEKGTOYnMIF3WWovbRw2dRd7Sox42CTxgLMKYaDL+zoLDjKHB7UBGNn1jW5v
5gw1pxLTdLN4JZ78xmScFjb9UmZAJh1PXFB9gaDc7xWopsrsZOd6Y3AKkQxsRa+bc2nNFwH05oMx
6vcS67c1dxZmnN1hXW4TvlSgirOrYxTU1yWClMRaduwktwWTwUI8w0bd54o74ihow5wgYp3N0GS7
sYMilqJhTuG4zZ/6GdXGgIrXwLp8bm5VQwAf4NRYd+d9arOVeMRcENaI3nmi3hlJutEON6MhbaTw
eDmiGx1Wh0DcmJk+TOqE3mMfXZVDGFeQC33ng5t7lw08xCSEImQY1nXA0J55d7pjDg+RYzyI9/8P
m99/w852tRn78/K/mTsxyNfFfv35f9R24jpxsYBBgy7kH3v3f9R2/Kl8XGOwTMM6CmyWBvi32u79
+mLyCnhAXY9wf/lXbX+J/2RBwGtsnQX8PdGo/WMvu65JHJeBfQg/hNXkrdFZG7mjJUF+qSALgpQq
mnoLaUaJrcYYVsM7eFAwWJntX0Sdm3yeslow7nMt8VkXfmKw5Zb2Majd7j0spKlH7Beqp9bzu48S
UG2ATGcFxHYUq7yOyRsVu4EU5+5fXe6b74OQX5qhvmnzRsn/+o+3k1qMAplJE5XGwHadt7+Bt0WH
DZcpDGvjMSxeeaHEokhIOsXi8t4E6U7WSNGK4fHvH5Zi7Qf8sfpZrhf31UgEApWHlD6yGMHO8eQm
W04NWlt9vejl1AGmTsKXfzEQeTueWE/19TFXAOfVMTXBwE6n1mOa5EwkCCmTKSnivrc//fzk7B+h
oPXRWE3VbNi57LbAnN5sd0zUqbnRFejPLYBxUBCbbXM+wuXGJmc07tUc4cKXzQHBJENfAG+CkOiF
ar/TeerD1mq9Y+iZ0xhjSOPBIM4cJPFTPhBP09rWk+nVkNy1A9AJZzhqbzpHIpfvrLGstj8/me+j
lNcTNM6GIZ0DY5kZyLoR/PG6WUPj2k1bLJuiMJdqk3V0T/B/zWFLa2ZpanvWWBTNIdA7QHyRg1/1
y8do6YL8ME0eyY3TaF0i2FymvbAw+0X634/fMnfmjSlxOCE3KjCSblsNbjvEdBzGFFsvp2ivZ+ti
1nkG0TZp42WouBxh12oSptarNK3XK0qnZV3gSNBpiNWGrrpeWrle5Xy93n05p+RWvtyGiSntzjVh
7G3hAqVm7ECRhCqW1e63uWjZbSyUjvbkOWHLRksPut+GQ2sgOl70s6u7FC45B7HwhHMntnoqcp7h
VC9GPNUWZm3KNoiTGu0EFL+Dla+32pvc4kJmQvPhtW7UppZCV1unL3wyKV2HXadKF9va0ZGukoEZ
WGVb2lZavGM7c+pTFqiCGe14mho6GctftLfD982mXetr/dB4AQTz0rZrtY/S4a4Sw3JXdK53jxtd
Nl9mVtDLGzNF1b5VCZ1eXan2LNP4pe29RU7LV3Auae1sozW+pBW78FvNnpvxwmTkoOejnO/asF3N
hP054rGWUJgPflU6dDQu7GN4vW4doCLxAkSYA3ymbZhKmKew9dGQpHkpUSzgd4E6ZLb3slH2zsv8
CZLxKjjAVg8mLrQ8b7q3k1mcbDOv6wO/xQNSJcJeNr2qYYHOiyffQbRP9UYmqf2cYTM0rXZTzrc2
x42IZRtCHDu2cXjCvBAlidXiMjvk3Ocq7WsCtOCOozn1TK/YGMhjtnoce3Fec9P0xsG1Yt4lWTcl
hxJt6upr4iPuGtr+o1zL85j3ut/4a9H21/I9vVTyZi3qrbSp77AUk8+oDi3mM5T/wPHUu/9EQ9OX
CmrTZomMaAcDxd/p1KQ196PMyNhaa4PMe4myOHb8MrrPixojwr96j3lNf3iN8UHDECrwoZkxM307
TpxoTKYsoOtZbJpLp/4aFiCXNV5RFKH8Qg+CNcm2n7sBiXqk5BYS+YXrCdKw0vFuXuYjFsd/McVl
bf/ddwK0Zw0FmmI5fVMo/3VhUJlwxvbLyYclfh2wXbgm3sv1qZSRWXG/XrZ5vYAvF+ZvjVv+79DE
/3kWoixMf957HZ6Wp1/eKZF3r/svy+SX/tWA+dwWps8wTZ0Xt6J/NGDur8z3I/oohjGMG183YNav
jGbYXIMbMpjH5ehfDZj1K50S4kHmLcxj8L34O5tr5+0q63N8KGaM//mGzot/6ev1vJHKD5IuHTbS
q0hlHYyguRpXD5222Cb/h70z663bSqPsX2nUOwPyHA6HQHcDfck7aJZsybb8QsiWfTjP86/vRSWp
spSUgzx2I/VQSOxId+Ll+Ya912Yyfm5EMBHw0ftnnSAsd+KPYJO0p7YaMHZbcSN10BEke9WNIrtw
Gt9YDhaCH7Bdcu0wpc7pTSeX6tDGpSZCeObECetsLcJqmA32u2aXgcozZu5/ZeKkx7KD2BfVrkUC
lRgwpXgl+5t8Wbvq17Ltn4v2X4CRfnbR4qN5+vZ6Br79wL+nQa6iIUBuw3AHtMp/pkFcsAiO2BBy
53NQHnEx/d4xyF+4IhkIATrdRufbYu+3aZDwwdYwNceKwX3zbzO5tsiQV7c7rthNlLP9Kp7KH+pC
Owan4nk9nhkurTRcnXz91EZFe6dmsX6KqoHQAImV8dvC0vlDKYwlP+gJb+8dsomWwXnlWvF+ASRI
RkThkjYQG1DucDg41xYzkpApT3EPc5UVk+6ctd6DeSo/mDA5vMnVZdiP0uGuakeAnjCx4TuPsAxW
B7yYDcFxHjEZ2Dir2bzUqZzIZWsGG6ZtlhjWIVGK8G6r6s5wKoqrtWQudQKWkRrhZBc4V8Zoach8
Narmm91JTCXOhuK46G3GTbtCtLZ/hI9XiZDNml29F6Br9Bn8pzqHLeL3V+YQR9UZdpLSOlmiH8Da
oBpZAp34w8p82lKE2iDX0jsg00aENdm1SK82MCCdge7AqFlMafNldvEg7JK5dDhFGIfPzItRX4aj
k7vnmYvY88xfOjzbCZoCMhjAv6AQLdRQ7K3CySQFIdZDvA0R/lpY/sfUzaslXEtc/sHMdivZCuGc
EFDU/VdN1JUfsLl7xbFe/OWzifICPaKc6QKTFbO+UIVzKbFzlwffnGR1FcnhKY29fjoxlmLSMuPo
UQgclBeHLroasJ1m6adB2ko4xhPxCgmDC5E/4/5b3xUyh7uQ1LDRtW4E2b8yUZeVVefp3q6qiOTM
GSMQa4NIXYwtTmiMAVqQkhglZCM0MQxzbE4uJt6qcrAnz9lYkAQ3cd0FzJd4XZbZLgsPz0vd4ZNA
lwtux/+2UgGSWtgyLAqgGVfP41gBs2BSaHxG+9ykYe5VC8OSnlVJ7incGr7EJysRbHz1+7jDTolr
qj35fmHbR5xQ6lM92kh50jFl27JMeA1TDzPa7aDr9JpYEsyUxZD0hAobKQJ1M7KM78vC8GnoZ2s5
2uS6zLt+YGZl7hbpj+3J9nQ+nnBMmhKEWGn1Xy12EBMwclhSTDqjdoEAbTaDCtUom+i88TNu9a5T
+uaxXhGjHMtsGmbsItAFdsJaa7bYep3PR/is6btUztXGKlrgphdGH5N7bJZ5fBKCDB3GhrVdAiQ2
Mkmq9qQ0tX/m+XTTTuK/KxpZFoAWxLJWwbCKuryUGWXyM5YXsNV94pySRpRPuGMriAb9okTo1o0F
UyC1yJ3kImBNMieXDaMwnFjeBLkadNoB247AWOEXNz/cWW//OBv44+1KOCjQYHNxYqMRfVudVfR3
xiiRGvsd4dUTGI0OGASk7si6+KcI65ez5//1L2vrl/97EXZetc9P5asCbPuB384zn6OJg2Krb9i/
vixt/12AbewzgKe05VtZ/+o8kx5bDd9j0Wsp4Gg/nmf8ASJUwVZE+qxp/k4BhuPozXm2JTq8PD54
eS6Vt6TZcU7oEwTTaT8erZMjCvTmayW4EzWt75361shxCmuybeyO7IkDGr8wdwyQjTB++wuNl/QM
dtMH0OzN2ZSo+U40/SM+w1AyArgux2R5MApP3gujhXFE1TUdEZWTO8+d9XIWFrOAru5vkRkT3ewg
7T6Xk+WTPjx3PAuB/qA9+LUs5LmX4AI/qEwWQMxhPCYAMcy2uxpMd+jhuLtlEu1cxb72W+7kTvUU
qc7uYMt0Ng5uX8fK2CVmvOg9qhnBUrpPcW4qFMuaoJLFszsSYs2y3snJ9i6mZnSbCxS4ar/Ce4Ek
wjd4JyOHOtREihZBJ9POdc4MHXtYKdgD+Vmys/q1vEr4vSjN8HQNexbkMKLRjEyre805FYvAnNuG
UPQBFdu7CEg8RoXUVETSgfA86/rZ1ufTmlhmgwo37ycVNl6iz1pZ+/cS+4E5BRnvkw32K42bCwf0
MVQXo3hkjjB7lzkK8+ummQlp1d063swo7oJ06acHZSKevLKZlQ/XuV/ze6ce8QniRN95koNueQ3J
3OT3pruUBaEZxiBJ/bRSXegDN3+Idrt4YMdw6OYxGmPWNyr1w1bM0YOFssU5q1MVdYgc6SuMcz/z
uxUpz+zDbB4pzb5ChjFFUMHV9S7MEWsQqh0bAWnaujkULDWUuE4VE7Bg5kFr2JE6rQ6kWw2Huuxb
M8hzHJ5PKy5mbs5WBBQCDswiv3H/xtMW1wUSqmkhD2hKmD0FU1Zs/I/EyfmNxvqVxK52CecZmVVQ
Rrb5OE9OoveFlyXme9HmxCVTgUYfehzqT7m9cqNcRt8h5jrJIC5UMIXeoydyqIvUwjGbI5MyA2Qc
QxXEWPN5bXU1XCCCZOxnDGz7HbuGD4LORt502tu4aYbj5ztrbDo0YnGRnEWTsr97tsTwILYDP1q8
irP/pQ6wqzojStSwvUvDqKkUksbzTxjJqR/ibKKUWFnB7BJEoBBcZtu/ykyVolJd8/Isa2XSHMSa
2ky20QHftw7W9iCZsuGLSmoIonzg3nPsdYPPYT+bn9q1Xx4kFmQyNemZyiDG02yHEX1lhCmzKrJL
UY5QWYeFYebRqbDmsBuKSD3RhCj2u2YrHIeXGhKWGfUkttOEJVyhe+pMlrxX9qi7M+q8/MLC8Gkd
jHqrTithA10DDDhStSoTJyEwU6pZgW65OqxxiwDafql4u5fqt3TBoISdqo9WJooPRrvVyas3crWt
W/lsboW0Oyj72jVLqmuwJGybyEeTqJ7BYxFvvNXi8CQH744Z55wf5q1c91pSGwa/9CUzNWP+lLRF
9o6hWbJz2llaJ59FNEL1apx1qPhF3qHxPCKj27Q8jY4ZW6G1WNG8F5sAuT06EctpsPBzBzdaXIoZ
KIIz4EwtelcdsEtv2mjP1v9MQ1CYvhzE8qcH8cUwPSX9q4N4+4FfD2Jb/YIIn97oRTrFMPJ3lYHt
/uJgoATbzBntUFXScf7eV5q/sIMicpClAxKql8P7975SwXpGW4zqitUL8Ql/j/W8Pa8f+0rJxstB
ruChZ4UsjVyev/9hs7Fk3mAXrahDa+oQl+qxolUZTZRYkIAqd86vtL8b1Ef2m3oeyg5Qr8GyPHLK
GQD/4GJ9NmoT5+4QtaYVcIUmRQDVn8msQh8PcjiJo3OBBj9hpxk1SDf9Gf5ckcQ18OchpsmCG6Gj
qyFzscyKruzKEySl+Stb90USi2AabGSzwZKA2cf5vDLjFSjPqKw7lzn3O5UoDAZrDuM88O16XAH2
DGxSc2tbtNY1ymzDrDIwN95Yk1gGgvCsd5OZtOu6Na8MQAvqFEEhuexBAkAtlJ7CnW8TU3SaSE8E
Apd2rLYnaDILZryo3xOql9yYa38N55V3JEmSZxlVrNUt0+in25Tz9FHPhqP3drtM48nwpJiZ1ie3
8exHHxhZm2XgrPxj2Ue2E0AJspd3fGHd2wUIi3wfudCrn/0hNZx9rsscAFDJiPtcMZPWh9xlw7Vf
1jFC81uB28i8yNaQlZa2vtbGUpEfPuJb5WxgB4L4Y8vucnVRcUOy/BO7FGul/I9lfFfG/gD0Qsse
9Rnt0m3fNpL4c4m9QGrQa6dUVvXF3DQloBW9AOK3rV58h3DE/N7z09uc8nNDJGRZmLiJ+x58dX7Z
tSlI1HZeF/50bNl11EpCSl3n+muc9fQBpfBAuWrgyQzpX2659bUjEcu5UKzXokWZInunQvgKEqrN
P3oZ8tWA6opdkiajUpsDbvAhFeCtE5takVSQZG8t8w1SVPZ/A2XPyBHSlBqc2VSNdKs4J45pNbe/
NiD/ncfL0OjNd4hYMoaafJmojuHxvv4O2VUMdJeothC7QnLQtMhHYaIE2FGHI2pB7joSHk65t2sk
m9/dzLget0DpnpxJ1hdliqGrhlqwW1UdX0WlVT4wM89CAWXjL1ZyL+7sH0b5PEWeqydJNnYIRqQ1
e/NcezI6MxTdoTYBdaIDkVF2u6USKD5pcLq7lGZ3YAZi5i2oFpDtK3oXVCoi8/ey6UZUjDmLGb+z
V4JHp3j67vau/g6YXQa14ZcnAyH3exhRnDL4MamJvDStLmJRumEZl98JJbgClVtdV3wHD2VcMHGY
uiEDw6h8/F5OelfXa/+5GH1ANGIsl2KHDlF6RJmA5Swcw/gGpYcYYzTk14XrV8SSNLIedmbHrwjy
FsPMbo7YMg1FRncf00n8VUboSyrE27eRc9bDxbEpZt9aEFm7e+MEzBACceK8w4g9fhoa9yFDYXRa
dN6fOSaynrKNl33jtunByHrvKYdMdOsZE4JGOOQPkUW8ZJaPYDRZ5RxAf2aHxRDjX3zkbzqt7RNn
sskEnlu83NQQrz9xxFNx7RooN9dW4Kfm09hP6J0O1WCKo1+6De5Zy+ODF1MV/NCP/skUYBunvv1m
sDOyWNCwB0bOtz23H04XkC2xKpaOq2123DMAv+pkpa0f9utS3ytjtK5lIRjAJx08h7Xr90PF5nQF
NF1U67pnJvktKrRxaYM63ptKiXPCOrK/4Gm/lWPwDimOWt4cgvRgKbyVGMPOnovKjYcwV0hh1zbv
kNF10ft6GDg21oXOokNUDzBuGUSYu9Gwj0ZsPI2XffJ1N53GxLU/YS9hU9kI47qNjG5vqbE4uYla
TrOXD0ddCuvOiqNY7/7++OP/ue2SZLDw3wcbl9++PJXV68nG9hO/TTbgvv8nig6t5lYqYWrnItvy
oH6YZtjoeXBCmux5xBs9j/zFZJS/fS8ozgCkWn9nmmEx/Hh1nTPK2MonqifsRZI5/bas/OE6b/tR
VbrIrGB2sabt0zHD8fEywiy2aaZpzHrnpX32CMtxORok+aTh8DL9ZEus9vhCqucBcPkUjHWeP8CS
j75kWHBtBInKuo0iLyOigshnwmbLovwMQh2sbd7O1c7M8M/50s/Kg26LtdwVYCnoHw2wtAjeQMny
O9OIZZZrYao1/Wj6nje+81DmfnqfjmV2H5VjPO5KcIjvK28C6F0xW70simG6L5Y+IdpoWBDQjQn4
vtbq3QMHchSH0mXdaxmz2e5GZ2k/9bRrEVRQ5i3YegZ9HXerR6S927kPWIFMFbZGWc5H5qJ1fWGN
c7T37Xkp6e3zClMQAaTUDMuUPeqkfs7JGk23+mbPZyjafWNM2+ahMJWmJ/S5uwo9EVm8LvLKc+fq
o4yt69xhdL9H1mqVQRZly0HJwduXzdDrg4irPmQT3wh0L4KTztxCiHa2QwBP0M2mec7wvmSLIor4
s5ObmpkvN2efctLqMcF0jTR2MlY5mb66TEk8743mqbRZggSanhIGnJVP78dUMYDuHBNgM6ZWXtzS
dTTCfpptLMQFSOBimXA5u8l5Bz5+QYsbFf6R5ao976IYUsCu8ctpX+QV7Hrg+fqWPF8XUa3loTlK
snoymczI+HEeAPwHOH0zVoczXtqAVTkz98ormtNgDeJrXo1o2yk0m8PiW9n3QiiMv3GeNucrbDsr
yErD/cb71RSoKwcTTGQTMxjxluKMktUoARAOxZd26Wrj4Jop7a49+/6yq1PtFwecjXHKvBvUJEKv
rL1LgCx1uz5KpEOBoaJ7U67N90pWDI3s0euNIHOy7t6u1+J97uVpHhqpKBAzyBp09TbWh1fp2Ef9
Mu3/+zfK/0+X9duy8ie3U0b6w1P5Whj/suD89YYq3F8Y9dpb/+eyc6dS+L1FFeYvdKY+Mkk4XORW
OfzNby2q4/7CeW7Tm/Ltw3K7Fb2/taiO/IXGlLshib3bX/wt48/bw9lk7Ymqnk7OxYvpYtt/fWu1
IyfPde3UocfG3g9r+DTc9NCVPRlK91lYFePyMa/j8R6N1GdIUxEmXrztB6IscmImLQZNYeb0xQWR
GAXjmq7wGLVWhjL2ArtlSahYM/q3Jd1mdzHPlrGEbefOH354y/+kFJJvs97NTTnDecTMzeM4Aujz
+oUo+D3eatBIuuDB/dOqm3hAp1RFK6tFoNA7WpzkORGtfwFht/mW1JuPWjcYi4KkTjRJejAEbQh4
a4PoDAbPQw/b7daN7EIGazXkF4y15RbQo/t3pmYptLMIYEzOZmdRG+WxELDBmYFpGlJ3bk6d6MHG
I2BnLwoXTGOvb6r8E9FK5jlaBvCVijQBhEVtOglQ+VPxwV4SJrd+R3eAo5lNJwamPv9aq7gY95Nm
orX50TkGJpOKCutzj8MonTFg7FaIw0jPJgW+LllQNMLHkYy2R4Yk3mYbxWCNu7++jWU/5YFfZ8yn
O29UjH11NDW7jA/5cvZ6deeqfAPEe3IaEbfhSg3QYkNi7AvX6k6urw14vMQnXkJzXdS5A/+WkV0n
SM1zvbx+VonXnDerjxW9VQU7srRsz3JnbB9ZIm7TaFpM3iSjaUhh3CKWAg7Y9dS0g350sPrfjnEv
h0M+i2STQanxWq3eYEEeLcHzC2M13L2Ve+i66yKaWZou3MWhCVrpTZGMUkGNKtfniFzTflfEk/wO
x8vveBH5dG/lw2gERHmIb5rNaBzEWQusdjHSayvuU3FTzaW4bCZ3IyznFd+AiWdcSM2YuvZSk6wU
c1rvM6nl9M5zNc021fUiD3PjdDdmwd6FtAnGGrtKjoKs7CZxLkn/tqyAHbqqQgW5QB+s1nY+lJVQ
X5OJyFjgAHHM9rorKXKqkuszsFrKhiDW0KJhDFiI2xLaHb33y3a+WYHmc9qWJpbkNR0x6xsGuosj
ogJQACQ2EO9YA5DAzgpoK6DQrzDL4cUmRQq+NYkBtFdPU42FYE/B7j8udJn8HXkE1a4c+dbstVVP
OpxSh26zH4+CnVdJZMkiROjNRHayM2Fqv1vZvFQHyHqNAYpiyc+4/li3Ul040H83FCepblUa5Gs0
fURs1k57WAzDrd9YLPeNse8/RoCR4MPO63QvRZd+SvPKc3fsnKbPdjOiGIiZkhM5j6xBBA59fXy2
UBbhDqhqzMWosb8O0G3x/MXlcqLhVepIvkX+vXSW/ootQHXvClDX7FhQ7XIPwR3Ll/jCjNrpSxET
HOAUdroeYetHmHHVY8/+roP0uUT3C9le91lscPVNVd1/xZmGaMmn6Fj5fhuYiQFZurDOzZrEK88r
rS/LkI7W0ega9ckfhrE/xUylWFTVNcMK3x8lqaEa/w0piLTPaRRXXmA5EYkxA+ldcp+NliSCoK0l
yrqumblJMVT/3g25lZ6NvN+hinGQH1BV9RaAyAF5hdm2oGkN7t1M901C3gBXNx1JNPRPCD/svPsi
qAw+OqWGTi9zMzrXgOWyI9htg+GitHvy3XKtO8ogS9z3RsaXeWFUMYTlqlcuxCnG8ojgZfmSRaIq
99GcE0wibH1XSVDze4vHQyjaVWzaaqcnCnWEzrLsUoOLJlxV23/MuLX6iGETQiPiaJjLwHBiz8U/
Mk7ywvSKYo8K1T8HgDPhNXej7GOyYPE8MCcd5W6em4K1z5Drd7GPZTMg8mDWgdUpNhW+CU9qh+GQ
Go76NUJJSpgmWaQoVYjocWeMV6jiEutWR5bN3qtIGjZ+lkXQjZvV6YoFfrS9w4bPxEni9PoaEjPI
e6O1I94hb4KLUbAKzEF959OTQFN6r9hBMo7NM/dZDBTbe0DP43jJRGIqnpnMrgHGVOHu1Br1ggeT
zKjyVvjruQFobos+Q7Aa1qJcLhATqSKclDk/ZSqzrhK0IkPAjdn+ynpXgNpXCq9+RHRIUIGNMyFo
9eK9DxCcnWa+PMSLzHMu8q68q7qKbLUYUJVgSfG9VZX4Mo3l3B4ydMFyx7c3I8uy60CvdX4mWP8Z
kq9/HxEvsicFysHLM8X6BjY+R0U1OUykXK4u+u9IW5eq7rsnYicyan8sbxiU5JLIoK1rNEFJ7/UP
ie2xVJxRknCxsyNcThHGVIytCOWbg1rG/nPDZm3Y0alVKXzdLJn30eRkX2PHceawxPqF/p94gTRU
TW7fJ9HCf50XdILn/UAeX2Dz/bh1ZTGTBaQNVjDNtKglMJAnSdQewHxJIplJ5Zm16LZmBvbnyLKK
ZRd0kNup7fv7uTDjHn3HFN0ubWPByJdxLgBrla3a/1Me/7a92fBI/708vineiCi2//zXytjxqYxd
QZ9N3jSmoa1m+1VE4fxnzED5DH4TsYUlt9kRFe+/K2GLUQWWVpuZ8Ka4+JuiiZeh4o9DRyBr2P0Q
1KCQJcbg7SSPCxd1d6ocmm6ofUyXHZmRlJSYMoR4Yd2iGgN6N46EHVwZ5eyD+h9mLIpLVakyNGo2
+TtjlvX32ojINDaNOrpORUWuZ1MMHv/Prj3d9YNFiVDWkfNVdT06e6nH2kTXreCVs/TPUCNQtL83
sKh9MJcmdihPq3TBlSRKO7RB/BB+YDbmXY/4+lO5rnxbVaxQpHXM3+bduOoaiF/FSPlkWS0mD5Qf
seDb2M4ErPlAWgWxv3yZfa9B5k8VZh0cx3Dzfd9b1XCATOWcOzFBusei4eYTTEO9ruetbC0RwJG1
gEXTYTJPd3Kic7ssSeS9X2XjxdxnsUeGmEz55zlVXpBopHebqcTBe0jlcVrhptg7m2Wyce5h5c7C
bIrl+9HiRZLVkq1QK7z2/Icr7k+6g5cVwauPlnE8rjISCU18MoySXjcHeWQxHE5dO4SxWLPUJYiC
uJapKKaTSxlzR8nhh5HD9rkXsXdtdiY8TDdPXJdizlPUvLK8/flzersZVJarEBBtLR53HVxJr58S
VhpNbUpGUgGl/doy3DmswO2e0njuz0UTqcPffjyEt57NgzLpF38wGUScTfAdeTxuyweUecljpBjZ
YIXtvlooKI4/f7zt+f/4luNnwLnGo5nM60iZ5xv948xuqLtMCd9WZNzw0jJDT+d2BSIzSmA//fyh
uIH88aG4jYitZd70Bq8fqkMEtzGGVGgs8MFKY66oquu/9Gn84WG2ShjPDzsoTxFxuX2iP0whk6nH
aqUTL4SIqPaa/uwQI5Ta/fzFEGf3+uXQ728dP+AN9NK8mm368OPjZNNsT8mKOYYo1m709+7sGIji
9SSXc6TBSfMwiNx0HslfsYxj6YnkOwMzAbc/JXggCsq4dZh1Qc3Blm7G2TzfzFMek0XW4+d7TG3m
fzstMFSVuxTGTbRj/E/BlQLTL0+ZUxnfoLU3xRURE8YIcGx1P9qT0S/7tR+4gDJukq0GXuiIjnCH
Dsr92jv4fCc1rcVjbNkME4PYX5cCWdesud0BK2VLIw2Zv5+kwT2iH9usDFNSjX0y5brIvithbNKz
Tp5rYiArYlmgwh51e8E+QE6gKwwiYACXjdyAHVTBjmdVAfxWZznPImN2Ap3RfJ4Min59KCnrKpzu
7lhcW2tRYq5yhxRC59CxzL0YAJxyJRZFRrwPcKIUHVNS58DcxmmJLsFnu8mehME1v44ms3Yf3AJR
UqDI53W+IIkp832D0qw5xsQClRdmVUafkFEbXejjiR8+kUeovq5Ike+IT07oUHFLJf3tWmZG+qHw
STa+k0szjPem79XpSTGmSK4Ia6nHXZeTOzMEUT25SROmODWsAykyy3Dq13psLtdsTrMPOlns9F0j
+qbWAZzT5HqF6S0uVjRgyxcAsSVPpVeNfzOiWWHpXqg2PvCIxIdlc52ocE1s58uS5YTHkIM47eKR
kolQJ+Doz5HOM3S/KTHAwwlRIBDAlc7fdQCPtIbxYAy57z1kfOMqer5B5YcqITqUbTx77YcuHir7
/bha8fwhTxNd7jutZkzaRT6ugaUYRNzkzVpqwp0jMlI+MbmU7rnl2bTrGMgs4Fp1HmtyCPvJszTD
WGcUT0IPnkHonjUXzVetcm+aAvoVRHCl8pMJMaMcjV0Eb50GFXXXewTWhrFTxkTcV5bA0b7IZaTY
GmN7Xk6ZZ/jEIvsNHnpGBO6xpncawN0MWA6RHdTq2I2DMne9YUiaNZ432rSSFvPQtOtA8rKfVY/g
Q3MRrkM26R38wXIOUUb3W5Oto2hPeASAwHRaaka+xF/056pHKbUHVbD6OB0J/2ZqoZYHtUT6kqFb
DmhFkp7A6t/o/X2vOsvF6We3Z2vq1XaIT7HzQyOCe0mzaIk4LMSWUz+XgKsRKtaIrss4XkDa1tLU
l2AUZn3AdT0up1jUzGP6RJToqBv/M5hTXROuCr0rNARBKoeGEEj3jAjSGHvMOrjmOTJOiUrdMwwU
IagVrkQ2+vpmxAGAgTGehXGq5GDSiWVmed2NjldzPyJbmvCMSN/bI6+XEZvB4QJREqEZLVsqi/Vq
IdMpN8Ju9SngWY24fLg8czjGrAMK+riEVcv1bOC22xVzmwj/RDuHA3C1AcgwwB4IzdAMmaRo0LaG
Q8kU85CrpCE51lvrwj4mUxlZ+i82rm8ONfYA6ByUVPTAlJ3Se7PeL8tIxwlMojCeSvvGh5OPHg1O
h1wt4y8ONWu7zf9wgL48lgRO/nKEUt6+OQao02q+clgPzHYsD4gDwQGpaQptQVrR4vjJu1rCAUuU
0NeRMsx9hfgFJU9cn/38RNrOtTdPhO3IVp7D62PE+eZF+40JeswrExDci+eeuInrLzZ3GqwcEUC3
S9VGtvsXb/SbsxbOCwes5YAqZ9a9Wdxen4EpKg3bsO0ptGjriELivpXP4Lh//sr++CiUX0zlbYoV
h+r/TY0youSN69FawmqCoKc3lPbo4wz5249CphHvHKc51d6LRuyHuqGpqCjyApA5oCfzru1scTYZ
nff1549i/cmLQTBBe6yoglz5VgzA6Ub2ahZNYTyniB2JQM4i+7ptJdTzofb8+sNcGNN6JtyyTo4M
pcXnnju4f1lWzdjDhgUVeIQiYqqAJSRApTht/PHh58/yjWLBlrgCoS3bRA7yFeJdef25yk5MKJFz
1rMAEIm9b7Y85tw6+JXPCbHZMmLDTn69mP6x5P0La9wP7/+fgDuH5+R//J/26cvr7dTLj/3Wg0Pl
4H8bZJywc5uL9PceXNpY7ByqeAQ4v1scfhdQil82j6iHoIOye+OA/NiTg3xy6NedrVBG8Pi//+cr
qVf35t9/RGCwAnt97+GAYcNl02lj9CMO4u1NUANNxP5uQ3wlPs84RloX3xLbRzxftgRBzo7FbalF
QxUIQ5iwCYDOf1ipPK2zEeSxH5hukX9vC2t5r1mpyoOw+/SEfjE9injtMrSLGL0SD1Yo56dukOlB
8+1SNjWEi7X6mYlpc0ayxkO5Una2yiwvLLb2ZiBl1H5M0sYLRZkYzxFAknce67PD5JA+xhv9SNWa
QhXotwB1SMKnuCE++qxuM/00i9x9hCIPGznx8nfKWsp0F/VZdpZpG+ST41/yvH1G3KCMWyZrwvnO
Lg2Jed6OoEgBP9w6pIVjv+rsoI7kdIcyidFgNmiPQLuoGo+dPTIJG/3YPi4d7HtgUH3GDbVfi/Ss
bvCxX0Qd+mgSoXOM9wRHpu8THYvxKKeZrD6P7ML+ivYhOVZ8b69SA4PtLik955PJqGR+EM7Qlmdr
lOakb3Xdtyh28yMAbrMMYxUjj8hFkz8Q8ZN04WL5dPmY08iBOJVlE2Vfs6bKOO+LMRvy4gP7f4h3
IdyPwm2OSq12dE9G9KKd0KmxWsV7exyHZvw+xTO3WmaGpqq7VgdOMWA++2b5lTHcisbBa+LzgRHD
s8c4QkanERZtq2rzCjufAr6kV4rS64Qilpx1Lm+jQj+uhYsYCcyRVfoEgRLKh0tjHCBmmIONOFeU
5vA8MYvmCXMFXeWp07VnUzP4LoyrtFKXau1Ar3ruOEZ7w4L1FTmKErdzFUGFzTprliKT8p+GwVmt
XUWk7YXXjk5/Wee9zUZmbtlvHKK4L8wDeeca9D09BsgGKfKr3s7t8Z1rFzC4WUe69qMDHnnvrFGx
gUra0f/o+5m6V01WXbt1uuUjx312xx5Sje+slK7obCKetvtAKqb7IVr99Dk2S2nfNNVYf54XIo2P
mA6oxeaE8O4GFcIUzFXh3CpyVgG01kaB9p64zfihm7xsOVIco/ubvHL66rYO0KwtZ46TFH/h166J
NQMr6H3xBWkx6xSgBXbWoHeMzj/Pp2xFzeI4V01sdfpiFRM7LnSNVb7z5oRE3rYku5T1lp5u2A+O
82msGWmtynb8g0Tdc1cXg3hwHMrvEOr78sjsfgsKKVVc4RsfssM4Ff7eyVRvnaMUWygxmdQhqx7l
fZMsEctAZfkPaUyCzx6CeXzG/gTdB/FTmlZTT828Z4M8rU8me05WVnIl4yaGLlafxymIt1OHwprU
j1yaKQmzfX2DQclswnllc3KPJJCBW7VwLe4mq7Hsm4K2sN+Rk+k9t3MJJtdA+6Ixd7b1/YA+CRY3
zoMVyTfwmTDGGVRgw3HHA+0MpT0KFr/Y9yTTQOQEU/dUE513qqwpvoGVN9qHojSyRxplluw7ssaN
LpgswYcSoTu/0LXN1z/1EvvbSmNwW4tZnPvOxJCTyKT0u6fI9TlMeZWvu94XyxB4a2wmHMV5Aqlu
tupw0WbrhjPhtKfCHOoqXCpdfqCXE59Wqne4MauqPjKicR5na+hNuiw30aFVLlPDOojYTi4VLxtx
7YAoYWTKOnwvZ5K/AsJcEGY2cJIvMgracMU9e0P74X80uLHWu4npjjrEYEzOKq8G86UaC+NpsTWP
uwLuHYuCtCGlZjfT5BWHpuhJHxdJmZfBEhlaHv4vZ+e55DiOtelb2RvgBr2J2F8SpZQys7KyTJb7
w+guQwt6f/X7QN27k6L0iVM1MTFREzNdEMAD4OCc1/DoKvwkKCpEfWsj/2JWlv1ZQ26P4oPRFKFz
1BFUpkGknKDODeWdvN30eUA43RndEAS2HyvCCvaULWjqIPOs8taMJSVJgzNkz/WwVVS1tx/Lwk4g
yYXkPngfwNQavqHW4u1ivTLseNvpaJu7NLWTAhEiC+WMCXWdZ2fQjdREDtgSVW+lGxw4qJ+xaYbZ
tJ9gNGW5BqAqV4mWqtYb3A0UqNsKb3mtc3ex0SXw98YT1S0/0d4qw6rq9JhYyP5vda5J7TFX81FX
d+jj8PfuorCXJN7JRHuVY6ijr24JB7v1LA3FeOeavDcCGHFd4PR+GEJO6HZdBCTgQVhRQOM+NlJ7
TJ8Vcw7AqpemJyr8kSEUW5RuUPsfwrF6NBM+MKg07Zs1UNz9MDkKlQnL7SbPR7gu/xBXnlNsAYcC
uBuERSdcDURbv0sA/HWPAS5KwyGxKCUdrLFpkEjMm4/KiL/ErgUHEvIDS/EzEhGvP8wVm3arzRnS
gYUx6t8oIkTzR2UYRL5F6nFGDTYvp9wXjYmIn54acfkQgn2DRjeqULTCkprVxo0pPvEJMshuW1cB
xHFXNfz4ZMOebGy/EW5vfemFVcKSwj4Dm9R27jC6pq1Pe71MxNDsHY2En4JYlc80oxKOZ0OPMPDB
nMAWj5HahccJnefhccAB0dqh2Nlb852KsKD5ROlt1J9nNQd2MgK3Bloy5jY16jGEowEkAovkxgBk
k0GBRsi2dpPmaQAkdnDpgL1tmZH3icpN4XLImD1cRqD95n2m9txYyFkrdMawllDzt/Q66T+4g2q9
VXMH3v3ctaJF1ZDX4fdGC8JiC1ph+JpVCgqsohvDJ6tXpg9WGQR7Bz3wZlujUmiik6MnosXvXu/0
bxo4hVIeQmbxrXC6+EumtXGIDaf0H5kSqolHgcFk/M4ro/yDNoET/KQkozOpwAHSTL/nJKGYhE0F
bq70vr36l1kwqU+FK3JvVySijyCJtZVFqwDTs+ChzhxTvUvKIZv3bpNCVGmDZsAUIGZHxOM2q8wK
1WxTxcY56+0S2aRwnml65s30jAVRFH7r2jn7llBpBeqT2PzQhD4F3zTLrXJXkALHx8noG+tjmCu4
I26EZbViT64IT1+gRLVHIFoLHjsvsOf3mjuH2sd4osO5m6vCc+j+e2iZYSMPQh1pnfy5LUfnW4JJ
U7WDRqYbd10bEyo4eJb1jooPlUBJEklZtnkAhmrQle6/dQlSGZwOTWbtJ+wV+0MEkdfASVV28Snf
op2e4cj8hTIYCY9A2M66w2h8jo6tW07U7+ySq8GeHTq7m6xH73JjVEpHkanx6n5nhJaGPqkymZhR
iegN6nf65zxDbEWHiPrRhaGDQChsAWvXVpSjt43dk5W3GleyWpAfo+WLDYbt9tSHadsalT+lXv1Z
xYe03JpRB5wAAKKj0GSGjvQ2tco2fYuHTIAJVJqD2oonReqzZ7h76eMY70f6NviYqtg1lU3eAxio
3G9VCIbKFwSN/QEIhkh9NXDA1U7p1EFAJuG32zI8BJ2C0EvSmc0vzI7HlxJ+6R2K6U50yHRRvp/Z
qtPemBpCNHZgCdtM4RjqPdCFIFbfBdT53iLA1/xwonhQYR/FAFBkLrkFgqRaRL1htsB1TOJFwSIR
YeaQRqXfFLHn0VkfVH0HNWAOHZpyQWjvYaph8xyZ1I0oZBvRD4GWl7WHxxo0Gx2BMW5eIRrvWPWG
/aVQ0uShQBgE9QLYwe02Reihh/0KRsCqq8ncGE4F878lf4w2WpPZgjw7qJ1HYKrRG0ULqJAXDVaw
GxjYarbNi855Jmv3/qLyXeyTsSUkWgN6Ch0ATAchHptoxZP19h+jeXAwkkdH4dnuJTlsCs3kQGep
I/ijwPZ2TluPf6dq4hVHAUsSKAGV0oqXvIafnmoNXXHfjp0mdgNs62JT4f/RrlRWJO77VWVKl4QL
y6atJ9liPEcXJbKi5tav8jLfjmOWwgSarfBDkge5n2VRtomEjQFBT+b6jOsO1r1c7MPKL1gUXeQv
cAAf86DWTIykltaUXJbVnMYclKVQg6dGEeY+aKbm16tX+/M/M3r9Dl7WAk8TNSCPnWge4DQX/cs5
k4+TQRFba5zLxkczTpTbzo492KdDoWw8pFbomswjq0BuxbbWKhsKBega8yOo5aj8vfocP0g6LtFJ
xJgMq44lz6lNlCLIzLiAvmGYe83mUY3vQvju9rwvVxeXRIww8Vli30A1OK8WpRqcXPR1oKm56nzk
uQI80wzyFYLZssbAEKbmaTQrdcg8UDXPR7FGl8dcApBftXlNc4wiHslboppekikMi5W+6OWcHGjf
4IExg7QAPyxGw08vsNsAu1IFYROsD2nV7dSg7Nc0NRdVW76Qi3SS6dhU2ihxLvGwYAo6Lh32BuqO
PYrPikXWiIIfRC6jzHcpjcRgpVAsf/r5dqSgB0UDMIcN9f1km/Wq0IkomMcFB/0fzQZgR7FtPFtR
1D+oUWd/VOdBfOfQH7cq3Il0JR4XdUUgJJy1qL0aDpVFGS7n3zA1tVG36PRtsfjm1kx5ZPxC3JEF
plzA6dXSaRv9BivFfuV7XkQPi0yDG/cGytU8thYjFzaAQHsCBham2cBJTbOW0lGDOs4Ghu2agKkm
Q/5sjWkP20iEIHCLfDKibecT1cu4FLEGqlYCXeVzbeRiwLR6erF6QZrF+M67wIqsT27lBvmdVTvB
U1ym8ZfbW/MivPgdHLvIyIFfd/BoPf8dU6Oi56hYYovzosxJ8pknhFaTS23VKsWABE2n1Zi+8pVt
znlDxzQQ2MQypuOA3lHqIqpttZb1SRR0B7VtLN0C/SzHk/rOC90ZRDVw31D8YwhwVpt8fQZffGcL
trgLeETuJzbuYuHh1ck3cSS2WU8HWbXmqOBR6Da/wsjkCfNbq2tIaozKXkKiRpo6e4ugmhq7U0dT
w1SG9+kDKFIHfJtrf80aSDs11l1r+2dxKskBubw4aikAM8PlgKWXIAaOvMu2aB3qo4nV+9n6eb4I
GsrIuDyyR2V5GEL+xUnrAnosPQUBiRSqQO1hQjqbTeSAC9STg60CVry9jouA+WdAOZwkqIEiWxy2
toBw3wclBPfQ0L9lPFg/I3y2o4JiwUGkLhT1MOdXcoJFpDAoDSVeHBrYDXKT5YnQWE49JJNszCvD
j4CSzNYruh+Zbo8rUXJlIEvHQpONaHGnmIuQjKZYK/U6wX2JbYFbZzihpNKmUE3T6feHAh1Lfd5g
QEQk9fPtPqgDfig8AmD+llLDkUllpKe+J/90+5tdgLVYP3qepBX45ZBnLPneuNtaSWPY0RazeuTn
yyR3KYAObf8mqdCpvw9mJ3xngA19mgVPLfSI5zbEDUDMgXSUsrM3gASyYXf7Z10utqSBgTHEk1ul
Y7JY7LyFKZE0MSXjmWddoNbpBhx7svPkn35/KKmayROZJOFisSHWRGMeYSmlVf2L0w0vuKe8qPz5
94cheeXu0jRJIl7MCJ9mswQrFG5x4rF4embZzkxcOANtnf3B4kHhBOYmJR4JovPwiTtwnT2KauDD
Bb4M8Rw8AY0bQY/wp9uzutzyJvwfyRIF5UZ3dzEUBZYsrRGu2JJlJQeqz+zvse/mo0g5Y+h3hG8s
sJXfb4+6eImw50n/T2akNKqYzOKggeapBAlq0VtOOLzZVN6aT4PVdW89BJmf5igaPuOp0R0zl/YO
wByxkilfiU6H+HR5GiAvRq58vsA8lgcXZQt5//el/uyomf6tyGRuIGzBD7o928vRmCq9eUB1Hhp0
y1cPWsxlB3hU2VS1lAFDn7m125f/4iy4HIjWHw6CoEyhAAHiPJ+WltAS7vEH4mk3nnYCjbQ/2glw
lE8Coycj+OXqocqIEzuU2m1lz8jB840+VWOHn5r80+8unU1ejmwfdyzzWgbK0LZuaGglS9ck93Jv
CzW+/5O9TSCYoEcgxXFiO4uFyyyLDLiib+qaUfFAvfWHMMz8IYnaH7fnc5E42FDDyQPJ+nmn8Q47
/0JWpICHaSl3JKaWHExr6P312VwZBBkflA7ItfGdWA7SOmKKCzTIcLXL8w+o2je/2FFrhgtXRoEM
JWnu0iYJPYfzqYihqOgMjcEmRasYEgUPzart1t60lyHtyPXSwbegPkTL6nwU8tsYWi/mfHphww8z
mVt/h1oW6bOHhMpvIpY4mBgDDSKPVzrOSfpiuGBq8sCZKJXqxTC94AU4H6uJUkVm4wlwOxSuzQy4
Dpkkj2nrYrMa1QwbVNqOIa+Ftn7mxcWDmvJwL6rYXYPJXnwsyg/oZqC0ZaBSfvHWBIPqTRS9FQhU
qrlXeP/t1Ijguz2li1HIGk3AEbzTiQfrJLP46kWrzGndmwyDERvh1lBx9csJQ8fbo1wsHKOwaFT/
5HXMnXUeEl2Z9Ipd40sf8mgfDp0E7PFKF857ckmzWil3XCThjAaog0PoFBfLrHHsjMa1wyqgn5HG
nwwDqTtUF6r3k9bTf0/scEX/49oagncFX8JNQV63OCHUJHErWuze5lRSVmwUWEbPTQ631/DKKMwL
5UyiQcW3ZHHgBTxtCuDP0MYyJZgeVDHyHHSDscIo+3dHwlSPyhf5GXUjS5WpwKuYmNq5RssJvLQu
qg6ZhFFvsXV1hVevDGRdpDInUWxJRzFA2/Cf5yM14TDkSsTezeTZ3Xvp+AZOm/63AJ3wWDYGYvzD
UBZvS4/mJ2g5IwMlPiXgPWpUC1GZTBO4Zw25Kpa1qvKg4juNuVMBeUxrBXJOqEo/dW1vfbMK20A8
IMqaJ0cT86fIm6gdUPicXmyogXgyBR2NKAfPGzh+jhmjbEWKA7HD4vEfQbAOj2lDp+FA//JzFQxG
co+tWvi1sdox2uvylfUyAoF9oqbeYIVbWQjRWKj4vQxz6YZPDX5UJmIOqvGM/ZM7+w0ABzzQNYg0
rhkGUkLZsKkrwyn4OfejLTac5YOO2KE9QvaeCvepjRvtWwKul7YVdGHjt88CYJ9Q9XVqd1ysy33T
ZG4DsM5Bri0kh21SJafxtBrHl7vTPd2ldBfxQ8If7/ybBywHGqhcD6ZbUE4ysjF4yr2OHHJQgidt
KueVot1y48CI4aEFyEpK1EHUWAxY1ENGichSgJGkza8RBei7LO/DFQbOlVE4SKmvUiGTWgeLuzVx
lXi2gH9sEFwkFY9Js2boNh9ub83lQcpc8A30qD1yEFCSW4wSZLHeNREyGz3i2A9A2dHPbLKAF4Cw
Vx8aV6bEC00lwUKJWdaGzr9UmpRdXBSdsukGBRFRwbUQ0rj85xD4Lezix0Lw7/8j/5nvRYkHYxi1
JxTdf/7bf6e8cfezkI7ezfKvOvubAej9++sknvDsv+xOpuDvup/19P4nhON/fkX4s5D/z//2f/zX
WvzjVGIt/r3oUHjlbwvjc0Ui7MJfffsLZONLHrc/f5ygjf9rJ+L6r/Zn81oh8vSP/4twlARC2R2i
8qRx5UkhyH9ZhhhicLKa4BhloYGHxv/X34B1SBkbGQn0OYhYT6Jt/59EpP6/kUzgwUzZ1wFti4rz
AtJ4C+K4jCL0cWU5k8oKnQcKyIsosnHbrjI90X1+S7+nep0f4wBp+FeLc6WBtHyeylEoECFkKlUo
qdqex6prDLFRQp/3aWTVW4l4+4aObQHDQo0fNQcTamSRa592n/EpG5Li+fbwy33J8CC6+ZdDlkMF
aTF8NuOWHlAk9wcwoztFqPTLtAhxhLp0V2Yq1+tVfZxvKIci4WUYMoGT3smr2xkOdKTrymj6iDDt
TTF/HOzMQhW/AM/nNPGmR6oNI6j46+0ZXvmMrK+8GVQYYqaxuKrrvlasTCjMMMIUWASesgcksdZr
WF4OcnKWy1eURyh49cU6ghOwZzewLF9V0NOcxiz/pjDuRouF+aimaff99qyWfUe5mrLgRUUYLS+S
7UV0emVVaN3gQIBFGhSVglYclcSiuDKjAVD7LblWt7VTgUU6Bh6/oH99i2FDIeuslS8rv0Uu4eLL
8lsocmg2L07oXecx3MQTd0sUmr7o+3LDu8efxvgtcFE/DHqMCED9bougeWPxm49UaTYcz/a3EOUV
X1G7anv751wJ6bNfo5//Glc0agzOzvAtRZdMteYvNQjVe5XkKloJ6SuxZVEG9QAHkNeyfc+Has0U
18qxlrsHaMBYpR+ystFXXgVX58OqyKe8RddB5qKv9k3mTLjJ5TxIPXbqPSk24CMniQ4Qcsu7P1i6
V0MtgsoMWne0E9PwQWIgbOVE3sbpyjdtiIrE7ZGurhw8SlluobUr/Y5fTwoKFO0FTiS/hPwMjEet
Hgajc387FFBGZHdwriH5ycP3fBSocq1ZOki7WIGhHnMxT0dwTOIYdF3zB0Px5OXRgQASjHg54Vdf
CYIUebnplPipiPYTcGrlMLtC/4TKR/2bzzbKOlxtNDCo+VOKX541bcdzqvZUoJ8DrK6oqDFfQhFv
5Qstnzj8xfz9yAqergbuhvMJTagV4wcCwJTbW/tpNwZufLMtYfuNejdAS/g70fvgcDssLmP9fFB5
0rxaxW50KuEEqPUhGeQCYsW23U5UB+EetG1Xgv0yBOWnooBJGNLPkFnN67EKFPtxarMbvhgige3o
QVoz2+Dx9owuLwbKo9TFiD6Pa+HUNX41I0NzMxiqVuPj6KIdjKZ0DlCzAQgNgmXUFOs3i+x8Nvg7
kpnlnJp5iyPJQiE/Qg4A0dOm0lEMmothGzgjSsZePt1jntjtPOCDKwfhle8GdUguIlAf4wI64RRR
aHgCIdHUMyx8l2txnxV1i7+0Vq9M8MqCUgfkPYRgG0+KZcUxiiqktmkb+LOKaX1h1d0HZM8wlSjH
am9GnjuuzO3KVcsta5FpkrfofMjFqdiEaTPqVVz7QKoMAARtDozArtApyAZ8lIG5YxVkF7X1VwnW
DUPYtmvfedpQvYu9CljY7YCSo51ftiS3rDFHGgQ5xOvOwzZu89QRWVv7liTNbsY202ibtm1KyxRG
zPsmmUAQTqONB06SaMmaJ+KVc4FzWWrrQj4CNb44F/q80QG3Mz4qN8HeyBUsSIem9SED/dUlXnSs
Onobt+d8EV4gjEghaAFwKEnd4fM5w17X5rZFTRcSSLJr+hiBj8JVtlgm/Lw90uXHZigQHNTOmRsH
+WKosjVC1wYjguq5Vme+cPTgzlUD71jbrQENoRoo4hRUPVDHNZ2tHkTO0R3M7t7Jhir2b/+aK/Pm
9erAGMSEg3hfHFFDnsHr1yGvo3dnbRzFqd5bmRZ9pEaTrFwqF9uK8rbsyfFwkmF+kj54dU7NOUxn
QCOtX6pFtKvjxEHUOhxfAuxC9+HUuV9uT+3i9GU8So90DSjqQ5Zd1B5tpU+cOuDEqCPP+57iELKn
u6kcb4+ypF6CNCcf4r6kGsDT48She33IJ32A27SFIltZpsGDhqYSek3QWfxWoWl+D9u53qVj1yDV
Z0RwHcJk58Cruh9Kt30WCiDCDYwf83F223h3+7ddWwHLlNon1KxkhfQ8qG09o7acG2xkShjIRxjj
fi6yaCV7lPF6dlwASSL/4d8MQTVEhtir7xp38Cwya4bnlcYlYmH9nD6iDxUGfll1+p2hqMmbhiPV
14tAOWC55SkrQazJiVz8BMCYfAd5bC8LwGGlpRoma40fInxFadNGvT/Ii+1Q6NZDl1UtOn1lkmxU
EURfiFHvuRkwlnOBi/v6XGuHEuPZlWv56rKADGVVZO6+PFHQ2NCdNO/YWUERo+1aqrwVpkFtnS2X
WXpQYxUpx17N7qdcnQ/DaBXmyqF2cZDyZahZ0hMGKIsD42JzU6FEPMSRoYnP0duS1UBNcEqPHd2I
X7PijsTorK1s8wthcscGmKvC3US0CY0AXf6qV/Fgg15SQuQWfQTtPpv1U160b9xA8fG8QYxW2dKG
Oxp2uB2jCXWiPe3zI8yoHnGDZsAbMKRtHc4rnmmXK4GOPIkfR50LBPMkMv3qN0WeNkaQmCbfqo3u
MR0a/akptep5NkkhlGSu3zqTU/59e/tdHngSH3zSt6KsC07ufCGmKh860NiqnzdO8jD9SpudOZZi
x9UmVjKIK/PjygQtxr1JSfLUTXg1PzGYeefO6exbSVy/M0TS7eiW5h/SrLYOlEbdxxnFmZW67mWE
c22AWaXoIu+PZfUYU2yMGFwWNUbgz8eFILkP56Y5ZBM28huRu/GB/pyK4iKaiU+tvlq+vry8GBeL
UCqwEpa3rFDgPGzRk4hnVBK6YItiSPgQOEXzdagzfeWYvzxKQTuQkdDelCu8LKKVSSnzsRmnqcwK
fog8iD/lnfH1dsBcDkLZXxbIkRpCMd9b7JwymDB/btXJn2ZN+6kUkfE9zrU1hNFlWDIKDwAVJCnI
+SVSd5hQEtGiZPK1rs6OdmOWGuqRMcd1A50kiifvX/27/xE+eW1evEsol8trAnjc+UYY3HnCEaGd
fARJ1YNRV8obfeitldPu+iinl5YJkNta3EMwYOoOk1D2uJIimZRYcJoSke5//xuRpstmENUohDHO
5zJDNh3GuJn8DFeovUDF8aFLwnEl3K58IwDTDgoaQFNsx5H/+6v9nKKrQmHNJUekxXgsikrypoLq
vWlGIG0BNa+s3eVOQpWBUjTFRfDp9IPOxxvTLsFWjfGEGyv3RqIo3gbl0NyB4DSu3YzXJgcMwpFf
iUzbXYR5k7UUnBsFkm/QRn4SQd9Sw1+qmjwTPfnKyXglKnhS8YiQh5S8ls5npsE0tKvJbf2qrjye
S4jStFHVHW5HxZX1k3tJoz0nO+tLmwsIGFQnFQvPEjP8KXDNIc8xvracRnd/MhDvM56m1GaXQa50
aHpopdH58OHz99WABQ+BPz8Gc7dyGF2bEkgVAxCWDpFAdk5eh6Diij52A7XD1kArn43CMnaKo5Qf
RrSFV77RUoicHFqWtf8zln4+1mxGeug6vLir0gkfe/SB6i2K3tD3OP+Cd1gi9zbGrpoGd9ur55wM
qhzhZuYOOR8krsLbOuDDkcentTxvp0FHaB8juPihHdv5/Yhscv5xUPLyZ231OuK2qZgcX8yIEPi3
v88So3+aCoBAthCwamDcy2WroyTqlaL3kSJTd1FkYGY5tu2XiVbYzvJgpjtBoCQoCczKo97EwQGX
yvIPwlEuqKQKUDxbgge6iffspKOHXphadYcGasqjy+7uJHZnZagrm1mmeSQ6QKzJrBYnxwR+DsA8
4Jsqq9I3uWGYwXYKlfKxRlduU0ZGtSYPdHVEOgoWL1YJ/1kEi5UTTX3a9r5J1eQYG3Z3APJv4luF
GMQbAynzlQ7WlSPEJE+hvUOORLtueYTMYGZMfUJcxyvQ8PamAgU9O1mJnCvTog1PAwmECTnAEoXf
Zuhi9gOqR1WCJGgyZN19lSb1YVbj+q0iLbB+P1I59GE0UF3FsmqZ0ohET2y9aEcfCbh+E6JJt59D
Pd/3eEp9nKpM+UsYAzbi+LAP7+La8/52O3Kgtb0vA+T87cbrUZbouQ2oOlly9V9ddZCs7AysN+pp
NpLWdZrmR4WSOgh6OKOPo5lFb43c7R8mHZvVwi7QJIOyvR0UNB4RdC+f4XOqFCChREIeFvtoaKLt
1IcFJAa24ga9kW47u3q3ckVfOR9lOwqcBtkU4Lpl4PN8UdNCGfzSnWJ1g+DcePDEoD3jSTl8v/2t
rkUgEc+WliKm4FzO18gbQhQGhGCNojrYRQVq19Vohfs/GIXN7NLrU0G7L+J8UDx3xv4aBWatDA5Z
kxT3pQff+vYoV96HfHAQ7iSCtNAdb7lwyNdjniblvURo/xiyCn0IgW3DTk+hlh5VEWKTqFPXfZkC
kedbTlv1qccW4YhH0C91QIYCC/txPzlp+Gwh79BvJooch1FT+0+3f+vls4qfSrZPngLHDL2783Uf
Y3DqWcG6U+OYj1MZi8csrBNkZILgbsAWcdNppfn37UGvBpZD3xWYMCwgCUx4vSEq+Cw4RRYj6qzp
5xq5oq2qVsMm9Gaxuz3S1bB6NdJieiiFK4laMFLe57WfT0n2JpqzYaUQcn0+0BnoWhtAABc3YoeF
XUAlDolb1w3hxXUQoGO4eJtcx7hn5Ti5OiUMtql8SC205a5M0qBDgJRDLR1SbT8Varmp0edfmdK1
UWTZlFKHrNYvM9jKGbkwrGb0zWHodtoUdThojGtkmGsL93qUxX5MNbWpNKMkEHjLfegKeFntWEyf
zDJAuuF2KFypSoMRlBVagg5K0bLpMWjmpCJFMxAG8OtD0+2TDRoJw30fCvfzUHva/Wi49ZexVLMX
PbWUx6Dt4gdTTK69dkLIiFheCTTOiH8JlweUfb4DejBenmI2gz/pWsZJP8Y7xNo/j5pT30V2/gsb
BRT74/A+bhs8osc4RBHhX+G433m0ggqi00pu4wKDWbxSki6I1HGGEo9OaHmweq3dYKsgVm6RC8KT
FMSjraXBGwMlC2rlfK4oe7qFU7Dk6Fk5D7MI03cp+esTdy0+5zp84fsYm+ldgkzT31hsCWR9HPeL
TkXvr6mnIrQSCNeC7vXvWexWs0ydASGAwXcD6FVdzQLQzkAHA5uslaGu7SITUCDQap5NsDrPp56m
pCV0QrgIJgMFmMCcfFGm/1on/4/fUe6SZTCB9JIlSV6c6Nmdj1J3A/oqeGn6CTk77puzSOF5y9bT
O1NNRe73XlY+qpBaMccIkuJ32ZXyA9PmQe6a9y4vxMUupmUbOnNoDT5WpuK+6pN6i4BT/X5l/177
blhJUZTAyQVbPrnYr9IovYrSrkVx2a+NKfor060w9p25Uz5Kt/MHrRgbsR2TvnkCixd9R4FsxCOh
BxtznFtN+TzojVltLKsulbumRFtDKJmdrFQZrl2nLKxEFTgUxo3FUlRppY74ngxUNVTjgGTOtEHa
wnmeXRc/x8IqNqYprI+3V0YeFsvvL5NLE8QET4ZlNxGTt1hPBQfbVGTxLo6a50560nS29RWXuU+3
B7sW0g7LTyuC1Bqu4OIrFJ09qhN7hqaxfm9ULrpfidX9wfUDpg9TK2IapJuMhVffutdSyxEx64iI
1g5pQPE8t3394fZUru0bxB1k/4yWO2Lt54PE5pSRZ9MjqFoVY6BEE8ouHNKMOn7dfgsU09slgYFK
oTpoK/O79skkYwVBBmx8ScDOh6ZL1ycFQCHfCJWQimQd3VelggygwAwp2ghVpC+3J3v1u9HJg3gK
gk9bqshXBRIo/KLRHwbP8/F+MH2lj5P97VGu7VFmBJwOXTBI3ouzPo5q3R1ibfSDQGDP2mB3Qz+m
Paotygi3h7r29SCBmaBbKRaBMj1fwqw2bcXSMN+BcTY84XdpvgROmx/GOlR2gu9+xEt5+JLrgfEH
S0nxVZUFUi5Pc7EFStVpaJMiWi+MMf4UF6WxFQLB5Nvzu/bBqGxQmeI9BNh7carPWWLHfWZw3DVw
8YU3CHQI9ML7k9MbbLxs40ngobcIxZKrOLeR1vZn+Ag7DyPIOxuzIf/2bK4djHQuSSeB8bBoizWr
QiKyNsfRt8xgeNOhdh3tBrxCNrWKlp5fTwKtQzUbVoAu14pVwOOwFJG3MP3/RZSUeRu2qkaGOXQm
AqpWXjnPQTs1L5yO9iHox/7YgAO9m4ukfzt4Uf6czdW323O/mnmCKAJWyENLp8xyHqomtpaFNrIr
siHQ95nm9Xc9whp/JU0Q301zbv5Q9dn4ymuhQROtaWNE1VrrOcyS3xRrlrU7Fv8/v2Rx5CUorZVp
NJPW22X3oOWRvk+8eo2DdSV0AY5zOVA5oMi/TAiQvcKEwSpIsmec+jZ9aMzZZsxKbeXrXhmHzJUc
mso+WfSy+1sKTS9F02o+lEnxOCbIwiJotSZ4cCV06fTCUJIYN/pji7sIYcGqtvCH9U1XqTk07ek7
AlP5HZan+M8j4RptdEAPd7eDxiMmFpc64YoMu4OshEVT9zxmEh093TDKNH+oIv1dlzrRHkL4iL9Y
rm87lG7u0Siv0BOMpu2clqW6krpeOcnBylB7BNkucUOLWdcR0nxRGGq+p3Xqs+A5tHPyevrgDMqv
2zO9OhKlMRJHekEEzPlMXU+bw8ydwQU17vSAUma1m9NK+aAa7dqdcSVggMtAtZUdXQyXF0PFWJcP
Qexq/gTGbDM69rDViyhYOevkWbb8dLzfQFmAEwD9ufh0bm0FdQ25zg8rBziTZzfRZ7WpMyQQO7yd
34R5nuYrt+EVkA7Z0qtBZTy9ypjstIns1ot1v8vSjsd6FOnIRejtbo69oN8WwszvEPsUO1NxGtgC
7qjdIednftJj5QHJlV0Ru9U2NMPm++3Pe3XNJf0KLywcmkz9/Id1Bj7DGMvoPu/v6mESU+bz4G5X
IDpXR8GGXQIn5TG7mH6TDQ6tDl3zs1FiCtMs3MUAR1ZW+R+czfm3JakH6sJLh548j63z2ahw2j2l
CfENVGbEO51prr7Mhr4xtfmrMeEbnbl1emedrCHysYo+IuqKYUSjRR4w4y7In0Il1/ptWwSGcqhn
rbU+dnGthCjduvmbsZtxju6g5dqbvgpd9b7CUAVFWXd07WNoSCOL+GRqYYf43OyLFK+LAMuTeiPq
oEDvTpmshzSIxukwzx1eMVPb6OGjONlm8Buw0BhOdhpYnUwYJAZAtnyEf+HNxCf7DfVkxaHpYQOI
Rhp0jLXbeDttyDDu0E4mHrAnw8fJKueXoZgT6nY54g+bET+WZONCKA53qApjB5KerEFiOBw4QUdI
SPC3SPsQnW9FofdkKzJ1gdD9SrqN1JAn9UOOGGW+b06GJFGZWM6u7kHzbBq9wbQk06Y0oucjzUza
aMDYpB8S507SIrN79x/rk5MNSlrQEHtojCYLUY7Fnnbbm6X9IRjhz/jm2A4wAk/GKgW19hQdwdhK
X4wwHq2X1G3md7o1TDXV9xHZSh51CmZIHYq4G1JOB2cIZJw/65QzYBsZ+KUVlVJ+sawGyWEde6/y
ZPQ1nEy/Mun/lVMcSQHQS1swpScXwwQXtzDU3ixtk5xMxGi2YyhmnczFMh2d803cNw0UaewkfQ33
NMxyW9rWd1lnp+hH4ur+mNhO7eE2NuvjHUqg6mc9FFiptRaWW1iTRUizR9wjR0pLibF1Wr3Rt/YY
ZdVjBWdJ3+OVVQvkbrrqwTMCAHxQZGeI+p0Da1oLeqc69C5iH291J1c+oeLWf6kn9Ke3zkBfAt2F
3MYPdA7/st18eFtrefngilnQ5FYHfcMrSrX3aZ8MH1UTlQ40FOoBVzQXCgkgHg01W+x/Ww+crRhj
Qjx0n9S28ZTDgFb9+LXDEtLaJJNuzBuEJZAkRjFVJH7Wq8avEet0FI1VA08LpVZ+FYjcmxu4O8mw
R5eWiFXzbHrPQZx5uzmfxWdL5BlG7CHlmC0lx+hbkpTuEbkC8RMVyfh50MY+eRuEjvk5jWECg+lB
v2aD8GWk+vD0g5qIEUCBhdcaFYY8TdYc0RRuUIK3pvhz3iOVAx5jCIrnUUco20eXosq2sxfXPzA6
KfAmynLsQwOn7L+1UO7LQ9W6It05SWh9Ro166O9QzAr0LY0q422Kr6pFKxWCcQRgR9m1mTc3m8ic
2JQoQYtuZ6Zeqe6c2kHTHN9g720aZoq7UQJ+SAz3CTtOPpoUH5+0HzXPKLi2Rv83Zr+KstUHK46R
d07NzzF0gXDjOuWMymSUxKk/gnSpd4CxNPfoKWmr+rHnkizmnmIb26aZ42edvYykCNzkbtsHcBm2
8NFzZaMlWX70zBg1w7jMDRpedVdSFbeRS8flBNONjR4mWfOuU3Ra1GMUd6ZfqdhD4Q9q9ckbW1cG
XAHn2oPerURI+ineSXG1MaLa51mUf9EHtYGp3IsiuZu8mt2pq5ErwJX3QXqoB7urN5Ued1w1yM43
9NiDFuQYNnfvxtG1PijRUOn7KptrQSvdHjTJJo8RXe0abFMDQL4TBw7ljw00AOWdZhXpcDfaNWx7
mm32fC/+L3tn0hQ31u75r3KjN71pVWgeFr2RUspMMiEZDWajAAyah6NZ+vT9k1337QLqNV13dyM6
qsIuF4aTGs5znuE/DG2ppJtCjA6g4t5AORyzhUkKlfYZHF45SVcybiQ4CHcoYkj5XTVltono/RSq
DO/+Vykg8tnAsDZDm5QXdNecG4NQdGuojUTDTjitbyZmfpaKPHUjZUwILJLwGmGpd3OspHzZaZs7
Kyxr3qi8ksov8s9PiFP7p1EbWFPcVjCm/NhVjEBPYqrq6Bs0E264XQUQqnBGfE7ON6iOkfSWjdho
YfaDUwkJ/VRC6AzEr+sgi+3VfXv3M4/4R1Th/zce8Kl+LW+65vW1O3+q/zuQgU2q0n9vMfr9tXgt
37F/17//J/tXh+PLyAlk4Ad/E135g5ktSQoIDebtP9Vj//Q3WZOjP9m+ClYnfHnV5YAdsBKU/gHZ
F1PsD5kvOIyVUvIzlad6+dRLgEZpcJCaboUMnrTV0ripL5dMj5NNHXVONCDjNqFs7EailZIjLdzC
2NLpW07WQhDbm9acrYoIqiS2qlYKmtnp0kGOUAtSO6soCzzJBs3yVgeGe04i67tdZUuCZn1W3dsa
7E23R1ZCqV3UMiRr9HqOGPsRleEKSeywsXUsJkjOSxGhRzPP/JAY77s7xYyqLIhyEWu1l2BkKr1l
ea8XjacPsQJBRSZOZURwKV0R7+DeIdvKEVaq3qiR4B3tMO21QLRlfOzkXhrP8zEp482Sy+oYWPmc
4qyuLXZ7aciJqe85nGOtdOelweCvnvG1eLI7mQkP5teYsbulldgxMG8py93GygzOBAD3pPTpCNPq
GPddFxKoAE4ABhx744ncz5ZvQycxQA5kGDpog5sYiVTGuNSnFQ4kGk4dj/PUTs1dk42T4tXNVMwl
6WBYrIkC+mEbxwGRWXjWbGrzBVLzanzlLKHzODGZr/fhVA3x+QTvFDflkVFo2mw0Q5pDA3IDSA7V
S3+5kiFTuXqUgbTDsCyMahzhG+2XlVk1EtKlHBX2JipuOJdSfebBWFaF7pyrLvAxhzcZjW4j9tHF
71Udl4U6ju+kX9Yp6F92GKlEWgEyysVgZNK6Y/7La6UiNmcvCFxjqWGgq4etdNFhrLBD8rxJ3kSv
S+oNFU65XRKriT0DU467UK67JwA3qWf89HZxyi6UXHm1fRFgL9I9GWtTnFuM9JEeXO1hICM02o5h
tVmflWOhRLs2VufQqxad87938is87wHF6464qvs+xeAekxjssEdTucIkstt36jD6AvH5O7UenYdO
Lurn1ESGvKmtezlKJRzuMk3HerwpXlTyIuHpWq/DmJL75kETCXiZKdXzh1qe5BsRwTwoh9r5TpVF
dRmRrW2MWiGlF4ZTkbb0ZTAm0o1WD5hEiyo/zEludq4+G93jaEz1VY7+z6OqN+nkqTH8PXedPW6U
fNECe7QVqgpUSYtRTQ5ZKUtBKyGqgzD1njoDXEgr8NeZNNllN7+BN6/8blAN7O/k2yHvWt/uVfOI
hjI/Qleb68gur4efqXKuT284RTSHea5UH5tJ3WNzZOj0URzctEWLy6UzGZg1yqqoJzfM0sL08zKT
zYNV5ZgvZKjgZWfCSCznkCSKo23sZuzsYHDCNrvIZWVKfc2s4+KB9yAdf6y8KMcr2jEEcDEUudgU
q7329yhtZx7vPGEv1Ffoi3lDvKC0XS7Q3i+WKWzxxUC6wjo5Uoenu9rRlnGrJYvfMpKzgZzLrK8H
c3Au0XVvnm0l66xVOcaKkW7sVGy4l6S6cySwmttUpQbwigZpmgeMT8rSb+RBkUGHdEu9qfC+VGFv
dDHi66nStZ4cyerDqAwNHDVFEw0FVI3OXtakmRXEepWUT0UbZ80ZItpVupNq9Pl9FLDCIgB1EmlY
hzhjPNxrprCnbZQNleppfZTGR1HbZPrh1LRL5zahMPNXayzV9FKvRV0HnVY1jbxb0MFbbhyNYZLn
CKHmh6ZE0KbctAD2I1cbBpL7v5xwl78K6r/K0X4s5wEdkF2j3Yj6MM29j92vGEwwE6A+dFFfQ1C1
tEBxQD9qun/YnPi5DhB72utMm2Cxvi/nDZL+xdLwsEZrUzzX8Tg/K038Fd1wbSv9tWmwrkIKt+o3
0QGHu/9+lQWqZW5SEqPU6Gg7uAsJOvJ5ed2iF+2KOmvP55BN8ftb+Kn1va4KqAe+0irh/om2lY+l
Y/OEViUnWobd6t3NYCnqfN1aUh9NtmRLK0XKGPo7wpcZY+DvweDv2+8/x8f23voxaLzQ+EfqCajD
h1uMeJOFdCQyT1EZ3dsgMI4ctfiP23Oz//1Kn18auocrnAk+0E/h5ve32SZuJpWySOg2lc4t7lFK
sLTzV6O7z9dDV3b1mAZ8CjDmY3evtIp0WFqkuEyH/dA6aruJozI8zt1U/+NdAMIWejogRpr24Mne
X9AyG1SGZhm6Br2dg00RF4/qV5i4v7keGmGrFAzj+xW29n6RHA/6Djd0xxVSSPIT6WGIwQjMPTXL
u69AOH/ziMyVU8DONiHffpzhpzQphwh4zgrGfJDkYfVDypIv3oO/uyLyULrXYBIY0n24otoQGlZH
o+MuWlrFrtz3XXbIhnIhr6rg6W3+8WtnwvlcYVIrXOojjNyE5b9KKDluZrbYyzdY24Kl+0pj9mNT
GWkZgEsm4wB9VYD6yF+wGMxBgdIdNzaqxG2HODuYPZu7kYb+rCrlH7+/qL9ZjrIAPOZPVUVs1d+/
FVZn47HSmtiopFJyPwldO0i5ox6a3qkutHnWv+jffg6RQP1lDUkwBLqpZT7M6aJlTGXRzpaLyL7p
5l30RJ+3ds1BuZjNpnTVofhixc9vCStC4OPAJ8x9MruNkkhLhpIVofhXwWKJyeWIcLxGxiro9zfz
by9uDRpQ9EACfQQAG3rZDkANLJfsewqybBwD9CX7W8tuqiBS0uTOake6XL9f9e8ukJefXbBijgGH
vH+EjZlHRBCch5luDVupTlpfrTMRtHXebn+/1OdtjYwA0Z1fab7zIN8vZUUEQJJeHIuGqD8keBST
Z7bD7verfHwn15MEaA0AS35jJ3yYq5QYRmeThW9Xkw/x8+r1BNy/KP1uzodTYUhh8F9Yz0IihMkK
B/jHOJJiFA5dDSlJx4JLFus09ntAIw8DYaV3dSsqvriNn98TcgOkvECFcHAjxff+Nib9Iq0YDdtV
xpIuWWmSequxld3qCCCfgU/HDnw2xfjVrO9v1yWqyOt1Aglcb/xfZkfdNCjN3GccAWOh3+b1rHhl
7lRXZWN0LzOg4xuposP/+7v7+Z1RMe/AKAR61IqA/PB66omDXVqLtG6XNAOGQbmsPau0br+Izp93
AbJ8TN6ZYqLKzzD1/bXl5F4/9ZfxXo+1PZSVH8Sgaps6KOH+/oL+diUeyUqJUdDU+PD0hlRuZtEA
aahkpf1OOd3Urr60EKUGpf8KWfh5L5Ab0whBn4+RmvkJt21GTa+YNEExqtmq+YLlIp7LuMS3W1oY
X9BgPz8qhuurXQOwFrhzH8k2qVU14YKhC72VQfbkKaw2+K04X9y/Tx1HDS63SlDmigD00J9+/6hw
mJryuLRsdw6XMdz05ujUbj+r/bwxpap0vGG2uacppjkP0mA3C23jlkGQJsVWHcxsD2PVktALNCxL
+Sve09/ehDWlgJGz6lp8+HQGlWbYaly1VZvCM8NeDmYz/Eoo5fNWRMwYkhGnPSAtYs/7e2Azn47t
vrDdGAnOYwWt9DKSmR0pdlvfzFYnHhL6tV8Q2j9fGgQmRCtAbgHQ5freLzpKVtijaWDjcTXY29iY
i03r5PEX0W0Nz++qIGAnLCKjPY26Dq7n71ex8lrKpKk13WYumxcjmTNMJvOMTlSC1qzYNKFqSBex
SFF7Q+Bb+0ol8NOWgfsJZpFcDQDcCgf6sP7SJkVn1qxfF82xjxbaFnqjTLupnDMm4h2mpP8wIrAe
WxSFRZJokHcfYg92eXUSE+ZdgZ1geaeHVYj1XoUWxn5B/N354nz89BgZfpsUPqtfBuuq6vsLVGut
A+hoGsjfIh3rhOCIoD7840NqXYWIShIPhQsM6PtV8mYcbEhvBkP2rEW7plK2RqZj51mpiqfhfPJD
YET7VWz42FkGtQ+Vhn1H+sTyH+3fy6ULGYpHtps5EUMYZXpgvP+tdKwLO25vjWJ41sPY0y2s3Sqz
/2r1Nft8/+oCLgLWCHNgJcF+3CBdt3SjMueGO0lG40s6qt9xlPZY1hnTpSloo1miS69E249bPDXb
Xe8Zo9B//P51+vB8yR8B+K4fg4wOLcSPsKpUqUrmd7hApVZpu3WHRBC98H+Ikfm5Cl4PK1JfB3ik
fwgGeL7NS504qxkbVqOJiFEvWzLli1u61g9/uaPw8lEG4kkivaiYgHE+BIOkVEFI4w/sOcvgREEJ
L+opRVim8e1SC8dd59RZtcErZUyDGYfPOjCH1v4Kmbdu+Q+fAq7RmviQlK8qbe/fZUONajte6g5r
wEi65vwY8DXWzEkNJJj23T+rS7lITjig06At4YZ/4gGaNMqicjI7r1v9OTMeQEyfN8Vy0LRG+yu2
5c9s8f3FAVIBpwrFAOQazYr3FzcpS9gkSj14smZLQEOUwSlH12xaa9wOMvaIZ/jqOirYFGRDboFg
qPg5lvTnt6aTS+JCbxym2RDDhsF8amRIGRt9wHZhY6mRcjuYVRE3qKxbNXyOcpx0j7lkj188Y6PH
OVcb2U8zpXYCZOhQXnU78ufqIUxlPX36uS/+/2TwfxgyMfzfTwYvqv8onsr/2f5H/lQSS15/6hfv
f/zvX9/3a0KoGUz4UNflUFjl3n5WMb/0gTX9D9j1xBFgDOQc4F3/pQ+sKX9Qg0DAVxnxr40agvyf
E0O+RCMC/yKYQ+xeEvh/MjK0fp76f3lLMR5AFo5Yhl/IOqn8KGKZDyM4AAN0OAqd+zQ5ika7iOrq
uapVPGzVnNCQXJIM3PWhfUaL8gzKx3mNkbOeHaCOme4iy9+tWrE8yQQdoU2vEVOLuYiOuoeTzAIn
LwyU5Knt1EfG87OHrWPkDtj3eunQPQ2J6gnQRVmZu0vbHkvDYDoJEkfVxZOqb1V1l9446anNtg0A
Bd2d6yC0fRPr0TOnBpu9NewzYV+eOgYqlnWuguaPjzBP+q3QfTyOQUOFnacq7giOoQswWnZby59T
xhh7GcOp2pf1Td1fOtlV0m+S6jpMDwC7BK6Q4WYdhmZ0KLZqdtE4gaPv85v8Jt0AggGp8ibuNPla
nBuyW0TIzbtaxqm8HPMgD4x7KdzMwi0e7Xlb39BBAaBwKyke4sQi8trkNVauy5vGdm9FflFJ3xg+
AAZZXJBSkStpWF+6uVqfi3QrN/Z2Sb1WmrZhlHh1MuI9umz2+XSEOLYz+ytMcuM+EL11AEmRl7kH
sdZVtug1dioiSF7/ML9Ij9Lj/CL//F3++fv6a/zUvf36NX5SX7o39eU//xne0idmw1v9ZXjTXwxi
kjuuBqfmDFM2COfA2YrsqFqpqzuZC5bB1XroTWd5XTzmF2kbyDQA1eq7UFFGRlTXVR/yJx0z4T53
s1uY7teTvM86n5mqq3jVPl78qdiMmOw1ELVOSBAqRjDGG+AzZnVqhDctJ6AvcKr4WZay5ddVeL06
2c3OYsSyMLNzC+Sn3NIIYsmHIfN98uwBhDsuxGB0zwTfvWJ1byZvatzecZ3HwdNPbuPz9+ynSvfL
2bUet0WzS2vGfiejztx49jV5G+Gca3nmFOCBMF9ynXHoCcCG3Ua/rUZXv50v4+dQDpz2skgOVnk2
AaQ7hCjD7uJe9+x2VTe9jqSXqD0V5lHd530Qbfn2Kv42TdeT9miUZ5emHKTSA69qpBPkEeZTom6D
8IHHYeHZcxWgeoX+GIoplrTph32WwTjyEv3QGI2rTZdxv9OGrbzgT7ARkl9ywZURWNghnIOJ8SQ7
c7062hrhuRae18d8cKdAP6u6o331aNCcdYBYx55zarqzOEZtnv3tzeptK122w0qgprHfbFL5knng
+BbfJhfnm2Bjg/t7CwTcW+lifDqXXAM7arJEr9S9ZQmS+ApH2UH32gu0KlqGkr6jHRuACLfSaYh9
fqI6+0bkt7M/qZxS4VmuHrPiLUzuATy52Qxg9jh6evcEusdvmY6j97RVDWp7yXANFM/Q+nZFggl7
IsNHk3ZOfMi71FOSZ2zKN1N71qTHrDuWUe/W2dGhgg2Zn/LZnM6vL+Un8tkE3OA3J3HFdSHeMmBH
OMMV+eRbpCPXCxlDXKNSsri1TYA5qfpZ2sq78gcONCpJr9cNXpkAaOwcD2gpf7Z/nAAz8NF4oqk7
7YHFasx+PMV6zEIcyqxXZ5TuuzTIjV1e4/19WFU78tXh+TZW7nXb4Eq3pRxk5bdS/ibnfo08wYX9
pKb0nuMWGUWM4s7G/KCpGa4VPrW6WwZ9finPt+AA9DoYomN/bt2PxEPFra6KK0eGSOWiYSD9/I/y
1J+35z//N//v11dkwqvuEquWNaD11Z//Gq3XvlbnaKW0457AuByW+3lkVOFmjJ+Z3G0Qv5lc+1Lo
F0boKfMzrz0EWml6bvOC+fSFMee8SfeS7COwnfTsKYHIAvapEtCOXH5WymVDAmg1khdF+wj/Kp1P
YZX7Fhwg9FmMSLB9nc9gb8T1vjHuCj8c/dHeZPSP06VPCNbmQysTV0np6mvuakkPrefFgHMCord8
tt2QlTdO4S6O6uFfP7iNs61aN+9dJttO/ZCPZgD3DMSkVbu42DtP5jF97kdPZK2ni/O4ujCjbxXH
Y8j4rNyRMVoWwLVguahn1FY8Y/Em9aFEShuXcC8aJCa7k5/Y7B2wC7a6+HOmXnaWzZ+hPosnmlV+
eWawaZPuXjcmv4by5nRGoFqLn1ZhkI/1W2TkXg2LXaWvkvYV/nnjJlPvQiV75mD/jsu7Q1k04eiR
ADrMNs1KF0AJJuxNT9Znd1kwT2cuHw1e5Giu3Steryv7tjR9Ka8PuSkjJGNvNAmh0Krxx/FtjI52
e59J4xbTxsxN5BiSyqWkoWcYK3riMt7e6HNylRil7ku240/JQt8eQrWrtMNBdU7FdKNEk4v6q5+p
OlBQgUCkxRShjgp3HJZAopUrTY+GMlxkqXKcjPxk5dO3Ijd/qKV+jPRTXP4XstT/dsi0lcz97/PP
m7waXsuEG/F/U0/a1v8JTlPMP6gfdZo+IKRgpq7l1a/UU9H+ADvPNIUaE2IefhP/Sj118w8bd5jV
mGrlRqLN/a/UUzf+oJtC6UTxq1EMU/H8A7Qa8mwfyj8aXav2MaoA66B8zYDfV0gLn2AweyPx5lou
voGAtp8RAJAGV+DWV7pOJOkjUj+0Hf2kdFJwaIpWkJgtugbqPSnHl3YQOSBap8FsArCSgiahpV7w
2hcAgAw9emmjEhV4BiLSBefEMO/kPIQL0detULfg8VB0mpUEl0q9a0gntCg+a+kzur2qbfXaadVt
CTL1LrI7pWJ7Vl0cjIUINVegkfCk1ogFu0Oj4ZBUL/oaN3APqjZLOU3aJmHMkHqhqPSO9roG/iCb
irHdZIA2T33UAsNqDa1VdrEZUhlqpcZHL1PV3CiGEJ7T2kt+hixWc8jAWwkX3V7nsQHHCmALAHfp
DRWQ5P2UTVHpAeuefzRKO/UASZAxTqsqOU/DbjyKfBqOllLNINOHviGKz2URud0CjNVtFEWy/Hru
I+mgSXSHtxaw3saVa6NV/QmgyUMKC4ljXWVyvBNObSHEBPXpQV10ca2VU5u7opflCZMqtX8wat0o
/NZ2mociMvTveCgb36xoGh9hSohTCKcSOP1kri7LjRbjY1FVcemJKb3QagfbaVDwKrE5dFZ4fu52
tWNXsDXsb07UHiog9SC4OFMUIBwcZJB2T1b4UEyXaMkdwlr1sBVGRUnf6QUJkOkJPeEQaRIfIO2c
qEGST092XF7JyrEahDvYyz3QY3OnVkt3saSwhVDLpQ/qdWph+bikPS+SemeHlClG0Xs1Kqe0Zz0x
9+f4VWxNoJNT398irnwWS8q3vH2F4oTJ1LfcTF51gXl2JD8kfXlE6wwhc/sEchBv24mwGu6VgURk
1LVtGLcPIiMhK9MLMc7bRhdXa9/SHG1MmpxyK/CEUtTKH60zkMxQEfrJnUwYBA05kx3G2y6r0fct
GmCb2Sa1ClCQ9PET60bu7H0KLrGAvqDe0vzXbsx8qV5Sud1rE6+gPcIKja0cVGilKbewDjgEdcUf
Rtm6yYyEBkbdxc3iSkyT/EGZpQcUvWndiv5NzZpz004vwWnUhxKbe28Y2/G2nW0P1GTQh/1ZHA3N
hTUMrg6lIhrEvnMQ7kpA9PeXZisHibbg0uzcO8qTPF/Muu1lDlSlGtG5e6b6Ppjn+zyjlGt4ppbh
quHlrFIr5pRbtrP4idrdmEXrSbRxHCbWAJV4tR9NfbgKl+5Gs8ZASk3yXhDptbaRkNoZU/wJjcB2
oO9Z0QnGg0ew3OgOs+FOBIltHuxYDrA3pRJLD1HSu0spBSI1OBcBaQIgz+VyB4cbCgCfRa+bXdVV
N710F+cvah8eNAsFn/kBCa/FdcQLTheenBwg3QZsWSB1u0SJXmITeeoo9q25k0rkg4fv6+gEKRvP
im9GR7kVU1ltY915RivxibfuMBQzmwPFKQM4+EbKrkZH7+ENiVtL5JQJ46S6LTWvZddXxWQFoVmS
AZkjdunlg9l1x0EnDwEv4WVTGhRdre5pyIPRX7a6hKJNOIjNwJWZskCHnTyBVNIMx1ejn2OUEzBh
QaULnQlVm4VXRdllotskYvlxKsRufadtCLbb0IDCz1taUPYb2WHKeyoclhnF8B17OMW10+F8Ts0L
bcnuAQRuq0GjvlKRhcj6vbHYN3hceEM7BtDDSF9OcpKcOfkSVLnkVTpv8tDmF3KePDsxIxNlWfN6
sLauJuB3rJ7bTiAs8ywbGjNYQnZx+6ANyqMopp1VFulNOYqtPjsbvdCuais5ycXRSORjlNlb2Bq3
U2VdQLXUDYoPa6i9WjQ3VjpcQ4vY63bnK+2lNINHTKLr0RyOjcjOShoZQ0mq2vbNTW4t54P0Bhrt
btaaa3U8c8YmGBrrrqtRySsmDHy8Uu2205hpcDTG6YC8olURjCXiMnCE05KK45LKR4gtO11nY44t
ut5XDOjcypSORkEVlV/k6q7QmuMY0y7JqiLx2rJw9SGyNlaqogrRWaspCd7dM5IDyCgMDWxjIIcb
rZ4JNXnRQZfRgl4N39rJ2Kd2tktG3OfpcjdPhWFmG3mwd1YtThzTmbvgV+llgLX1sQAGIwAfuosR
ZX6VmQWlwXZKmy1o8SNCc1sjoY2jbpbulHTGsQ1fmlw+KvSb7bIKuqHwMyp8I538pi+8hCbAkvXP
IjGQSTEvFUCzsI4CfZwCo4awZjwv6t5ZypM1nWwpolN0KUNbG+UDKkJIPrcbpY53TlWEGXNmPX7S
lk6DEDI21DBZe8Iw1O1RfLRmeXwCV3NsZulZT+u3IlEO/QxgXtOXzWxS/3RJILqOaDs1gVXs0b/0
+8i8HfVcvUfCH6KPdZRosSRZfSr6NfxWWnHXN8Z3e2lUdtuLoDpP5e55afpgbKXqOZvD5AyECCWA
4rahbVPs6rQSnAhEfPUQSw3aPIl8OS+RiTDvpaPsC9oT7WoEPjLqrfAq5wSbtQns4kIUTJ4Ss3lS
Q52n3J4WWz1Xu2knCOaKUi2bztSFh8plhAx6HzHmiixssYC8gn1/aCSLh5Qdo1EoV1LOj5+/ydC+
JAx5HONiaVIOf2GkPs0yo3E8ztJpV9oGu9PISG/y3aw9tGFkH5pl2pujcT5ZzZvBCZcpC8Ql+j2d
Tj02j7tqPVazyyq3T0pzrxeFS2C6Wyb1EFWUYfbsXHXhpR1Z91Oa7YXjBEUIT316tpWkdfVqOgi5
9hE38aQo3gotOUud6DYFFO6q00BDIg16vQMwjJ8GAm2j36TyPSzyl6KpiGPzrmlaDCgVN5HYPlW3
z2ZaIItmBJrT/4ggdXjMOc9bu0cqP7s0tdgULs5wm3FWbg1TsCGRwdprnY4mY2scIy1ER5zzoPDM
pdkxkI8vUq6NCqrLnG2vDPJl1HDka/AmFH9JfwAOMDm38ZCiYamn4IG76akwAVgNXOB8k6dRIDKD
CvNRS7H4scvvdaS6gzNf2wy5tflRY4iYLJNrLsNV0qZ+St+0zL4b4FOmRUXxP7kQNplgfMw7jgKz
9GR7ZxrKj96MdioBPhuUY16R1RbRJklTTjrDA1TpWa0WGDA9jULxFdq4qTRdOr3hdxJmV4gGdIhu
LXr1zaxKN02+L/V9DEZbuE1SnBL6mBbNmdHUYR6AhIaZkedzS4ioLsaip8Id9E7lkZlnNk7zrl60
0S5RxT5V5c08cKHzAdPeh0YYN8yhwnuj5jyO0x1Zya6Bkxkyy8zh3MXL7EfhS68jh1yUQ1BHPwYo
CRAT3IZEUs5bbz1cJ20ORj7ItFR+GQJXN01ez46zTl7uqIv8RYv0wG6uRtLwqySdzc2QUGYsteGO
NRjqTmjndaZ+G8SrpEfbuToN8qGoO3xmyo2Tt+6Y6kFeP9sU9GZ8tIanqfJnx96ErcHrRTvSpPR4
ZfC6z4pTW8dnRlcdUBSMHoYy3rYwBPJZ+DBx3GJeEVSS6ne6fpM7JFsdxJuu3Sr52L8CeSXgQLkR
OZRwA6+WaWHuGVWRr0XUGhmcT7ccEouKAiaCQjpcXiaQgEuhdt+SUYg9EvWeA5kE8FBF/5L2dqnQ
N7A6eLAF/XpWzMRutFDBnyQPmYN4W6XGk0UrHU3mJPVKdOac0frR4tk3S/Kt0XOyLXWJJGTccXLn
NUGwq72+pHrC9u4Z4D+dD+1H1w/jVUmjWxMcOqEezFF4pluvuj0/iuZMm0nPM5rlwyG14/MZpdhk
7o2rcuo9eQG2pr5iVeK2lbSZmpgih1SodKgmZJVNzg4Kw2Wn6gtzBeGLJvXXfEc1YXaYS9DDjhxF
eptMPCij2MfT85hPuzzVzmFBba3a2ba5sR2a10gufeAN2DO9hPF46rQxQMHGo5HipX3uRVV5iKw8
MKH2pnEZKMN1a+2K4prP6rikyV4RG99MTpo+t65Up9iotFQqtTxPaT/3trXToyxYhjctob5Q59um
Nc+HSD7aBMsLvei3yCFv+rG5VFJmIEUqXFtjHBFrGqNA6Wo24ycF308hj9i/NUpGZ31IOg9VZnd2
pMZdQqgki+HWlnG0JuNxmodiF6XWbhJ1uM9MmsbaIp0cqyfdkemVpw+5dZ3bwyanC4yy08aSJOHK
Rt48wSIBHGFflgwWiuxMSZvLMJQtfwCVL7t5EZVnZd7QPCrPtRomS4yLvWLOAX/xjTaQK82QPjVI
HMxV4ky+CKNvc9luRmSwNNqZrUjPITJ62lT4QujtdojpfCWqBeu6Hx9jm3gOjXEHlQcJws6N5Kcs
SwkDWi77jQqQQOrJebTyVmWnF9QfMz2zzQinzo2TgVYxBSHVzVFFd2TbJckuMfp25xg03Bsjvynm
NBS+KbGBab/pnj4pm6Vo8kBZzw3ZmX9YGHS4VR02Z8q4dAfV6jUvjyrpFanSxk8U6Zhl4kW04VZT
6TdTuW2dUYt9047njRDRIdVwFtZ1yZ4RXSPQ2GI6SraAFZyX26EPFBPp237SDsYi7/Xe2WStfd7r
zX05zztkTOBdgydeINRxytHVddqnIhq2llClDWoBqj+mgzennjY6C8n9sk8jbbgWGt7LMOknhkGW
RQ+52JQwW2b72IU68xETfVPyU72UzX1S04Lf9nFt+kNI/7Dam3P/tiT79fmhyGuvE6VUT8he1CaF
DUa+M+HRDIXH67Al/p4IMYwuLizdW6jqobqbx5G2Nro/TRiAX4b4m2ZLv2oJogENDRf5M69fHL5p
HquZPFqZ9VNfFdRTudoV3INSKTZwlHHNLZnYM70QynTezSabWdLk9qyO7EiF8eQ4D2GoTNEuMqZQ
3qLNqyReJ0R9GmDESZtqyZUjHhEcRh2bN3FHRakZ/iizdQmIhdJAT3v47mrP+DFVrMjct53GiAkC
lB5vwwqvUlfT0v/D3nn1Ro6mZ/uvLHxsLpjDB9iAGSqrSiplnRBKzZzz++u/i7O94+kF1vAc2jAw
aGBaoaUq8uXz3FG5Y2hiD17EyOqZOSJ+Ia6e72dHlQgys3ba07+KopKxNREYNltzK4JSjfiz+O1P
ZxobEfwfr94vKz++xjGjSPnnyOa2glL/y/3w8ZV0AG+f/R8hzp9f/Tu/bjv4bOmzWAHJnwAnrDtK
LHBFgELcL79w62CfVHlAxSN1BM60kfn8nVune5cZHLKelP0/BW6ilQG7/JVXh6XRKIThT0Kf7FXS
9Pl+Tcqo+7d/Uf41qRuJ2k1H9hqgLLcpTN3LHZIZqQXaj3a+SVUaUyzlmdJTsCvw3WgIlsq6QWqq
B1XfHY3C3BVkRdJ6epEk81CN+hmR1tGesidakM5yLB7H2ZyZXaxDjvBpbLudko1QE+rHIkeHVpev
lc4oJ2VO6emF8VUg7S+ofXA15YdpRwnbSDFt8zyvmQDSDyvLzO96HLvVCKoqjzPN4FvDaPDHo185
jDYjw5Qq2n6OGWHk3Bye+qwxXE3N5zd5CTmOtKL2JFy5dzHRFFn3HmUUyJNnDGNam5+1nAA1pQb5
P21XHCJumk1JNMMFw3+801OgxLpWWbzxH9h7/K05PXSteZ2X7D6SjeqTFIc1tYLEKaBK/cwtb4AK
aCUNXET90AzVMPxlbCs7ubSemwJ6h4e27aU6FF1h58R2Gy3mO7m+JTxkr6Vz4YZpkwF6tve1Cp0z
Ehb0aeRh0FZ8DlKdQ8bseucU9b5vaPktoIvQS3thlW0d1ti8WvYTA20ox4fFSHZWduym7Gin5d7W
Wq8tnrq+31e2hlm4RNVUubYhzgmjQb1AIqdh/ATAzSdU5xhwwXfaHm1F3X0YkbUp1eGWt/51rkUw
1Tx57Re8zhvhNG6il3uRbzs4Xsm6twrHYx2htBDUnN9Jx7WYOuZJiQHTo3m4LZuF1SI1eYW10eo7
V8EW/NkxRvipAfUO4NbtFbXMnrTVLJmX4Zmg1H0r8nYzl/LbDIb/GC71fRct8m4O0/RCFr8mVQcj
TL/18djF6YabbWOlGNokFdChj4z7EYckF/Bnm3X5LZytsesGtjiKWbKQH7FoRolgOFT12rhsMoXY
VE0pv7gOJE9YPKv5sTKiJcL6WOT5JQ8tjMAqco6uMU4z8f97TV/wrMrrTNh0OC366KILUbpRFpc8
oKYX1LyW9+eP5f9pRBK1Iaw5a8vqPz9zH4by4y/7btUydX88bv/za39mHhh/RYFK1tXqKlwpIsRJ
PxvP0TrhsVwldmj5SCjlaP2ZeUDj+So5xk1KHh1xZmvY589Td/2QRp4prZr8hNi4zD9DK63y1z+c
u9BabLerU4W8fLJFf3Nl/uHcVdSC28Mg0sSSey9jcXSnioe5ln0UA3uAQxDghgCeP7xQABQLQ/8f
7bLKPzBZv/2rOEt1ZRWoqyQ6/Hra8xeJuaSxAQ7F0tXDqiGFIj1kSYrDqCfnpQXxKE1tmxb5LYl1
ltcVKEWyNn5MOWV9niPCg/vRN3/+Wv3fGdrx86r8L/nR//gY/nIzdL/wo//5db9fzTKpgtTdkKFM
ud86Dvx+Ncs0z0BCkpAP1OxAn/79ajb+SncWBaKavQq612Hh96uZD/Ft6GrkQcU9R9jHnyFJVwXs
r5czkc6rI8GiBo1/jJ/uj2OENNB9u9Z0kZEbsUAjGGCl8eMQ1kTmGR0YcZoFkxHfOwpqCmFOuxGL
MbEQ2UY34mxjCGXZzYy9peB+6AzItP+7wv42pHKy/PPD8j/KL7z3v1xZfP7fLinlr5aNphe7E6Q2
14LCsfuTd4dAh0PFIYCwl4tnFbL/vKR0Zk8MrAoG7/XKgl///ZLiQzqmjfUbof3/s7z7b67lP1xS
67FIDe1qM8M+IGOm/vWSUp1SWrXAqRuGlfyR0GF6q8/V7C6mQNsjw6ORlVjtQ4Qqj5CB/W4tPHgM
m/rUUHm+RZuMRgWsjc9Ji2W8WPpkQzsQxTu3+ogGBVIIc4eNXJK5M53Hz0Ju38iYHP1RWu7COme9
1Yo8mAcn9gQQ8T43BRBQRyfxGOntW6skb81sv9aTSP2y0o7LHD7KZqxtyn5ha2vao2IXEqxx+Vib
ynDGvfodOhDRlSjcCo0RSbbFc7OMY9A1i3VQaaFhge+XQClAA1Ops91emftPXZKv/CjFzUgi5FRN
LQG8c+eWOoFobb2ol0jYyaZQgDfKTgg2w6RZE6tGP5QqkwqI/tiTUAXQNZTs/uBQ/dRGQV1pX5Uu
UByhK3czo9gOdjw+gJxdtaj+CjPpWSezi1c6MX5Is3Kw5yR+CDM4zoxUQ6dS8x1Te+PVRS0OYrTL
v5lv/5Rk+6Eq+O8f85k+5//3WdVEaURx/+//vUfH9rs6vxff3T9+q/Wn+f17df/+24ej78p/799/
+Z/gN9303fDdLtfvbsj7vx+Y62f+dz/4UwLzsNTf//Yvn0Sq9Ot3i8ia/2WW4WL/L27qYV02f7mp
V4f8z7va+itIPlpsRphVHMP9+beb2iECaq20wBhD0wkWcTbbv9/Uzl9lvEeEQCHC+fU5gc4Gpyl+
BExRqLI55f/Mc2L1qf76pFjFNOvDSsGlsz7j/tHknEYJMQJiToG1xvDQQas5OZrKyXoJ0YxuNKs5
OMilEU9qtbwDJiWIYn6zEmw0owpNQQV3jD5gGRaUlXH2OKVVICFDWRByTfED5UioYWNjG6JNdhDK
ILA0TM/JalLV1HmTJND+GmlBer8flTFodQ3hbgyfCYOB+GzPHuaq2UvfGdVJcz5IpTssqu2WMUiq
PreZr3eJD6nsp3bLzlIfZhPtLy6rm5L4DKOz7xq26VJ/lhRa2JwFFYW1byCBIOPFJZ4Q1oQCZWio
Eg44oze0pEBqb+gcclsh+UWWHuR8eZ2VqXdTrMSNgsobNLddSdMufBkXaYcIO3Znqk0TxN9t9FaV
SNqng1K/rTmJdWK/mKTjIAummHMov2p6Lcv5eZQGlWpiVdtZoMFjhySzM5GdDvJjkxdbKk4eh0z/
FDhdEMZmj5U4qCjuEidzNjbK1LxDy5BSJixp89HJpJ01sq8rDuxWFh0mtRWek7IfT1dtDg9TXM5P
FntfZz9YzsVqWn5Pw/aGQvE4xi9tGmse+NqwzWD/RWrFd01qbtpY3qG23KIcOMnzWzymzh1J2PIT
mXHNgyIlw40cVk99r7pr+j55kYE82c9KXyPQbF5VvT700DxVe5/GbG4dklmiUnO3iPvINyOkOnCZ
u5wcIcv5ELZ0k3Xi2CM98ms09p2YDhQoroJNbb+G1412kzyt0YBYngtMeTLGozS+lmK5n/S0+RCE
O3/b9XPI48iYl3eeV34U2rfEOd226uTlzW8CGaIWXSkPfUebI78o6soraqtNXSLNTiqh112rP1DA
0j3NQ/m45FnnzoSY7ZJqSdFzEOHVy6hQBzx0s6Z4DhC8VY6eUT4alh1Myk0i8jvVrI9mKK2EI0ok
W/fi1DmHiuyGUGrss7siNe5qJ3yqKl5SKLIsO8AW42lAo+KY26kq9mvElxnd1OY+RBKmFbIrx/pu
lipkr1BZavFoq7NnWF9pVHhVdcwsWKQC0YWG+8s4Guqw4WF2VE3wW6d7UGPnPsk/RXSMlvRRZT2O
K5Aj9CjqqPvm+CaKD6e7M/X0oMVooKvtgFkiVmYW4yOmE/rAK35+ZTlOUv+hhGu+WjN7enwXqvw9
Aqu0aUOvJVtTREDUUueVTfLYLPJtK9LnZU0KFfpGIH5RTGhKR3FjwrBtgCi7zE9OAuLl1A+NGSGw
QGaU761wVKEJlB2hUqYXEVbrqmgRXJXAAreG2ZY66cec0KdooCdS0BVp6IumJHkr2iGmqD59qSJh
beNYDppRO0Nw9e4gJY1fpsbyqYgmehF1bcPwVeU2D0vIQc6NgADMh1gfx4OYbbT3whk2bVOC2GsK
t1aLOSIlZ9FF8XCrdsZ9q1XXzJ5uMqfdpnla/sjEYjzl1oSxAtuo26jhA7ofPl+Cg8aL0V2zKNkY
XXyIoC7HWLoZMtlvMXK0VvfGkzv2+sKskc99KHm7y8P+iPbgPuxtqNj0VS8gnqKyD2Z7xIWXU1QG
k6AE0WBPvo6SAbNIEDXvIbI+dlQSHkf1Umo/pgavRGrOL4N+JFnPy+thJH+vj4LRjOKvKZxgTQxF
Qj/TLg4bADp6ObQ7Oi9bKJ9CyG8T6X0nwpaoNS7tKgCH7amNRwDYlVymjW0RYt0Zkt81lwzm108j
XUaw0Eer0OalUG2U6i3FqsQx85wQ8ueIIsQjVwmtv2iWgAxwOJ9n1WpeUgsKMwxf2uIgtY59bZIv
moC5n3OEK9DsCzdZuhu5OSB7StOXrEsiH3TogsHZ9tpn1WLZ49YAW9SIsGbwhCJ5M9Mipu+XHrlI
O2RIyTIuwxrpiNDeKWFxSQUKtGSBENfdbMr9cJG9atbXZEB3DkUEMxZv5eUFPT18pvQqM2xaDQqc
rtCJkBaVFeRWZUHQTFfCgYN0ak+qLU51kV5jw7wHe4A1k3Py3OrCPlt18ka8COacYUYnRvQpxhM6
UxL11Bn+YIYI9w+qjNrNvrP16LVIEj+aSo88dH/oTpDBpBBygcleLEdvgKG+Cpgr9dk2qmYPJuTi
mOQ7V/uuPXXRS9g3b1LHTd0cMKG6Rt64A7rNkfHWKXIEfa0PU3Fuxn5rVdKNMeeviYVgo3ks8vbF
rlGDcgoe8aCRJRhpS4Bjv0VKiAypNvNN7PTW2USe5q1K/HhsV4O2MrndNJ6kKbtT+bf3+mrdLKII
qeYsvMI6l9G0tWJknFF8znXbrUbe5cX50pd2EzUqRY+t7aYGubVxnm8pOj7OabMfENFENWMGAJFn
VOO4d8oOU0ZO6ketZ6+VVD2EU/mhI1ef0RW6UxH6lEvCWKLFEeYG8d14P5TKJs7sL3XOTF+N9K/e
dJ57hQiDKeoPOne+G3V42uD/zM2iKtKRhhmS9uguADK3kQIiccxfZxMx3kLsdEDzsqtP+YtCdeR+
blD9NaqNzUESdKvyy8gjCj3yCR0HR6mUbEC+AlroXgytwOgV3imNUNAS1RtQaccdE9y8tciTrc5R
Ffdio/CEz+iV7YV2rPEWhfN20FKvGmovXaF1c9xbpMaDnDcIEFcRiKwymSBxyGzlWFU4ONI93sKU
iiNV3jYWr06DC6pEj2aNuxzjWqhPx6TEIsd31ZI9DzHVy7pwk+aIgODhKDa7VPB+gyx9j1rr1o7l
Oyj7laK5r7XibpGGi2rOVymuglkLi1cNAWE+mPdZ07/K8o+i0LZD9YN2rcPUHZXoPUKsQ7DmfpIH
b5bIZ29ybE6wHtw20HzQyHF9M9pvoXqgSlHhjg7xCWH8n+qDsTyXThk0CHeydOcAIZdKial19CXn
SVsyz57eu8IOjHbe4MdL+MJxjsjxw+dg6UQmGyxYhldW825SYh4XxVu6Dni9XKrPbW5ATxpepdko
Xm2sdiS0qxN1gYzaR0XknoVAV5aG+3SyzYBCIJI90h+yza00ZMdIn04JIL1rteM5jfe0uSBsXPzS
LOTzPDdYS/TPdkC0Pcs6k0y1I6xvI2sRp269q3MWYbVO/MYokT9Wd2amMr7NH2WNEEMMJWIWCXRf
PaiJuc+jnAgTgfTNrB5tkoZ7u7kq3Y1KErNYuyiSH5ac+ULJOG3lA+GXB02UqMZQ1YrCjt22B1C3
hidKX5g/+iBMQsVFfh6UxrTBWv6kj+0+YXQ6S3lSI90LFa8jsN3VDSTV7NpZEEGvmnj9UMjOxBfy
XiBPsjdEq7pFd9CMm6HA+mPk2g8zFI/VxK+Ad96L4sG6OlDiO5Ml2csJUqxY5N2xuDPq9sO0ZRiO
mffEnKtjkkrXvCTcdKEkQZFI31Qu/ZLtp+rLqBo/NFgcCuIVDznFMSpP285I7wfxWOrYb1pe0AoF
M2LhWKiaS6z5DWqgg9K2T70udqTbPBvx9EQnwU2OyI/nhDexcKeVfATG8BM1viF3aqdKKj4VMRzn
rlG9WoezHtvZlUyrgH7RN3GcqhzEah3UaXxsTBkTAL5DYS4uWTNeUQ0PaSd2ZHT7LDoPy8qpT8R3
oIxxUlGexlK1/a7PcTGO/aNdzMy6ENKw+mKb6viG5Mjw67R/7xK2gGmQPxld21ez5PwnmkM+RzCH
HB5juU06jXLqQdFLX4rQlOHNUci/t1RS8aXmaBF2sYvUZdvUirYDoDL2yMv8pA/vgVei23yW0Il1
bf3YIlSM3bgqJusiLXN2mdHzu6aCW00n2Nx3MNcJIevM0ttQQV9JYbFvls7GGlYVRsOLEZfS82xX
4a2ksuqNmorvtacwNdT2otXqnTUYD7MknW27cbjgba7IuprtTStNCjJEAjvVUuwquhrIsh4C24ql
Z3JXYK1KK3yTTOc2lZG6YEyGqlKzy5JaYqNOWbfPs57shQxiFLQUoKU6ZE54tVrkKlVVn2PqoLyy
LG9bksi9EY9eagR526u+qdda0CSZhOamfFfMNEU3FXVfiiG6nZ3buUe6oTcljG6Npglvgsra2pXU
nXpLLz2oMyaDJPGaZHBIU+VBRtGVa8+ydDBG/UGV8tgnf6zyUNnsjLL0rVl9H1VkdpQlNLuEUGV/
dXAgXjVRQmIa2TP/bGsFz1Vdp94i16XbOQLtXLepy1ZB83fpm2xPVu5dJ2OqYvyLEzK+svHLEthB
dOQNZhv5YbPSufmpFObFGujYW28WdcBDXTA90r3H9lclpiemMr7Mpei2FaqIoO9520JRIo43CgSS
RATjuUXQ08vdW90SedoqV61G7tFZp6ppgl4rL5T8dceMMF/dfm3lYTc51o8ySVF0ZN/tiBauC9/J
X9ipxaftPEWT8qQp3X2b6w/GXMSHcIk/Jct8N9rurSo69ODDNdH47SVdvZBnkAetMN/riFtBRvHq
xIzMc7/v1NrXYF+T5KtgiT/GZoWDIFQwko/k1BidYUL0IuQB1RQdg0Q6iOdWpr+4IonQbeg8Se36
LEkSGhpxp1I/sNPyt1oZIjRHY0VUc3+prMYMDNhw3xy6G5F38dlKS7TzuBkKm4i6aFzN7k8djxB8
jfhiWQmT4SOeMe9Ypag5aMwZL2S6VQl3qKLoOS/j+6rMz6HRnWuVBoqcYaoWXyOWArJdVS9uldBt
qNRoeh7XJNyzIE/BYssgmOmWrfya1+Omz0g2XqzlHUz3YLUhdh47+pEw5tC3cMyb8baUxy+nNxuq
OVKWfguhjShfbGFtgE1rD8SZob0MytZ+aVMU6CRy9G5ZOzD99GBbqh+lyluS9rdJHO4MgR56fZCo
ZhPkdpoHRFeyrEbkgIsDfsNti+qRAptDqWhHeRrQAgyPWHEljOnWNsR5MNLxkymTnyQZERWaZzBK
ug4nVWYiy+1n14rAhwZNfRYp9sxEB95QOtZsynSnfh8PJqOU9U5WwK6wu8NAdq/d1/tBA9KYQ4TO
zpCh+XXyU8SIuoyhcqvV2pk6B6/XJDrh2OIriRY1lMy2TJjTNO6irh6Q2S8xo+i8H9GrsrWmff/M
RDScnEb9BAYnaln4ysToR64NWNoYGedxmWZidutZ2cfakpwnax1OJOTCkytqe76j34Sak8kwp7uU
ZMgVzbjXGmTKqawtL9gsVn0xoBRaKSxY2J2GtPtoTCNw5q901n3KIx/iZD6PifZdlejg7GpqzpFW
S7Vn6O3yGIXmhLMzKgCasDEwYgyLjAaW6ymCcm+qHZA2UQRhiXOlQ4Esd/flwjsouEkCylZwC2nz
Zaz6YCw7zxh5BYllvuS885JTgHxjb5WTTVaY1RbHUOnT+mf6er++5ghG7YlqIvIL4zx+Co0qwLxD
yNdkGCcDMOc8irWvhBVZS5eXOrf3QOf6ptQ7bJ/1pB/Mrrq2Q5achmVeAgvVMaHW6hYx9IHungJb
nDVjUUmzh6atWx9SQSaCL858qc7oaAQKcpNi/kTOERgQrLfpsGysFaUoLZ1NZDf1Ft6VcaMQr7uR
wyhrgmTmsu/HyDxzyGfP9lp+kbILcF6/DkuPG2pifunNYtsaeIYBpZczNRLz41Iky7uUy9GPrATs
HM5NIe2SJvqEPki2UU3k55AZFUHxLFuAIgQetG6GPmfMnwi2C5Iq9KJ6xAszGPcD8dMy0vzMMmnK
0fbdrCMLBfvIFjoSjeRursqNlorNGKKjxiokbuKhfkYCty+k9jpxE7tjE187klrdKDR+YMTarjOK
Zk5BKJ/i9Cgpsl8hLtINFMRt/mBrnxpiFyWvsbwNV6ccUU432g3FSV/q1PAUbar92GbHxCrynSrC
a4q3uVGVrTwDTaElzXdjz6Wfr69LnCfXtpBvCgtzlByNuMfR4T/n4WuXzie1vzrFtTHLXSXafRia
0QVgyjQicM58W6ezgTixUd5Et2AhT40yIPfGrwm80Lv5Jgk/au1+GXTFG41z0movSx20xosKLAek
N+Ohtsf0nCBSFjyVpD6WfKkMA73pRkYR8QLmcbAseacoICDUpdJtw9MvV9gFlOZ+DHG06YnxKsnF
4JYZDhaTAR2UnkwP+5og/U57k0R+A7rUdAKzRWWs9IUFsNIcU+Ohw0hjcJb1PGIJtAvQyB7zCq7G
BOxJAIAwaOwiefEkhj0VY6enqjQLsPUsOMzJbcBvudjPiGVa1wht4jOwd8U8bGoJ52HZv3bSpQOU
ptTEron+4cGzGPOW+ds1sZnpluA4Iv0/8mX8ky948n5IVvRjvatMbEmYqrc0/Lz0yMa5EsW1Lvl9
ER1Mpd+We3DQQ2cZezOWKU1KCFvZjs5zxrWDkPJuKKq3jHpsbxzDQK0pvu85jqf+vlqPCumhMh20
lYY38cKTVHQzjvoWMwaHs7Mt589Zyd86h3qF8MUElBhG1Pc2zkc8/4Cf2VD4BJ975oJi0xoO2dxv
YuyYA2bw+3j+Vov33H4hNNQN4y+O7KPTjoEy4DXLXrvkEURDLpJtDdSOsMcHUzij3N50HSuDopx1
R8Kij7jYKLtjEf2oK54qSnHT4vGpInlro9IOl6XFoYTy3dAY2AxvFQyHdWpvpPjZMrMNSy4voB4d
1PgtVrU9Zqi9NN7mCghyZg67ttB3CUqmxjBvjfLe1t5zUj/UJQ7GSr0WOQt9q0vbQR2J8W+zS5dk
x5CdjYYCLVDMHCUcdfdijZ6ThjtTTB+FHn1VCk/Buatvc1v10ya6M0b7IDjxmjLZU8EHMVHE5aGV
1WfMyq7ZPDfjuYQFCacnRUs2dfRjhktoMq9Vn2l8mnrDdYqnapl5cckoMAU9vdIgH0gq3kvzNRuh
Ikj825pzH+SZfdCT8SRjjpmryB+1l0T0qIOnh1x9y6dlDXa8jp2+TWmloKbKV8JjZLzqib0ra7ra
e8d6HGiV5IcsT3qWbJMmP1b9JXSG6kFJYvAmadeklksVNFui41vhfZKGR9zkWAok+Ndlk5L0IbKJ
FkWVh77t9eVtgxhGEJaTFddJfygHgVRbLW7MhN7hNyqOF8Defi+R5WDhrckmPKbyAY5HaU/sUbqC
TeMGbQM1XlxOh8zed4nYS9GhZDqO0yBjUEyCsnzKxSU3i40hv0k8wtNTXR3myNqlzA/x/EAvyQ2q
9VxeeICEXDukC2HOyyLfJhox55JZ10JdqnaJ+ApphXXS+S5H1NPMz7a+eJHauWPe3YAvV9MKOwvE
mqyQk7aRy+gWeUmAeX2barsYOVBLaFAGg1WRu5TqjEkgawkCfRLb9lZjXBqGpfCZ459mjjKQm6NR
Ho38xmT4lLCaAhVttERBt/49l09a96yG+GB5/tXWtSn4VKW6CRPgEGjkfDQ3GPfwnUhPrZIGfQLR
MRZknehqYIvtUmu7ijAPG2Fj1Z5bles22jbO9Kqld6LzFyqlgFfQUdenstzaCSZoc99rHCwJZ5S6
0R1BoZvyoWDcjK2Spqni1mF8gKiA/rDJPXOso0SjjB8VBRSgDtmeE3ceO9bzskxaUIlhl7F+MT4F
WSX2qM5cmALMEHgKeBNpFxm45nAlEKZv7RYIjbQWIREdNr1/2gBfE/PwyRUsE3ax15eO9Sw/1QqQ
bT6cqFaodqVUX/o4fJ/M6k2TWG/74RmdQvOcjnl5QKvBUKhk9Q1lVq/Z/CJkmr7krvuk0PvUFsLT
hgysB4PVUAd27GOu3hQStkKM/UDkzoJl25I4jk1knZdQ5pde3uT8mnTkXUl1MDRV8khSw2Wx9NPS
UAwxd9tZXWhdg7VdQd+HDCqiEZ0R0E4QFIQkFTWfubzjPyycp0V5anDIqyH+nB6bVRNUXKWLlm9C
9VRo463SfU6atE+qdq/a706fXFNwWDW5DZH92FYbWGLZRkYfMCpMGXFL+X4Zgjikygvj9j0497kt
NCbwXngquXyuIQNDdU1/TxEyAQq99urg/M2dV3usT7Wp+U4Nz9aEiWs1NgdKsU9zcSMv2lcZfejA
xz7SpcBRZ6zEoYWp0irPIAYaaFRNi6o+nkaZH7KTE6+cjF1hdNmlpDjt1RQhrXWLessd1lMA3tuB
iLc2mIQjvbJpc1NZ8EDd8JqJ0oszgZNSu4uKuHZlPPch5Zpdrt44YyQOyUw6dUZsQYcW15nLXWRL
tZ+mXM8NEkWCgAAXF2s30l8ItUwCc91KH5VEUZuAyZXQGOeZYx/tpB8fRqG/0yWOOsSZrwr40Oy0
P4a+2aPIktwli3qILzB/B4AS3TKsyDzfOU4qv/eGZO46MdgHs2WpFD3FMO8LVDtdXbQSdwUgSzSa
xd5ylptu0Bqah7CClmE0gwrGzZ1khFcxsH8MRvzoqBHBTjY4R4zfgrsKb11aKNpdoWxCB28KluYp
Jlx1kabJLRLt3YmpaFqobGLpnPVLw6mEVHZ1aKo6RHokJ+Ezq6HDJeSIY4rAemtTs3komkExAnPB
z2QBvmOYbne1NT9HM+9GM+lzgI9lmuydFBvvyDs3malDZevqUyQLljB10+U02qkkd2H8hyPeUKWz
abt4X6vyqXfksxWTBJVKFFap83xIhezWiIJOc9bKfi4keetwJd1a5nJUqmi0CTcjH6jMjHwj19ZC
3Eaa58/qUOtpoIKTbLtOV2NfVlNrYFHCssOpEj0k2VCrrtXFwJdZzL/rp0u6ncw86MhsPUiaYQbw
ONpx0PmdOngHUNo+o4ghtBNjE4Z1te3k8opxq7xWChQpFZzWBatms9XKtMcgkqiPVlffZLSEByyb
CKmsif7Kmu1mpCWIaB3AChHL/T3uYi0A01dup1zG9TMvZr+joBm2epgLgWpCTZa7ZmxgyamzVjYo
4uOdrIM6FJpyn4X150CIT3YuQzqTV7OS9joVVvNjXGHeSFUmr57AmvKswaOVkDzkRGL45h6kfYiu
yYuoWivQstVRXKTQwbXU3BR8HVqGBRk2USl8C/gYfERQFDi0bQCLGndnHufqbWtaTyPOGlIPwl2K
eINizlJ7hXRfrUV0VQ6qkALkkZwe5aT4ci2ThkcJ7guabEbdvJ/eKCD4jstG73elORmnhvD99zaC
9o5QPHwzx06FuzQM9zLxQ/FEpFfYFyjbRQPWZsYD04cod5OslydTAnaqwh3vRc/ZOBsH2qK/+1Gp
L4YTsztCSPLUnYla4AEF2iONOtPdJO9jYg8546fhrOSLgU3TIdpK6TqH+quZQDldlkaSvdG/S9Fk
BElakUHPTrOtMWwrXhivgvMIRotNOF/y71a3svuhD6khKucOCkVUyL/EG0VhxUYuRP7tpKS4+x1Q
EWTsWJM+WiRletetZaOSYIBbJdy8yQ773WhnjAeFSuHPpL4q5aBeGjlUX3tWm32NouxGnQS5hK2h
ngtWCOacmrmq4gGj+viZFA9rBoWcMbUAcJRUC3FfK9UpTTEPGEQGbOtmTgLdLrEkOC2USpjVJpFj
N5m94A4cZt3+qg0cDnDacuub6FsuclU6H/lqtUsFqTFj3Ro3oWXIG5kp4QBGzSjF8/TSjdL8bI3Y
SFVMfLedsnQbMx+JCjdrA2duqzlnO9Msf6x7tDDYMQg5kcAk5mZqWCrM8eP/s3dmy20jWRp+IlRg
X24BENxEUpRkSdYNwirb2PcdTz8fXD3REq0Wwz230xVdJVskk8jlZOY5/5IOWOKu8a7l5uKnIuzH
Ohd3dWOyfyJ/eie1KElxRDOKlW9R0OUONrlFJBTk5pKWUp/SNgdAISqkxWIKbjtSwCuumv1too88
X2sK1KUl1EGsrg0PGh7YvCeJSFDBPSfh364TJdAg5ZXikwnxtPaqLBqRlUnNlz5pUdMSk2xe9DIi
4U5OAP4YhvBd9DO0J+PJ/57VsPOxPNVciEvSCuvrIidJ4VtHKyBvgi1q57axYTIskbaVGu129KuM
XRNpm5Vf4tCDKZrEZbGAJKSmvnJLigfiWqOXqXTUkwSKaOz7CIaQ73cSYCQrQTBjiTUrF7D7QWr0
sda7CEO5pgylVpli82yUwbQe/SHei3Xcrwrs05zA0I2NWdTtnZ+O0bnkllHJRnaMOU4C+xj8n1FZ
T4Pt44d8KIvodsTGeB0CmJTyWvQ6Q6GUiwfuZiplGQWfMngeEgONvEF7GvCEO6ltPt7KcospRSwr
Kx5Lpq99f0Maqd1XiS89L6HQQ8YpOcllPn0ZRPjxRDfhLkhkbT3VJe8dI2aRWsOiVIvpQe908i4j
7HVsB1lpZCjOYi13Z3JVEAP7eooG2xR7S3fDIa6RiRNUDQWpNvsSUkvwzQEn2TQb9n4ytTtzaCpW
RADz2JTMHyq2h9SpzdYrSuq+rCHKKhV3HiTN1Ol7PITTgZTca9FRM2/Mcm3NPbXkFvPWPZbF+dEo
LC5RccMhv00ydRvWibhB15gpPChYpoKdaSxzi+0eOX/TQE1FrHYVt+1zmavdgbKl6knVOB2UqZmQ
YkhZY3ENFR0d17vRz/WDbA7daeq1EZJYlTyaRUzOqbRktQOoMHZHhTpJZfuR6HPe6ZPbsR0jL1zy
sa0c3k1ZrZwmxhYbZ01QVhSUYJGG42MUm+lZ060OrRjDfyqESSTnljxLpBqcTGjgz45jsYHO4Fm9
OnhSjyyrz6nxi6V1z4j3myss9UiPFlPaPZpQZQ38rQJoapWO5y6p6bbc1NWoIW+dyIc4hhEfBIXo
cfyhkpRO1FxUSpUzJdKToUkAs3A0XmrJ+zEZlGNT6bCqkvmFXA8pmmIYX31fER0VClozDjCGkUWS
VmNZz73dUkvH6hBm2qocM+DBguhTL84KgBk4PK6MIc1dDgwtmwYHkTxpsDFAWDMjn4f0FOBp8i8v
cpBIaNj1OrAhqxx9Nyis5JuUM3S+DLRAyeAn2km0IDCqccA0JwB10laZ/yMPJPNmIvFXga5xZ0UA
yxOnrmgVhiOKg7hjgiYbSx6M1yyxAGdSljwB41BoqDbWmEGjSDFIsnAU5ZDnLpKN33YoWNbBqG9F
lPQqErsBF+ip9dHInbidR02Vgnbyo7sWaCNHTLMvVnEpRxsUv8CdLai+NIUrWIGtm2wz6hmWwJTQ
9WoaGYYgicHxJCddS+IIHNvREFPpth7yEfUGHyklq+tmlN6b+KnkjgDqq8L1vkTv7yfKaNFJXcww
Cr0nO42FckPuwhp34F+p6YR8Huqg2owmBYpR1W2iTv5rMxp0HarxXI/Qvf4+tcWM+2eKwO8sTtgz
IwNH+aJfarBj8AIGQzsJRHJPJg21k/s+KoDHaOFZmLDyg5Xe7oeORPkQttJmHvvmK3rfCKdaGqdp
WOl3VldFBzJZxQpLRU7R4fg15f7ASiwEcoYtMI+Hzh/nnyl+hwfL93tIhrMF010WkN/UDNHpRLB/
czHWq2kicYHIOejYNJxmt54rcKzZYNanMbA2KJtkTsmWtMWjW9pBMUQcdRjzQ9WUOYIc03QaCwA9
dWTc+VQovdFQ4q+hmaBdpnF13XdCh0bLqK9qIZxfKrzmH5rWAqAVFxRdjbF9FBsmlT1GYk2arjX2
UFyBKA5nRQ9IGjbAEcSpPqZVrKxbGIWnUfSpUEeJYX2p9a5EpiWFPIr/3koouuaMiSsbA4557EJG
RiRtZ9TSaxMbtGaezOOcA7tizQg3oSKpr3VAZ4aKjIpqEFQU2nOSeSbFIeQb5uE8xzEKZr2OeGpQ
6nHujAYhItFi6Ylg8tpRV9xSGMZFnQQD4pPC5OXRGB/8KWaN+EHMWhi0efimW8jFmMEh9Sl+hHtL
u/WzEA5pbTXfq1Fld/JvqmRek9GG/t5yBMAzxTMWJRkOpPsqIFupAtK3xr3WgzusW1uUkBQbsr26
aL60taVxnfSRp6FqsnjAooRibDigaH9TlVC/snP4a9CKaUS5xND+tvBre+yyPNykpDOon1OkH+20
FgUO9rHuGqWkqm6aQmoQ1ap2ZDNcZ1K9wW/tUSQJ2DnmLAW3prIzDWHf+Tn5vXqgfFzU8zY1UjI1
AbmYiLKnPJVfO1RKhGS+8c3uUSj4jRLSmkwuX5t+/AK9/z854Ao5QIan85/JAfaPFKW37C2bYHnD
P+QA/S+A/CaEmv/ljv+LGyD/tTh/4ZchInQpQUz8N4dMk/7SMNyBqIgxpWnqBlS2puCwCT3e+gsr
zIUHJFIygFCg/gk34IJC9ot6YGF/iQi9psM1uOD7iGo8pvDPkWHQ2MwB0nEZ7Z66VN37fd16MniA
N/3yARty6Ya3pLV/WsSaBEA3BAd4de8ZRgi8F0MM3479UP6iSglwTLLLQvxAofVetjijlR0qzIPy
hOLQ36JS38VR+TplVYMwjuLVnfYj5IyctMAuqua5UCZu6gBbV2pjHj//rlD7L76shE02Tk5ooCKm
LwIxfP9lOzRqdFK+MnvqQKIP2WfO2FUCkgT0gc2Y5pw6kSZqzVZ+qLl5npMIMfqwHrgFzV+mAkGe
NMipBip+hF11TbwbqQ7pstwc8cj9isoSsoQK97BGqZQX6hPnWlWoOc3Au5Gt2aEKGUQIy1WJ4jUD
saxuDWXVd0H/JSdV42LQzd3GjzZQy4jNlApfR7k9jpzQuPcsQFZBIh5IOfIh5OQClOLvZEKW09VK
tZ4titm1PAY3Qxkbrsi5GXHG4iWbUcdGz4vcUxNKiALpjemGBOZz1fbCGZFj3bNkopKVkyLulstz
NRuoGHTiChPeowEqyPMzDk5AsCflB6Sm5EcD/sBDS3R0W5lqiNYJK5GbFhnI6L4xEV4Js/wpbFVr
a5jG86yW9xoY84I922nGlNIRJ+81ACkY+dU838CJs7bx4D8iAYKq00iYrUY6SLQIgJCQqcDUiPWL
RdUAWRN2Vl99CaZMvJv7clhlc49jr9DDRRhS+ZVyaLz2J2XN+Fmbqii6UyAiGsDFVDtEHNKzMP6O
T3N2m1p+dKPlYie5GL6E64jLv51kYbKmxLUGDoDGZluJ2lazSBDZguWre3NKDSCrc3hfyeDOC7/B
/pn6Q8u9A8UbzHFa8lesQPVLlGTUWBILRTv5G8jzzJWwTXUm8orQ4fJsJaXKLSmTetW1Mx7IDcC/
KKwLZBioH/VJQfa3XG5ECaXLEJPsQzr1o5Ob/s9YD4PvpOe+NVObUtxLsxhRsLDdlHpWnGdoCG4W
SKMDworroykVbgV0ygkkNXbrPgw8KIp/58YcfZNN4XEIU+WkUNu6QSu2WculoOxDUJ7GXKTPld6I
98lErjMUDfI0geY3bonO1gHrFmEl/wJJaHE4OLlRUtTyy6MFGBJiH9sqN+/Qzs1gQcoZyVaIOAwJ
kwS5po4Gpy71U4jQxEMbGTGdg5xTVoN+KqsiPvo+kNoktbRXA3YG0PNJc8QOtT51DG8LDdksQ0PI
P84si6xZHHypxPEOPGXMAg1Sr24nWCr+JgqBYpU60nu11EIdqst0BZYEzbhsXJncjO5SFZSp1pXa
Ws7V4iiI1vx1ko3hazf76jmdFuBWHVJJmfrQX8sgKW3uoE3edPtap/6YadNwIL+qdhSmTLAzhr9u
O3hcaHZ1rymnWF0Cxlim9Upsw4LLxHRAf/GLSg5dVRr1xsoHY90UZrfSkqUgAeWhPfeZj4+BUHpK
baprUQfLOgxGVaGcIDerJlIjN+nG6ns/ktIOalX/6vvNY4auIZWTHMh5VCItqJXgwYIBwo+ad99m
OSuPErr3G6PWn2JFjr9wZWvOjdL5x6KRggMhKIJ70EirBPvwVSNp0BBaq+BKQqYe2pn5Mgl5DEax
7s5lVVIiiHIkH+Kkd4wirBychCZStAmYvAhlUZSCvpHlA4kWF6gKhQiZRRNarJpaihTtjQ6wZls8
V2X4MmUjfdm1d+0kSuuw0dR9pvUG5A/x1AbDgyCrT6MmPmqUnXWu6mVwSNIq3CQquSdHjnvprlHE
caelsrSFXNK4KQHyhzTm4H5ZwJtS8gGYcFwjSZCXmQXkIg6QYDQqZmLfRXuDytHkGqArNopRsq6b
DE4/xRFlIyo5mYFYIKNR+YiQcu1Fm6isNDSHlLHCTbwqu68GHNHIS/1OBVsYgid2cr8VH4qpGOnZ
Ov+pll22mVuSIyJknPjGCFCzMnwgblH6Hdqq7EaVWezVcig2o6UmpL4M33jVpKDw8Nr13d6yQtke
U3JHWavUO5Jni4ek3rp+EWgHBMbKs1+nCbezdNoEoypsA67NCkLC8t8zciTjSjM7/6ExOuzgurCX
3GIqh6NfjeGunZv8jN2WRCmg3kqmFaMDSubcFrV68gQRyckuxLMp0BWumplmaG5mkQRuQ826xbqQ
w2+TpbgdDS6QMw1QLxgMxQJP3IdyfEjgTv1EJLu/rcmpWJ6UcwJn1XhiJ3CJl2OqGLJKfQV4HypW
HOdT66bzw58DCbHHom6slcAe/63tDfwYOpUbeEU6FWuGMCmPZaeXaw7k5OcKCWLEnPXZqYx99RUR
14XrNMybUe3v5Sr3d+FkdNS8FXVVkgFalVb3I8yC9NiMWbHCJEpaCho7mD3JCkWJ9rahfuI1WvZU
czUn8wCxlt2gCDdTlItOgLCOm49mfEhFMaCS2uuEiWnIwW1ZIq4tMpUDpPvxUTCRflHKRcaKP3/V
cMhJNYw8uhTTmaw6hc0cHbGthVqZ+DcmOxCkyAGmxqiRF097NskujhM3rdPhnltb6QltBGLM7Ofm
6FvJXZup0Ltq2b8RWkt5Ujh3QEbI85NmVuoGEb4NukA1ZKh2AOPQCmJIUdgw0Q5XpG2iSv7PzoDa
YrJj7IUGVKakLqLHcvwzwuJ8CxO02FdSaj1GDZOUkC2MeLc03YTsnxiX/XjH9RRwvhmIJNvw+d1g
142WnK+EqZPmDfmwOYxdoLHjQa3Iz8r6T3LvKgi9Yra8FIHvSWtQIEylxqD8GhzqUALNlcqW2+hA
v4Qshrf6KylaalD0RF07DrVG6b4Tyuc5Gv1NNYP3btTB34ejX98E/Rg/BUI0ew0MSCdh+9vX/dgC
+rC60TMRGNwBWyihnUT+fsBc+ocwLgnXIQuKlZwVw2EIJn2taGF9pwL9a4cudPM8uB8aKd/2JOic
WRXltaUsYETIguTdNdFVyC1vTMIPurKLmVdcxPtCEpQTtATdMVtFvVF1MI+5NbXrWTNuKetQ5hnR
ClTN5IemVr6nCaQTjTCnbg4spIMHh7p3SgmznliA0lS4nTJMztBX+aaPI+kojSnYHy26CVUqiXlt
PAxUXOEeUf1We/l7XgzFrgF5qGuZ8liSRzgH/bxkBDFaEuvvNZoSYLy41PdDYidiwvE9jM8G1ZQV
CuHdmZJUw8Y2m+aRnTR+7Ds2z0YJCqJjVe1bfIJiEWMJZPz1H75CqawZa/kxigLryWypZWvxZDkw
SsH7lXGu34ZyPtwO0D4iNAEAo8xI0cDJGDrydFFc7jWLxEIRxc/gYTk8yhC8FDJRZI3T+ihNAQdC
IY2J3cWtL2UPagOHUZbQQxzR8V4rnbaTsau/p+hxqNIG9IFcr1pDSG8UIJuLT7oNfyjdxhLgpqJG
fNISe8SIDQBM4MQyI7JWmsFO1ofxz7LuZlKzyvek079lfvswFeV55i52AHTzN8Xyb7AhwofCCkFv
BzIlluyh5JC9y6LwOVXHFpHYHE6CJSG5PODjYQkpp8mMyTc0TeAl6O/hzeVXDvDH0klTrdtEPj4h
2TRlbhHLiYN9dnmas/m+LnLTg9uPilQzwowJKOtF6i0juWRC60OZiuUdiXpQsxk7qNqVOOkU/ndB
jyK7bOBx9Rw3MXql2SkEcCkGsVOxgYGWA0ZN3h6Ub96UDzrSYjcJxNg1StGgJ4BhB1W/BTWRHVIN
PBUuYsiDdlVuKzDqOIya8q0YpSpag6HqDW0P4n5uN8FShEE03/RIwml3w1h+B44HMn1CpipWDPg7
MWK3GiyrQVeAWbbiERdlFE8plpIcNF6MUmg2Yx2NJzVDXWpIWy+IzXmfQ9UAIyrU4Q3ekW4+qFy4
mhrxqVSAlmZIAHiIkYWOWBBcy5uyVrLbMMKyRmpBQMRx2u5ITnagxpK0eGob1PrzaL5JxtEEbV08
zWn+Klbz4CoVFxxbIXFqQ8XqX4OEDLhGYeReRtcNcVxTZqKOWg2SqjY7oBeF6hQk49wpbRecIDAW
mGhBt+kqa2N1wmbK0ZCwDbGjaJbFQ8nU44o5I8EYJKK2wjmOcBwVeuTMLcV4GWUNt27Er1WDfcsI
vDkzTdTUovHrMPTWaQxl62/SR4hD1wVlQk5IttXAT5bI23oj6uHrSFPvmgyvI7KQ5zqxXinu3Kdt
GOzUYskKz1wj28m4j8BMb2SKWs9jrkfriiv5mOlfWnwayNTB102r6Sgukc6woL2EMbw2CzHSVZap
wLORTCHrzFG/uLEyaWtOZerEskFpQy6+N92c3SfBQqDPNXGNkOqJdBh+GPhcgE7SIAdlHeq5Ed+s
6qwd3+mrPj2i30TaUCpOXNblu9oYl9p+jonRON1pBUgNMzaarwVuBcSIQKdalcD8bKnyq/Fy1Rzx
nGstCvT1zH2J79d7ImIggCxYsCU4F1eOWpTtoDRmqzqId2WGuj0TCC3gGB24kSOwON4Mchp7Dfdw
x/DvrClJDkPus2VZAC90Wf9SGCnasC2D7uvzTTRzc51FC7Q3cXHuBfVeKULhkTM3xRdFn7Yw1f2/
DUgBDuyObqeImjuXSfNUJ93OSICjlUU4OYaFu0/B/RxP6KHcxTq5fkdVSvFLQy1uTfFUOMzkN7YU
xRvPqAvk9bjL/piVqfx7VurYq2Nog/+fQvylUnIlhah8qkdl19/mKH2bQVxe/08GUZDNvxYxKdXU
ZVEXsZ5GRuQfgRHBUP5i90CqByGoX5Jr/1YY0f6SdQywLNM0EJuUFJ301b+yiIKi/LVUyCRRROpH
VBcBq/9VVvlXFg9RFjRa0GT5IKv3XuJMI1G5SBqh3GagqoZP5JL0eyOspggB1jRBDe9Na1PFmcO2
rdddx9V4F8xa3P6jXPYHzeELhOEuWURFpWZ9kZYrF0/spFUh5yXNpH0nOQRJ08aMknUSqFY9//15
InDJSf5bFWl5PJV0rIGsl6SRmlz68e3jiVGe1FNakWASQPqQgNMfqkiP11daES/aMWSGd/Ge5TqO
CjmXpfft8FeSIIXSeb89eaeN63m27e0Pnue63sHhzweXf7uuY2/4yT3sva295TWHA3/cuS6/27g7
frfa8SOv9rbbk7vhtwfevOWljrPl07y1zUfy8ctLvIL3bx+803bLp9l8nL1afu1tPeeFl/AVbGf5
G37mDyvbdjbOhnZ5LZ94uz7x8XvX5aNe+Jvtyl6t+MRn92Bvtw/2duXwntVq5awcx1letuL9fN7y
Yc4NPxx4Er7R3dL8euPsHle75aWr3dZeOUfH5WeeerMueHiHb+etNjeO420P3vJF+W5r3nnnfONT
N7x0d7zfbO6XbqKjlne7h0NmL83eO/z150P2Kz/+ZmZcjtivBPKbiZ/FdaOKpEUP3ull6z3wUCvn
m7PZOfdXWpJw3Xo7B39r6WKJtehuwVORzp57fn49BfbJXn09OqJ9pZ1f5s6fPRFB6O1cb6g9hsbS
DkP0vL27Y5wd+psh2ewP7t5x/lGb+o9rWXpfENB+e7BFu+hNF/pSW8WkEM8H9+WB2cI4fT5GxLkr
XbcsuzctNHKJwkhEC+e9t18mtHf49Q//Pb14rI0Tc/XwcvBeDqfKZuEcXl4YS/tmzcTa3q236/V6
tV7f2Edm2M7Zb5jOX29ufk3HG9s5bhhvVh7LwnXOe8dmfa52Z2e/Z/btNpsrj3PtaZZY/OZpVBFa
Rkx/uc/uA+uGHrs2q7WLcP7bkCxf4U0TM5Ec6QPikPdyClYsS5b7aVnwdNsd/9vaa35aVnVg84S7
nxssmeyf7maz+TnY5/trU+RXneWzSXkRgLOWJFW2TMrT9uHkOT8328j21t7S6QePGOfeH5YwycAw
ECubGOgsf3RP3oP7sL07uM8FsW1tP+9fPT6ARzmt7fXDbU/3uUSRu+2aebfaMc9Le3X8Ftu7e4ba
dWXbPTMhXiz7y+pIJPFce+OuzsSh3WEJMJ+PrbbM9c+eEx2xtx2fkBpRJGYqAftgPxNze5vv/XXt
2Xf/RGYejyC6d9y9x5dYEXc//wYKEpSff4WLPWg2pmEalq5+Jrwf6IXDEtcO9+7JdfbbLdF688Jq
IVgvDq8eHbeqCK+eR5+z9WyWXcB9ZnC8F3d7OhGwmTenu8C2n5hFHmPCLrHasQqfido7+1cs2663
p+3dj21g/7hbPvT14fQS2Q+z/RrYW4Idceh0xx9//GA2EvM3zvGeGMt/z5v71f3mp0PI39zbD+wi
o20H9pql+nRzPD4dd5vVl+1u8/3+zE7hnNkOnNXq3rW/3bARbc57954laq92uxti9m5D17v06q9u
5sl/0t1srrTI3rI5sC8f9s5mdWSp/3rh4z1/vQSFe3d/fn5mIjrfr4zI5+tdFi/kY83ALwSDLYZd
cs//mbvrg8uWx9K3HXf3zybnXJkHkvX5PIDefjEVe8PoC5qlTbrjcGL9s9SWVpfdu7JZRfbrstcT
LlkXW5sXEh28u2VXZqAZeH664w1b+8iBwOOn5b3b7frIfzf3dJq7c86/DjZ0q7fsmqyoIyt3++u4
sNntWJDLVPeWOXjylnAa2humEN1PtPZc4vF+GUZ383zgpONuTi7v+XwAlt3h32tSp/yuWiaSxTrX
MBiDlyqr/TxbAVftxSUCRsDU4nmHuHG7+ryV96P8r1YUjn8qxz5ZXhQ+3658SoKlbyqQBf08tvBn
xU+izsf0JRjBkVKTFK7Utn9/Kk3k8I/4MFwGlQvC+/ZSaTY0a0RNr6sBHEYY/Xlh2kv/XPX+4+b+
UStUzQ0DYCRCuOLFU0mdGcW1iA4baR35SYyqbNsiB3Rlsv7ed5qoWBo5k0WiF1HV989SVwBEWwP8
64iHDjoI1ggpKKk1DdaSNZFokipECj8fr/db5DJeKClqwCZE9Jo5rl8ck6wcDnfWU8krqhy9GqHS
EPdL4oPY4Y30x01x8+Oeg43BsjVfdKJcZmKRdQlNpYCTeiufEWpBCKhBL3r3eVMf9CRmq6oqg/w1
DW6G73tSK/XcFPJFKgo/qW0XxfpG5/p2oxaKdcIwzdh83t4H8+Nte8ZFbFvQfKABaa/OpbncZJKP
QUfc69GVdj4YLRQ4JTj0FF24PV90oZ+Z8xQVGnktqn+9E8cz8lFt1M0vStBXVxr7qBM1QwdNwr3c
1Mzl929OT1ZVk6KP0foLJmQdur6Wj6Gu+7D1zQlVJUQCP+/EDx/ORN4BgCAoHv1iKfdq55stBlq2
lHag+q1YXkWtDP8gAv7x503p0EkMVrPE0f1iU5AETUuEUURdoRZTYBypfmziGTpfFtRXFthypHsf
dnmUN01dLLB+Nsq6kXgqxNZOYWgEazOZqkfsjNWbQU2qR3Klz58/3Uez8W2Tv3VkRGUqkejIUCQZ
Wfuah/JdcGU5f9iKRJlG56KP1cnFXGysEsNUAfgQakvdbVIsAidmrpz+i2dhsrOYdRVByouV5Wu+
WsGirOyiAYWgjIXuRX2hX0lZfDTVdUpyJKVgaoJkez/Va8uI6qgCh4x0H0xe0wKmA5HW/5kBjX+w
iFftlcX10WSn6wiHmPXhnXLRYiyEaR3pCiQN8mXrtO++ArJ7lSElrP68Aw0QavKyc5nyYnX9dhXr
VOkDRCwWhqKAT0UGAEpNpfbKgrq4/S77CEkdSzXxotGXjeQi4oYCpNlUI31fKaBZmxyzMY1q56qE
arHOB/L8JS6ovp8kFBPbAeuvhSqDAFN4JYr8Pi0xxQFPKMs4wy+HnvfPiwkwF0vqvLaUt6l+puwa
NkiadFlzZQSlZRm9X9m0pHPWkZGt16TLo8fYBCZqo0iKhVGYoLsLORnTJuWh6OtDoAsjTJ6yWNVJ
gWYI7UOCSxaXbqeVWmvbQUC6chT6PdLApJRYkQAxkTVQLpY96gSqKfRwUUsRTgKKgBZOeHKL8KE7
iIFc2ni66HdN11LB+dM5Rsuyye5uWsrvx6NJxvusk9gp4JThilyAnZiVLr8ysh8+35tWLqbY1JfW
HFQEba51PWoVqewMFaU5VAdQyflaxPCq/ovnYoDpOAwSROsidpvGkCucKMEdUSt0BGukwgfR50rv
/R586D1d4QyrA9DEqOH9jM0L2U8ao0UwJYD4Uph4KCpJE6/FLo1f26ievc+f6qN+ZMrqnJo11sll
RPDhn0epxo6kx4OKM3JlCnvZFwPHNLPmIGMt3LpAEfGM+7+1e/GceheMFRAYikVZXu/joSi2ZdjN
h7gT6n2H8TZss1i6Ev4+6tzltCkC9NEMLAbed+5YmlmFIBWdG0nacyt0I/rBVg8zNl+ctNF4a58+
f8zlE9+HBWspSCgKVyC2xcuzYKcgeKpBV7B7v8ldvaooyGVUd4V8/PNjJ0dpTjC6oomAPRa7sbex
PcEGKBl0tcSCrktXIv503thqf36YBlmNyQe1F1NeijbvW8mnpihU4Pm2YJTDWklQeEli4yxWCVU2
yHGfd9/v8ft9a8vsfXPqHAJZp6ZPtKKMjmajEhmJ7vjog09XZsZyPrkYJ8OAx7LMDpWy0sX5hXUc
pWE4I/3di80uNIVsXeSZuCsyDX6XofcP4yAgj5KRRhr+fClY4lKt4nzNhXxBzL99SCMZzTlp2f1n
oEqUeUEaQsRCdULWoIrUOkDOMvS1K0/8wcyEnMZFmRO2zry52CC4k+itIg0cRUED2qWCKm4pIaUW
iShzfj6KH8QY69ddWeL0iwDG8lXejKJZooakBiUHqrDo92gSddtMabVdpFrypvVBGyJ50XRXuvWD
ISXFQd6Bg4iJAuDF3l+HFWCLllaVTpeBl0XIDg9R0ey0QumOo4rub25a6LHDB7vS9G/Tdtl0dVXB
/0vGwOQSYa9BOSiriogCKgOogpgrHrmY/vB5t/42grRC9gEGpGhy3LqMLcj/KPUwM2fnqIU323Tx
jMlvA2azNPIrfk8fPRHRheMnji0YQlycUEGpq5FWIo2Ps94I3BCg4ksvyMhZ/xfPpCrg4dBhxtjq
IohFc1yag9ihdSQlk9uUk7pHag9X8rFrrsSWj7oPPj0MCOQ8RSrK72dlO/h5UaCgb2tV0OASOGE/
Ok9fwwI53s8f6qPO4yzEEpA0LCuMi+BSoSwYjTKwo1pF47EWOOuG6FWs/riVZZtha6TzFsex98+D
eFdoVVFECNMgIojY+uEOk5lXBuiDZ+FAveTzaMOUL4virCLJDFJcVYcE+BqleuG17yxEcD5/mA8G
RyFDuZB4CFCcX98/jIGQZyjgpWirVecjB4l3XqL0MYA260od5sMHetPS8vs3wSkHv+wjto/Yit4/
mgZqVjlY7StzbdkV320vFgcObpPEPmIu5f33jUjtiDWjJBS2pBfiTRWP1X2mDMUWZrwKzmcYx/Xn
/SfJH7UoyXguQcei1YvZPVdpnA4VLaqBRQdWUuiOeZ44voX3iR1qfrjJxz5YTZGGwJlYyT+FSdg1
Wo56tzIkd59/nY86mYHUAUmRmwVO8f75Q5HCmzkyaxIjfDE6QVhVod5fyfN91Iih4UlnaNw8yUO8
b0SvhjlqSg315mhRtpuwC2hddGRL/coa+Gg0DQzPCPAYSoFGed+Qrya5CE6ztPM4R84qRJBVHARP
0vpN3grTldY+eiwTlIRlGiomOJfHgw45szHrixI/c83fJ/2EHAYR1P3zEUKmFmaYzp6lXya1jRRW
zBQQDeMmq2+KDvm6UVOiPx8iuo0LFNGQgbrsuSQvhMSKgLRPg4Fg/mCpi6lO+KdpIrA/ItkHwgb3
GvNX6fzNkjaBlrXCMveTSMkOGZ7Sbunn5pV4+3uWY2kGbJCGXZ7OrW0ZuDfNZNDZNDEzCvStYU8J
k6mgYJDuikGzbF3sj+ag3ZUQ8Jnrhr8n173TrbK8srf8drbiSyw0S0oEZFrMy0PAXImd1QaIA856
jwxAO4ZNjruZJvY3WjcMijMOVhpt6x6hhCsT84NlwE0AHBZ6dhpHrItlgEmfJnbY5tio6ijJgkCf
3KGMbhQ1gInX+Pz7j+coGw/qKObixYk0zPsO72QDaQQ8e2w1DDG+RuLKQzv82kr4feuRGFKyY8wg
dB8urwLkm4OxRqfCRu8tcFLTKLZTPhtb1bfCK1Po9x6kKRM/LO7dBl6hy+/fzCBipS7WGj1YJFok
uFORVqYtghv5YjWK9j0cssG/ss6XPnq/E5GmktUly0j4Anv6vskwqbQxqFD7KXOo7irOoY+ozc6v
VWekrgSa9JUUyLgvQwUh4lpuXj4fwt+nK4xgbi/ccjhFEtXeN5/lFZqqAwBhESFfVAaN72ltvGg5
yanKwpeqU6+dKH8Pn0uLXFippJFhVS5WaTNEcSRLVQEsWubCWnXdhqWSXxnJ3y4bFtx2crcsBFRa
KHq8fy6IaiDgcOWw61jAvcrMo+i5QsRVdevSV2+rpJ9R2jFD8kVGmiKS93m3fjBn0ZDnKMv5j8zR
JXawnksjwQKjWKyhKk8LUHhxLF8Cgd/UOGx83tgHgY8yCddkdGvIoXAfeP+wiIwl6tCKLHy9uSUu
Jg8SlBu3V+tUwtQs1O4TJeOajOxOA93a97FbEpqm+hLW6v9wdia7cSPNGn2iBDgPW7IGjbYky7Ll
DeGR85xkMvn097BxF1ZJUMH/wkAD3e4skjlERnzxHTqD3/81b7x5arHoMwNC600w+vLHWBWEu7VX
bPY93mLkzuUP5RHLNzTPRpVOytsxeDJxQ/jno4yXQAmdrBlaTdc7mVdGHVYurW4tHa5OBSaL7rIV
QDb2C2de91vflksX+lObq6TpbP/+r02ibpoiQXXa0uY8JZ9nTYfAHixqci1zZ/LPxI1vDRaSsiL7
GBr8OXmb0qFPAgIPNrxk1a86s50+qMbHE8Nr1eP7H+6Nzc/bhgAYT1hDDuLlc5mJ42q/4bn8wk9+
FdLUOJ77MxC3qrqgmJl9eX+8Nx6N/DyKY5dsQIBM4OV4lSPyetIt+3rrIx3PKF4OQ0o1nb/z758s
oNzMkcijkSk+mRu5V3fpKDd/OO0MaeQsExp+d23sS4jj5AHff7A39tSAmMrZdjljSza+fLCCroQq
nYD4mDVi/qTFxh3Taop+mPmN1i+phxlYDmfNmZvTW+OSamRIaPUISU7myiSVWVm2z7iKFmAIa7nz
wdIUGYcmzz6r1mlp3MvEmeDujc+IOIEQwCf44h9OlsPsz04tRcpWJ8kQJA2rvCsxsvP90Tuztbwx
QwP2ORdRNhljBOkvX+xqq8mfVU2j8rgRx6bVOmpvDi6mISl2qknFmSTLW4/GlXornZAr5rL4crxe
+fj0B7TjtqPjXVpiBSCXuu0DRNbqzAzdZuBJGBAQRVFnwH+Hd3lyDjteT5+Oxnccohfm5AOpowJ8
8uH9mfnmKJy7ruVSCfwPC/z31mXUHf767gb5Kqp+3ydGcJ2JTP1zHsyk4Eg2IiCB61r+dhX+a4Mc
adkbPN0xSoV7eYwKnY5fp6CmttNuYPRntsi3ZgXZqe0eQ1DhBCevzjBWb5hy9i0h5Se8gu6xI1P4
/BG9+LT+nflQb41Gfm+TT5Ei5l738uG6Ziw8sAgAk3SPxTOm8YexTP1LY1m661Wt05mne+OTsSOT
hQZaz5juyS4JPahTCw0BkZq7bsMvGdaM/5eZnIsi3pjsDLElxcjPOpvjy4uvtnSOmWH4w219nn3s
09EN7PyyDXKYJ8nw6f2J+MZb5CVSlqTKHoaUpl8Olix0n0r6+CMvzFwc0Iyw/9kMjptgiEsSl6y/
k/377siJTaaUmISQ+/TYXlvQR3RO4omHTWkMmQ7fNbyDx8nFLDShl2lZwIW8/5hvvVOCati8lrPl
mbbX8NdKoAdSdLWAoOaP+IRRSdxXcGuj0rHOJdfPjbSdDX+N5HVIwlAEwXaZZD5fslXLat/oEpv+
nPb26cyDvXHUbN5Am/sJcgKChZfD1XIIqowm40guKz3C2hV3q5eEu94dMfFaQn3l91j6vv823xzU
27YVlgO3pZNBhzpUZh7YuKQpXmKODORzrb3PmdcMQGZ6+6DGzDkz5hvXMzZ+omq0qUgWnO03/fVe
x2BtxwLnT4w0cYhI8cbHgK/6ouk9/tnWdv3NrfEmhVqG67Va6jObzetYeqsIsYUSUYfktU4Wv+G0
/mJXeRPR+27eTxauIlU2pN9F0k+3ayCS/Zj0463oxjMn37b+Xh5H23RlpRBHk1A4PY4a/HFySX4S
SxBEQ5QzUuwGCuv+/Q/6ehfg1umTh0RSRh7t9Hyd/WbK8RskYZNM2bd0zWaMzdsRIomTLO03iePY
9/dHfP1Ct3suKTVY2BYl2ZN9J5O1yAzsF6Na5rWK+rxx78JpxdlhoKRycO0GYEiTGoAhuqQ4p1h4
a/T/onjY2P4WZ7+cTLNojRyfGy7bXZdVO1+wMOlYbXGoCRWMuChvEnp5u8XoyguSxebv95/+9SaB
pRcTmVOSXAOZ0pfje1QjCJPZJCBU2pf8+V52jjpaWRAc/nkkUqRkhijj/JdgfzkSdwcrXCtOySYJ
6axt1kABlymp5x887OKyM9vR61VqM48Qy25SNzaGkxc7FqLEqn3kOLGq/hcHyA5KAzw8jF33Ujbt
Ma11/9wpv8P2yHae3n/Y14uF0UmlBwTfvklC7ORhJ88rp5HRUY0V12bnwfUpGuufl+Q2CsbUBL6c
zt7JXsAKCVBoY91Baju8KrTzYQ4Wcfk/PEpgbasepWd4qqkZ0fkJFGm8SLV2dwjSEyCthjGf04G9
sfJJblukKvGYI7g+iaKonbq1amA2ppi37cKeNsfQrNNLtH7LFVYk4p9DUsRmgO6pkdFF+koNNkIl
xKGLT4S9pr2v5qD64JL32tcY0dy9/wrfmouoLrHb2xKWaNJfzgbgCQb3Lbx3fV+Nl0bROzHJhHpn
aVVd4t1jXPXU2u/doeie6YHrziyFN/YYwjheKVknxPCnumC3gkwzGATfyZIKPIHIKN45QeWTx1z8
4REDUXeOXCfvH5081cOZh399RBNh0b5KsYcMOCSjlw/firWzXNIvAC1b45mPkXtRY23IlClLqxGZ
Y1k+YM7m/g8bDgOjLeAjs+2c5v5ljulsOnMJ0GY/xoJfeDkHa/bV9KfyTOx6stw3N0TUPKbPBYA9
nMju5TMm4NPq0NE5Rhlglc2gAnvVzsWZHfQ0qff/wwTsZ/g6smmfzCN6wWsjt+0c1Eh3IcMKq7wU
S6PWKES8OZ99oJ7YXJW2uEsWaCw91c77ZJL/OJ1f/YyTzc3pDCUJbvNdji8ZJhggDggM1RFTA3tX
huu+9WwZsZpJvCFk3L+/mE5OrP9GR9yHWsUkk0oG5+W7BhqJwYo/QdBJ0+nK7T1869PNDyWfz5UZ
3vqsfw+1reu/Ij1vtX3t1nO+m8IwhzRZBTtrGdszn/Vk4/vvgcItMRwQzXHxOVkgYs5KN8sLsOH5
4KsrAwVsEo+6K4dL7NFD45PfyeQfo7ltUFT0VPnoL9968U/eoq2dfnBbMF4qydJbuQiJqyDIoPe/
1RuP5pPPg81i0ovjn4bKE40iCST7DL6uBqk14SFYXki79q0LWvUxWMr9jh3//UFPNpz/Ho3S5abS
YmwuIy+/Wpv4SZZrLOdgEhawtItuykGxraMyN3N2f4FuHWSzOqbYwJRnnvjVlKGez9xHF4HQnr32
5Ege8Dp2xIaPdnuZXhgDBpseotczo5zs6Bi0IhgGz0QFlWuPdSr1we6X5pXWwiY/15j+g9xpPxb9
gucYHIH9uLl51U0Hxc+Csfv+2321/Bg6oPiMFs6inOKcbHXgIowEB2obelmbmXeW2839Uy6lhaMk
+pZRnqlGvTUe64Izn1gOqfrJGsxW3L4TgXuIBs8TVQpLESwfsEaa1mH3z49G7j4khY+4iXV48miY
EOGIj5wGjMac7ZO+WSGmSZctDbO494c6iQi2D4gKghI7f3yXw+nlHC1KrzeXSfFUo9FeZ0nTHUWC
pbwFTO9BztT4EzUVQIEX+0bZrjrzEV+ty214SiMEdSh3mKkvh7dEGBIDZxYeSmlwFJj8RY43kJg2
hE180Br37z/u61VhE2HxWpk8xIv/9f7+tZF26VImuNslsVWVzkVZNfO+zzN55qW+fqoXo1gna68M
YTNgV5vEVPT9OA3wx6oWVHdmFt6D5HXP7DNvDUd2dhNm00TB8718iVix1l0eeNCs/c5oikPngHcA
NgKAHGxZ0DjaavY4nubO4d/fpk0XIBJYxJMksF4OnJFqRL8PRsjGJuo5KyljtuM/yoH4SDidcDSQ
0aECxIp/OUgFKiEDje7Emsd5DqGs7KhidGcycK8nBs0PhkcGjpsMsfjJOyywFEhVEeJlBPc8coO8
3Qvka5f/+sIYZcsRURIlMXWamhpbW2VdIKB8OhaRGe2uh9wYz82H1zsVDmAIqJDC0RKKc/PLN0aq
Hh/fPih2YtZtlGUGx5syiwvQlsuZ1/bqiNsUTcRUNpcXGoVOj7ih3TpswWbsQDikP1dMRh9djM4O
uMhB7oIPfpWSRD0z3996PpQQNvVbZAG0vb58vmHlBadAQHZFnvWUjJGxj1YDIHpDM73/wd4aihXF
+cJ9hbzIybRwq2zOafuigrPa8mMHFR6f18B8dhAY/vNi2jr30CCRUd/Seifz3Fj7XHdTUO46tbZH
7Mf+DLZ3Tnrw+nsxHyhHoPnfjs3T/Rb7LVyD6GplAvr689RiebYKJ7uh53W8NbKuum3WjdP3/lt8
vbhejnqyTySebmnXSvKdbWKbOHe5PLbjbF28P8rrWISiJhk0jk3az6lvvpwW7qLzshdcSkQw5Xd1
CStT+0sT105nXZs4rdVRrhL7wslk8v39od96QA4xbrYWMRAi65dDL+vYCXh23Ic8GOce7o7Ysxvn
MklvjkJSm+o+2V5ayF6O4hYTiqfEzXe+haen3bUlGjLzXF739ZTnTsNGaG+uWdTirJejtL5RN6bE
btTAyXk6Qr8crcNaDGV90deWlGe2xG1a/5XN5TEYjmYUzLO4RXGbfDncnDZO368YbCdr7xyBU6/3
jZtDpB+2XFU4zeGZafLGEiDrhwRny5sTHp98K+zVHTH7qtgFPtGGlCY1Kx8y1gUXFXmY0ZTfzD42
jfv3p8gbr5X9GNENo3qcmScfT4ot+OrnYpdy+BzAea+XST6R0m25zJ9rmH/jpW5oBEpyLDzjVaos
bAzth2lf7ADrpC2tZ4R+MeoDLFRzLxw3++c2r8+s8jeekKQKaSwOOCzCgpNYzvGVGsdpqncNxdCY
3FLy6ClpX6x2O/98/2W+sRIoXLHMSRRTzj1VUMnJpwqQzVjDuwRYszm7MQiaX//LIGSiyXPQBnZ6
HTbAEaPnkzW2/4naZ41hYJIJAfL9UV69NdInHGPU/cjZbELXl/N/4fJGcbFod/SV9/cVafedMUJP
yLTpfXl/qFcbJPPd3QpiRIm08pyq25qhGVJQzv2uaF37MUGZlVzmq6bBFX7CYIQ7Tm4VZLGjur78
VqgptM9MEUqorz4d9yekkgTImxKERvqXz8t1rqThEwa9do2SHnCx2pVV3c3VOqZl7NXOWK+Rl0ME
DDef1bGoIiOoDa+MTUp3Sb8Pc8OszU9rbevse16ixXAuVRV04gm+LhmKL4kui6a4wH13FL+auhBJ
EAtIX8CL8nJuymKP1a6BT3yG53Rv7ORMubc4yhCazuO8dKFoYy8DrMh/n629/dz7WS3/mNLo1JfV
wrkWGKw/1L/60pFTbE06N/eFaHM4Q4Upi/pq6oocqBNmkxTHill/XbJGUiBvpnQo/IPl5M0UY/I5
Y7JPhS0Ybo1qc0oo8HsOnkjvWM61Rx+l8SvEsj78XHIhtIuopSUK+0zeDBj2uRLF1PDj2yW5woSz
xprUmhr1ydTCo1WylfDvdjVF8jIutAyHz4uDneVHHC6FfVGFYUKCkGdp3ee+0pO97uxeLb4LfmxN
sY6Vc0EuJq6MKnT8iyEbhTrKGqlV5FXBbPnA5imQ+XEd9rCftO4SY9dmia0fcNs0m19V14DqPEpc
Ar/0I9fZGf/tthMf0Mu2yQeZhyti58kccy4q88hP9VCWfDUnPLBpw8J9e/3UeR2a1jDFNmK/jEYv
48l3q+IefEPH4heQAsIvbqL98Vs3DVU2xSSZmunT2BYkXaGYFdWQcZVNQvMCCJNcHrwcC2tuESnO
u9QrC0M4WAFbOBR/8QBtpZ9zN5h7ccA9QM3VZTXNU3bvZ1M3zxEtM4FzD06gBdsqq1TpIt6qssTY
ufaW9svg063PvQsbd/m0alvBXM9ndxX3AV7P1U+HE9tK4cSJIB13qxoKK6Dib7jTp9bLDPe3ta6Y
upKUHvvMiLN09oELQ74ezDHWUJIHCaerVSnDs5DDxyLRNZr1qfM2VHXqNs1zAAyhKEGjZpnmbKkm
X31jr5wtI5LgQ9e7fgqQQR4xh9dYUltFM4BxhM5rT0OUB6uV/B6HxsLytUi8kbYFobVpfA0cvY70
qzvLOsxxWoheP3dZuJpXMMKc9bPTDFP6yYZE2jzS2bpUO9gBQsW0Raw+oEEwn7u5zbVxW2PnRLM/
yfj1qRKoR7DOnjwGH1Tv32hdeM6TLIJpPQRJyw4UI7sbM2M3JjBiIajramM9gUfV+rlxahbqAcIn
Fg2RDwYCiUhTCLx5r+0BbAOe2Ql+nOrYZML1q9jIAtKA0WqV1AKAh9HFGcbmXE/rLzcDoh7skmxE
BQSkXRutc0Ai1GDcO5pi1Vg8G2ujnlFYCmjqdJQnzY1lpQKVKh4/yJIj3QZp+d3th6XLYx/Kr/Hg
ZR3GCXTt6CQsolUikZkiNlh3+okne5FlkbDScJjiTQ8xjle+WfWO/FC2hlsNl4Ossm46DgttwWM8
cynwvV1ne4l709iFV0/4FuVZk11KdusCjbQZSmih+Ne4seUI0ZXgClTQWZerXbN9fU4quMrTQ1Pa
fRnuxyb0lfl5SFruPkR3gWuDZJGN8G8XCcnwOkA0NIIHTFccpVWogRyMo8YSaBcKsJF3Nd64/UWP
l0deoCiUbVkAsLNU+CuoLWoeB1lo74/sAHdcm0Y5Gt/83BrbR+gRRo/qD7ESwkOaSNtfls2eHFkz
0UKslnyerw0P18JHzQV5ejJkO1THqko963oM8KKK2b6MH76sMTfKJ91dwjOrjspNTAwiVJ+acAZV
euslIANDOg8OVhWWH6mrddR7oGGO7iPw4hqkijcMi4WPcdZmH71uVjTudnbviK+WTe77J8+U21+l
V4ykBWhGCo/8LEoOZlZOcAyXprKPyK2N6nrUTeLuPEWYHpdFaPVf7QlODJzAuu67G+GWYQULNa/6
G5MTOLnrnXzRN+x3WPA7ps6eUii7eBqveVDfF6UI/HvZG2v4FS1Q3x7g7+X+LjO7WR+JVbWM5gUb
fGffC2CKbTiawx2y1Rz0dpov4Q+mbMucS0zkLveDZzXNL1A8xcbKG3gPkOXnwf6dOzPZ6Ui0g8Ws
Zo4Yy71r15SnRKOl96nRa79eZSA3aet3lqQqn5I0kEZz4ajRG/2D4YJbNC8WLgoJhB4VFMOfOdDK
+D2XDjDtCNCgM4l4lMKxfljDskw23fPN4q07OjRm3OVxQUrTJYLSkbv0arTZpkodMrtfxtjTTd/8
9qfaMKqoDfqRTtkstWT4vceeunvyc2zNOZRaJvqGDA5Xz4rLVtsuyhRzqqFkZWmwDMcggPdDS6oZ
9rc5ZtB2hFAGu6CgXdjPkR6M03ONLnSDyC75xNZolqBj0YGgsQTZQCFpaXNkRUaZO8HTAhWofkqU
qH+lTVcEZCuruSQb3JlPpiBjFtvMRTv2+3Sof2LdHTwg8OLEDmsjW+69Ri3w1leV3JSZnTUxu0//
NTAp/EajPZfPI6Keh0q3xS8vd2V90bWLfd8p5d3TdJrK/46FZ8CUEIYsc/SuGtVn0ycihYCUNGiR
+gjRoVBHzEwSuTf8BMSF3YaDe7GOBrIW5L71U2v6fCy9isth0Ia5IzeaAaLscDuIEeJhReD28PsO
hecmN9xudB11dbV+zwFohJedtHpYINmokGBLifl3b5YHL9Cmc3CMJj1y+cAxpNNlZyBqS/ps19VN
a8QzovHdQPViOiqOt2cbLWYV9wlnTOyWMx8l1xWuQDOqVhnrQU3lJXbdPgyLOUA7hlNcmG727Wre
5VqMy1WK5QVUo6LxL8p6kAt2NSoAry04hiJzGyqecDhH82FOiRMPZuvB/F1gZCKyS7MHtjvry2i3
DUQVHY6fncJPP7vpkvzJqOzcmwPWJ7wRIQwosS11JMMfYIfTFw6OOgxGglVMYzrvpgNxXN637dpA
hHLGortcWnp0DpMtreUzsHegFk7vg6Qo3FFRBoKSefTGsHb2iQ4MMBb8nY/bdyATrst2jsE/AA4m
Rmn9nbMSi6BL1JBL+Yn1HHnNZH0PlVtfp3a7LmCWeVERXTnShg+99hsQJi++tXyaPM5VJQ42Xd8u
vxZ2GenDrkH2V5dWzGWnPhROxT+ShiUGT8ugAdMD7/5pKIsiwZw9UXDiiVSQYBQBeKPQrLqPZeUF
2cG3CvxswnHy5MFuR4OSPpzbMGrXsdVwr1H2RsI1M4elX2PRv05196D8sXY/1WVamLHyRCHxpAch
FJUZHDPYPymo4i61wzRuUuUD3eF7dh/61bAu2rSo3cvWrpaEvyQcokvgPGtk0xkE2taXbGZgYZzq
0NSz+GghrWp/mG0JgSZgz4S3C2Bll6U9/1sb2Ge5n0OAYJeen7spSnHwR2FV+M4RiEogJmzqm/J3
udqL+u1huvK1rjrOkwJksA2CLAyHg1xTg2cxxyYmWnJw41bIPa6SZXCfLFePwVWT0AcQZ/acPqx+
CmyjQ3l/vcwJweWsFEHevMIo3nmtky4xplMhlovZkt/p3rK+jU6Y3eRQz51IGnYq2QzDIoeVNLMx
qtV0Pg+Wob+JtkzCCPJIbj5Yk8SuwEXiUH8th34mN1aOcmo+sCw1uPtm4eTzoCCLu4y49nGdBLYu
Rmvl163pTiEkhIH/bizbEkJsmgX2BZ/KnQ/rlKmRqdqEDzPtJsU+WXKZADmr5+wiV6L3DiVSnRII
W5D5h0QmpINXAZMUYs1ifnWU2ARRdHPCw2OK7EN7Rg2aLKDCVmuGvKTcNK2Pgni6+5IVtoq6wC/z
eEwn9i4qGz6UJ0WLZH0x0O96R+7NqnbUj2bzsvcluI0esAURK8ByQPWYmy/FReMEQ3dNrMKtreSz
FBckGfj/GMXkjrtxcWiFp4El+0JZv/5tAT3/lXWt+oX1S/ZdpWV107ho8w42t/S7tZjKxyYR1bIz
mFBfJ7sxQBSXdvM4lMJgz6zN1T74iwdcA4RiKHYuAYV99MzFLC/tqh4fqbO76Rpz3+f2tsrGfhjo
sdN7OpC6XQZNmLNAcGrFyHjxxkogLOQEgw0X1LmyvTuq8hhTrDQzhQc0+sZwEP7gL5+LJgzKS+mU
hMNyNvz9Ws2cQ9GYN7aE21SneeQJkT0XKZ3zEaI1o34sJq3G3Vz3iX1kK25vEVEkG5px9Wi7mUIv
clbILxFCivCPATLxjyFF+Gd0XG62c5H0Gu7v5FK0DEbOMwR20Iwds7b2icv1HN3LZha5mHX/XSlF
p0ua2TUoi3C1f1Is4Q4EZKIkRBbD5yDx2x91o4V9ZdOdfjQND+4L6eyhx4eDLPCBzpWyiws3QXuS
AUh7mttkZrm0a/rNa2BzeauTfA+lFveTbU33oQhVeeyIeJBPSpeuYr+m6LTPi6I/KKce831oLkES
ZVOub1VfLcahctTyw8eOFFqJ0PJnYeORgMtLY3u7ZLEgUBvDbJC4Sdfvo+HMtMp3QbNczOVo/1DK
mXx6enT7vWPzWPeQUopbq7CMP9ZUqw+zIA9+sPvR+z6nVfGYuThk0NJYjVeTlxIibcS2OdJofOaL
ChGu3vUqr/8svSF+NONSWBtwWH/KW4kly9iuVfaxyHuHsmk9N7/NahxAHOmwLPcasHSFcrOarkUN
+5sLgu7/pJ6TfNN2l95PHOF3XpXJ50y6QR3NvLWffi+H66XuTWL9hm8e4b+ymHFVCuLAqsq2tl1n
RLZgOBooKPfN6UM4cA2PiqWU3Kp0tl0TAje/M616aQ6dkbtk5E3cjA7zqOcpKvrc9Y9ULs1nT5au
hzfJKD46g8tyt2i79ElUcYffLbS1D5HjLxsmCSVBQLVJ6HCv7IUWDngz7dVKzRdqjsXFfm/1krKn
dKQ8+gXvOgplDUOonawpjaZxozEms+N8TPoge0J5UT0qayIPxMVvgk7ahT3gMxwYvKj2guWhrFL3
99yG1a0a8zG9WjIBAQ1uuCwPw1IHMi6nraJiJGZ6afY+fJ1lCcNHzvQ230GVaq4LOrzl5dBW3rd2
tsXtUojVPZhBln1JCVjhlaRD+JCFiV7ofYSnTgi4uEmss77fB+bilxe96TRFnDqd8yvo7QURUJNU
1846rE+OmjoZD+7oNdgdaaEizZc51pQi1WGes/Vrki56uWG3cOHSW6W1hzUjVdwjmSCc7VIudwkP
z9vRof7Kpdt+dEs7/VQONPpGuexdK0oFMcDOKrXxp8qL+pp2v20LJ3vlHYY57/yYLhp550s9Y9yL
twMvYFVevNKW9RFPNxsSZrd64AMD4fX7lLDdjUXlGJfurHjMkCYIfCBr5fsR69n5SYUv+Wx0zvjF
QU7/jTKBvk6rqVhimVVgsdTc/iITWN0NU1f/KNzVBpWtF3Awhs31d6FKhFsGmn90cCpMLu1mrALG
nTQzSiRS7RMDbHpkOknPm2XPIA9iueNDhbkHl30LVQS7p9/fzdxSVYSJb2Fed1q432Y9ure+Vwzf
q7x0vtg+JbRodCr5oxxxnYI0SP4zHuvWq9n2igp67jQG36kwEyRPWQjQxu2XIdK8xFtAHkZOa9Uy
3XRTSpBimJBVdeJXLW1dvfAizb3jWSDNeg5yz+F3Wx0tIQg32qMDq68EsTksXIFoK+Xyv8LEPia1
ULdJsEFBPEqxErCi5afxmG28TKIm3cTOuBZfkeknd9bkqTmquR+tcZ1uUVvvzO1F4+FHGM2d57dx
atOwfxUMevhuzdp59FY4ixxOa3PfNjL44qa2qS/DMi0fO1m0PyUS61vsI1p9yL0cMG2LC8ZXYyGR
GlmcwDT/5735AFyWIwD+J4ZSrvD8+6Ux/C+T3XGVQ0XsPGXzzNGhWk3XjzeUS3UF78q+rkYuycS+
djvt7MYUX/OgxZaOO0PChTRwMHIaiVpu6rUBk9U5VT9HLHHvhxCqSvdZrzA+KrgRx1Valh8bm/sE
eSBqyseqT4qbYcUo4ZiIEATTWPq/09pprtCvE8VUMyGGKYPlkcyy3++QIScqXgIRZLvA7RDQVyTE
sMqkb/42p9j0E+JW6B2kbK2D681E9I0s1hwY8TA+G70K7zzEfWjtGyxJoFDX1RCHeD9eU8qERkTh
Lf+U1qXs4g5AfYUh60zsFWAaZUfSTutPUyh8Fdeqs9dYOuZy4wSpDjkKZf4Q4MILKq0DFXuwg8k8
8I27lciNVufaGsUz4iLa3Wl6t8adW7njTUV3nLooqRI9+gKC6xWukRyOGWF1FrEXiYswM5b5aKSd
7+8GN6BL3U3ZZBySZVeJWa0fR1n14X5dsvJaN3pwuYC52o5CkJIfc+VxqjV+ShmzmobmIvcpFO1X
lIdf3aRbv/fhYvQ7vmF5My3SMnehArsGlCmpv0hRdj/CunLS2CNC+UmRQd8WvpLAFO25+SAXLao7
AysGmT6EHUng3dLaEipPMuXDs2lrMIPsAM70wUms1NsFTdDrH+UqjDFqSskqEIHkKxiE6twMR7u0
j5sAgBbnfAh/em4+NPt+GFf1rJLJ/BRQOLzQs5GxcNZ5+trWKvxZT22VHQKzaZ4wTne+TK0ohljZ
on42ck7dyODG/XkVBcS+3gvbgzl4zNLQmxTA3nEKg/0yJV1+MZDrhmvbOOZ6k1YhMcvKtfiT54yk
F83FwhnAJoFd7fKuDJYIq9IWOG9QANtEggQqbME4Aev0tRHRMmTLs3QKwlDLNxt/X1f8mF079wy9
BL0/7oxVL7cEzz13WV3pPq7J6OV7uvPrmpxa138XevaC9Ge1bikFbfT9fVCIINhbAYqTWKleA3XM
3YbMlD9JIxZ6WVsOlW7o4paa9h9L+wa2v3yH3LpwQ9V965MJl9PEn3o7JsfMtUb79kSmR4ALhblo
iQqLTtsmO4SxHlniocvquFlX9w5iankzGwJk+yIVV6F0RbYXZ8uAiXw2yE4dLIsYAwVMigy47uqh
pECzNA/FMFkASNe5/WDaBXGbLlajPqxkfZ3Ya3Lvvq5QDUSLnjoybmXtf8CSzvYj2XnTLxrilyki
GWJ0O4/P3O3qQWQkrLowvZs1xjgRiZLSOM6odtXOXXDnjN06DAamjuXcViCHHyiq1Nzt4aOb2/Zd
fc8XZ2Kbxr+Nvw7MkItqYs6P1uqEH7t6kcsRuX5xNzapae1cPCLuZYh5I37eEsf3xlMW5Sozm4gE
jNEyxWEKSRk9Qe1O0XgU6WzGbQuf77Z0Sq5qLsdgHQVycpd9twqMO0W1quo6HwLzYujgL0Yd9f/H
jFklUdZUQUauwmlTNuOcBZWjlUmjBbkXF1HPTY9TagfrDmPijlJmUsg0CjAdT2JvSpbvTgOX8Jhx
S70kp2p/bH3l/cns0JnYt1IJ+50J5AN+rVbjUK4AAndDYs2PyhW1gMKX6xFvDAfqo5/lfh13dYfg
W+ONtQSILuxVkeZFD1t+UPinuTF1WtUT7avgliLR8DlBImdQ8CcVgpetWsn6mZJCQK76VcQ6GdGP
mjlnU2U61Q+Rgc6OtROWjwkV+m5f+yLUseB+cBcuBZET3UVDFhnGuJJn1lV5mdgWfb1yoSwTuTgz
NDufyHWIJ2p8NV9ybbkALI47xG7ROZ/CweRebdJ0+UDJxySF0ZsTgdA0lZGENF2wCmR3N+WEvDv8
uMvLusyIMeZUzP1uVtn8w0q0URHvqe6mKOvKvLRkIh6H1QFPSKNxHbkyCcmwGs0w7Guqfbdr65IA
y1JXfv6vyBCFc9j9tqZh+SggLj+JpO2r/f9xdh69cSPdGv5FBbDIYtqSHZSTZVnyhpBsmTln/vr7
cL6N1W6ooYsZzMbwVBdZPHXCG9ymTt5NbFhRAx6m5W2cRXNrzEX0XpdIeFAcGMFtNWNu6Mug1J+G
TKHXO9B9OrP1Uv8V9IQ8tsoZYy669Jt+KpqfdiFozC/LgOJW70QZlGSkXNBrS8wt95y6ZYLWPlCq
LpVvhOb8DEha/CyYTHCRudHUelkvRXKNWinzpLCrh2/V7EQzeP8F24NKt5v3RkOzhWzdeheIOGo+
xahzo+tjQqe3mdrvYsrJrKOu166zZI00UxQF9wXXJ96ZnRwuGY7AvgXIbAsviFtpXU/moixGM3l2
P8mZfJcli1t9EhayhgP3nWMPBKvGtrSH2imS+rINbH1iwJQP5ia0MTekk4EMDM6VCqksE4UVc9PJ
Yv7DE1qDFalm6le0U5/kGNEsTdHHGz1T0fYIkSYxz7gEJX3tPGAQri95eZ+uSgM7t9DnK8KeUVB+
kN57liPKP4HIlfKLKaophQejfEgmtx195uVxu3NVgeiLPsXyviEF0XwLlM9dS/rfEA6ciOET9JEe
ZvykNSTZ4YT6e5BXA462Mz0/McT2fI7d5fjumEmivFz2Kvc5JPPz0CfiMZRJg9/73DSvRRrQrR0w
kku9fhqqOwtp0l8NN88tnWZ5h15vqd/VYOEDWnZ5ivXGOiGekkI2PwI6f9o+Meb+Ltdkm18GVrfg
Dc7nZe0gIzL/S8QqeLxqDW/ztiWXN5zYjUHztCL2gdhGb0VKbxYSZUNBK5o0ZUxUpdGdDhu23zbd
0GzDoGXEPwHl4/nOOklFk2nWfSrTFIflJSRXKEGDvml4pSfboiUU+3MycWKdUrP/dIY2P6i5H9rL
yrG4cmY4N9K3B3N6pQ9uK78FhLy3kL2NzmMFPH695tDDrPAuJf0rQ/p2yNDogU9bd3lOpkG+zGnm
SG/QU3EJ6b18t+yRxjMiz4itJoyAf/SZPdhepuXM8M3Qrs/zVvB/zpuhJqVVNi7SdeqYf5h7mEw7
QBGsw+IczlWhWsosROO1X/ROaIsXBLXBTxkf6ldzk2vfM6FqfSvwK4z9MWbKTx85YBhvR/R/N2jJ
lQ/paMxvE0iuFzaEQwvFRlZsbdghlq/qoe32I9rpuMk72uiVHKFvZEvF/4xxNRxDF2HsZ9kZL5pZ
xE+gVKOfPb3ZF6Q8ZbRnTp0/1UlsvjdLGU0eSY9Gz5/Z3FtV1up6cp16bLbm4MpfAMerxdODBBEA
nChUeq6l2fijwLoL8+KoCJpNBxqEgwyx8w/f41TTPayZE8dDNpPigbypt1YqomrbNrG6bFGbYNw0
FQoH5pxOgCydYBM1ozXu7HgBTRj3piaoGErRhtehmeTsmcmA8CfO67wr+97I/Jx3d4HbqsYsGULm
e1qN3X1VLCS1ImgDE2PhSRhbszCnxK+0zNAulyBrsG1davNFYFwbXBWho3c7fF+XBzsVsvJdU4j5
PG4i/RE4LMoAmozIDewSDZeyk3RnwjUP8MIgqG6zwqgygvtYfBMN4zFuadw+vEVW9r3WWkO4G0WX
4wtMduTHBc1qLxOhyX2mZ9VjV0/mbzgX9GeKtC9tr+ng46hnhZKhvDbmWcfit1Gx8Iw0oNs0hKZ9
C1a3wiuYe3jZRJ1TE5SE2UOvG1CH2IWYt2RYrdZ2cqkTPug8R3Unt/hUxo9JGs60e8xRxNsSXJKi
nafTVq46a/H1uQc9LPELfoLXZeVejp5FyF9vlo1V6EvncUUy4+i5ad5bBHQVNq+uvLDGPEjRsHSt
Cyt1xERDf5y+RTzKp2pZIBlPiRuXvkiJfXhU6xFyw0VZVztaQuFdG636HNloySes3vsf8D34/Io+
AIAy59XUbiLltMoPRQUUQwWOft4mfH+v4AQIkMouGHTpBsE2Jc3i4yz0pvJkTIsBcRPAkegmthSx
sVV3+ALl0thnHbpv3AZ2sFUTRQRm7bO7K4ZOJFfmPAaW50zahI/5gDIRlvA0VM+c2TLfK7OOfhSE
lIiHYPfnpSQl2jhgoNTDkmb91ay0Mr4iO7Ouxkqzi705FEPsm2YOqIbMgW6NlINsNvmgCxowS8jh
iUyzfBnmno3URhze5xRdPyZqAig+okTgYHGq4HvqhNUMm3KxgQFxdSRbRr3NZVWRpuxyeuqpn1Vz
00OfNXAd78fyl8iEGV9OumWewb7uf1lDZm41PerrG1r3zLw6SJEzQam2/rhDHv/G6Tl5z+i+PqnK
AjoRVCj6+EYakr11Nan5BhtfddsB9wAhxgwWHaVhnhg5DCr1Zx0JckQ3x+YVJ3mCYB/RLecm6ezG
T9K45VWMNke/c6pCeUXUqicX6NFrlMnpSattB39pvZheCwSi5SaJBnFPPrGAUKn58baTf1eqb57S
qdRcj1gtEzhQ4E5AjqmGpGUOqxjJIwu75YXpZufFCMDQakA9njZXZTeOJ/tJvZqyU98Nze7vlaBA
9VpnaH/pWliQj1AEVZuAseZ5zgZJ6YLeuIxJSS0/i4e2BLOCZjVinwbCtEMFyIJPP6/23IXRm61G
s0Nael4MdJ7q2NookDDxJuABSh9Yrs23GnAO/Fg3YmDLaIYxP68AbHlrTIa0wgtWXoOl1FXh0O5k
IpdWTwhMZb/TaWhKUPhLdltkZJ7beQgrxlqMd/ONmwxq2k0JY+16svLan+1UsbMAluh2CbhgmI07
088q1dJXCgJ43HEulkddzhqsFVGPjyqckwd9HiRNIzkyheP6KCsfvAaT6czpytuhC+qbXOnG96ag
0r+n7WQovwZ59XOGWfcSlnP+rbVSUmwQ4AmYsDgwniJzxtpczrFxIxhzR2dlEdav0VCuCERqkNQb
kXHr9r1WpMIbepf7Qsx9wjiJYeKjZQFqSSJkLr2xLrr3AcLFT4sSNCTfMPg+DZIEsglmXO62tMa4
8+t2Cb/LTgImqpjorI4aEeMKsxx5znGO9LTX97q8n4xxus8xJqtoXarkFUQdRcjcDb8nkMW5F7Xr
KW5bFZdnuF0XzyUDYQ60m02xL2gMaB6zg8j1aDrRilqsNLqOuqqw/UbpDffwyF/a1ZHqI6w9Iprj
GGDPGG/nAcChNpy6+7ANgFgkK9DeU2qMZvBovXimNs9uDZNWN08+EbdV04V30GkQzw1koc512dED
blaIEh+caSIQmZa9s7Fpqj3RVKxetHDUza2tZfRlhyaWN2AmC8uHV0LjinrNYiqdSHv2ibOAN0i9
ivu5xx5mI2qDFx51jJI3fAKwPEIQe88iMqppY0SzdjYKxu/E8HB6dSozeDTJYnhOlujfpLEw5YcQ
H2MxI82ZQl2M0ZMMYjO4QJJ1vC1qFGN2fAoENqB53JWliQ8yE9ihDsncjYZ+U17hNA6fprkSitji
2V3YpZsuU/XiCWsObuFbDA+D7nRvg+pUcybRDLksMkbxZG5lwFhSma/08UbCn92EZ6UBw55ebFzu
tbEG2TMpUV2y1RZog61HkT9DuXqPOT+sgH77rtVy60+loszaimYoXtfwQJXGzAMdbzKJczuYcmQN
mZe+1M4o4TtERlhwQwmH9gw9ipusgVwAPMYKbhY7w81voREHFiFaymHjBmVYkRKp+GIxCzrYVQBO
nQYG6I9dLeb0JnVLLs+8zked49MYF6nJzAnNG63MqKGs9EHrpuTXWC72zwg8OIDMyNB+tEtNUWRm
qO6oKQJtE+oaHMOw1wLScmswfnAKkyug+L+moM1q3ygqsj07Jj+3F0dHEbLItLNEr8AzTQtDTgJ2
UkfbxCFl9wZBJeoljOsAG7mjfg4oJ3K2KN3hy2QVwngtAMMRrQyu4aQYtLOorfkkaPy7d61eGXcV
HehiE4zG+FLr3JocPjW+6QVWQ16SJtbl0IL98gq3jJ/GmXEZPanRvIaDPXLCAVdG2x5gX4M2VKWo
5u2UKYbVSO2CF9eA1Ugn8Zi6UwiQbQUgliZuQ/uhHmICblC8NJBIn0ejLW8KLZ6MsySrtF0hpk7t
Ca516ttd2UUK1AQtQayA6Cdkw0VaMP+U6yQRTJ3j2TBKh7PJNXPmDXlstUQgnWYvJikQHdDJZ7w9
GCnfEy8haMAxdabF4GNwrtMxxs2sNWiPX0Mqo3tQTKll4yvTgM+lLUG3gnsj6rZDZWfGDpcgWtpJ
bzTPZaKP72PBHYQiFxPnTdLN9TfblSK7AugbXyZEi9y3x7WqYsbMjwAuE4eeTe71jA6puIS1yBjb
XsbkVUVqfGfGx6pN2qbuhr5V5tw2KqchjLvhQj2A/i1T18Ixmx/w4CrzMjLL+Dugg64j4RqqHshM
LMCMTFBZUr+pQGCdhbTU2ivotO31ANC89x3aXcsZ7ohVHN0ya530RxAWyxuJ1wAefrJV0D51YQoV
ZNsgwWWfC0b5r6h8j89TaEz9npm8U25cqmIwFr1AHZL6muZ2aC/ixUUSDdkux3Jvoj51I9BgkUNy
XZbfWsb4AKu0WHsTwCOKzRKnZrAFHOICjaI0zTeqBSPEpHv9AFQ/I1aoF85Q+w53ikWGbYM0Y9Ln
PnZl7dwvvTFqDCsXtglDud6DtB2vl6FdaL8tRIYNg5H+IQQ03TMfkmlNT9NJn2LkEYxNX5YNqj+g
AEky03ymV9yahJxGphT9DsAQCWSs6zpwKSJKGTEIjg3zW2Qc02qxg7Oa3nKMSBEJrl9qOiNDRnCF
tUN2rEKbCSk1Z0fnPuVuMnRGcwoYOZpxzUK5XDSDztDKEOE3ksdx2EYoqF4gJiPpsGiFEBTHLcd3
nDRUFeoknwMvnQnvzBFp+JyjCk4xDeDEBtu1JPLVTPUU/nCBjCZqq0M6bXJjUL+jpSAGihgnGk8Y
OT1aNwED7PUE64cmq7PvABONaktVPz0NYZRH54LEm9lGXBn3dqijsDXJihPZWUUnmRpKeT2S3LzW
yeB8Qy7YBXyEU1GwzdwFSudi6N1N48T6z6jUbXOTJJN2vphhWd02btncj3NhamA3HBDs5Zra54GR
Nr7SelBhZOQC5nVhtT+KKKPOTZAFJcgD4gw2dMbVPeGAGRIcMyC5RpEJAfhN9HeEqWXwjSQF41gl
KBqN9X/3gOrcwSu1srsmNDInBkcUPMPEyM5mlFWnDYAHxoPAfOqXGX5cu6kBvNUXeKZof8KpcIy9
Jujx+bQJJFeJZuEeSXARzlaOBuUnwuPd7zzU25GEOg2f0Ngd7ueoGbhhKit8rbt5/hPawOx2aeOm
by6XdLO1+LCYRNSJUyNBk9jgQmdSTp8Tz7BbRYLvBhYDiR+ld/qLHn3xWlZ2PHoSafgnprj0aMa2
m6/LcnRf0X4BzcPE2KyZAiwJkGVDOL+zJF/eYmordiUzMG19bg/KT+LE7NZxnjn4WmxnP2O0XTHt
kQt0e0WnjqlnvHI62sEFLFqUSw74RNN4+SFju4t2nPXO02x9NPkOlIhAGSVhs3UqF9g1dwt2Sk6o
ltBnIFvf4DqmzRtbs7QrMywwG4jlmJV78sf0R10SlUnigB71ekXoB/CY/wJumtzBa+3AGcZ6LrYg
woO7jvgU+aT5kjItLvtvOljx7xWzm0fTYo6guB2v8jIzHpLMUMV9nYw9UjtuPMxnujNM39qobZFB
XRoDGaAq64L9XBrJQ18ZLZ2ncYa0MmsL3UZyF0RTF91JnS1VkrC2sSopF6e2tpqN3vHVbMMunoiP
7tgU54Wa9B467qgcl96qSXwwjY4/jqDz/KripRI+WmsligaJnJM3pwQ4sUciYwiuB2ocAF241D9M
4ObeFaUBr1quYi5FSK89UBFwshkEDPCGTsvexmYKHgMy/d+IQq1t1nkaFYGAHHALFcd4gQ8C0iOH
HvRSxxMXedNJd19nY8qUFYZQfjaB73ygVqkwNU70Fvi8CTlolEst/TaDieilup5lIExokmyCAJoM
eaRt39GbJts0YQVcJg3wu02MvaTD8KDnegJcYzzpcx2/TQ7IXj/LbLJc2H9N7deaE9wViQJnROZP
ksvYNUp3pZFb30SuA+TpEQ25a4XsFr92gn70oL+BZqpsrXxM7Xj+6fSW/GYx0NK2Mlg0sYlcl+EE
vlBh7KdNTmqaCaO4l07nPODcWL5oojUBLJVlqPvEQ9qHOMMVV1DSRAGvuTFe0ZMH8AkcNz9vIF4N
W4nue+fze7THAM7zxbKMJRgRGqi/2zQOX3S6aSBq6ymPmcRyxDzdyMUMUnBYcZcA3AAHAIH/ERRz
pDYgkhbG8LZT7UHY8zcNsHUl9x7TN5JjIPleb6CTtg2bzr7pElNMhOpMmvT+kuS5qdL40Q1S946x
IR2XMQgWsTa4ptJzLAG1ZYoV6f5MZHslaaDU0EFZel0J2cGDWBW8WRGtil3r1onazGAhXHBe3Xyh
FitH60Jbb5hEq7N4q4aItmwGosPYytyxb9e60ySo9Mt5W7Zh4wf9QG8P/Sb9qh0W9T1MiWIeApcx
7kOUJTunqUhnEG9u/owQ/q7iOu/0zdBozMtjB1YBT5oD6ZtdHWbesMziGQIi73iakUR34kU+GpON
VEsN7lKnNUaKhoNOqUO8SQv3vkuDxfQo1iOShkBKPghNF9/H2Fi+B/HQSwDha58ZMbj+VSWtUfvL
SB/GX3CgCFZdwZmBGz2ju3yuQgF8lrLamw1bXkMXa24cNwRwbMuczD5UdodRlFuNE5Ge8bzezox6
lykdgx1AURWeZbJ170URoaLhukzsL41hZJrBOLzdBIT9FooFd/25nihXeG2Hj3JXNIJatGPsvqVY
LRJoiElZ3uuzBBYAZqyFRBNozLvgyPXbeormatNok1S+s0CB9iet718HYxTjduwbmezcyE35piLX
ItMCgLoAnwvDZCNpCca/p5DGzLZfhBz8vIQAT2I2p0Au3FqPL9Afc/PrcYidOzNOs3pjDEsGTasE
Y3cL5Yehdg9PgYdRG/lvmRay3c3REkybeaJltQsjEuON5Ck2m4UgTm6RMKXiwWaVkHSF9OAhrm1y
iRrrCwHQcyAJmflW37Niwkw9hvfxUHYzCi+rDcA1hgjdM5hZxRCybK3r2mTu7BvLXAEtdqoELUYV
SJC3RC5PMEi5kYEE8jLRSQWJNwLL3mTwh36XQTV/LzOZ3CpQ6doKGKR3TDfWphAtqz9OMFD80del
V0j3kIwrMRnYdHam/STjGzufEqUgBR0a51ZWRi33gXKWn6EYtWsopoN2CZnM+D2a0libMxnwTLyE
wnMaw9HCfFQrbiEXGBIMv9FHjNkxOPABAfFF2VOi3UeYHqR+qTRe2KBp5mPfNoyV695ivJtqrXs+
i7Ab9yPv+9vCDT6dKboZ5wndk/vOGOghoXHWXwGI4JYsQZ/ckB1wXWRaWw7e0tLE2Dtx3dDA0mET
fKMnmZGClIMOXqpInXsrLwHDct2Et3UGktgbeMo/QKgPt2uhBxRHy+CDCVG2d/Akg19pRQfZH4yJ
CkNNTgZMBEuVFzea+ZjDKppt8FkZ7Yo8QVh3ixqe+pXRbEMZVq+ix0gVHZWv5tYv6AxZGU22IvsV
yroBBRGktJRgc2cVmPSiepQlCACCLPgLZaJ57MUthuQbvuL5pztby0Aeb4AFGWnVmqBwSBvBSavs
QcVwGXymUNab6TT2PXdQa+zKIGTOzdFttloXNqT4TWVU/hqd552e0NzZJlNHG9t0FoCRkZPfrhjU
eRNN9XRN5lK01lnIRHveRko6NdJytbhuB27Ns7QsjXOHnojuOQjMU8KXUyVvW8iAv5tAW26t2Mk6
bwRY0Z91C/23O7hnAdqmwi55NpEyyy0uXp19tXRWVj1RF4gn4dIYZQxUaeDzrYQstxsr+ZIVi9LI
ASmPfrlhMgiP8guMYiAhTe2rGtT4DxvHUJeRi1uYBAmD1hg425AmPACgeP4OunTAb8OFurQzKrg8
XtnP+NB+zrhetQT+FjfAPADpT+QaNETO6EIekLszOZtuDfCHgbDSf4q+DLw+rfu9nY7TnRAZYq8i
CHl1Xb/J0l7uP1/+kPC9Lo9PK3R8BxlbpmAfudZwWJsO2EruQb2iHMqAMvdnGihBA3ZndcuMwvUW
U4WXzZQBC/588UNXMczlWF3XNKaOhrXqp3xcHZ8wy2R0V3hpwJW7bWTAh5RjCbhNqSpiYE100UKY
2czPYyoqOKLbtABtQhJDw7u2uucTv+iQe374iw4kVgA8B3WT8zrCUhGHGWFuktDVfVKlp5pUmMDD
LLyBjbbNutFE38uZ90VBB0AfQ6DhMy0H8CTuiSd1KAHw38/CwHBVvZXGP8pi9USE7hUlcZGHtFvh
zoUAOzK6kWlbWuXm86dwqA2xrrYqfNiruimYmAOZlGpUBRbvIEGAAztvKrYN4HHQpUgLJ3N6w+RX
PyGic+wYIrknLXM9g9I8kL4AINmWacscHjqgfmcBMyHNlWBxO206Bz3n7qsC7nZpWF+zf1jtDS2Q
xtZ6AllfHpxAp4SBCP6FcR9CeFCuaP/G1fdccRec0wlitP35o/13ox/XOzhfsyUgplQVxMNCG1dR
1fl6Zt1L8BgGWPG629ROXT+4ZhbuPl/535PNyojPmIga2/hRrb/sL12zdjZLGStONg5J2kUItpWL
tyq/qNXy3/PEJJBjAyODJs7HVVg6NtyaL9oYZXdhrtA3J5cXDOXHbzZ46xPn5t/vAvVtwgfTYwaC
vM2PyznKDdxccFKbjtusozXs03H8AblGnn3++P79JhQ6GzZO5Ix70PddH+9fjw8qV9NMMXdDUOv1
ORkMXCzow7EPwBNWckM794Tl+tEVDYSYYMBDTThUL5RU2HXe881XkRh/BTONLrdL1k5iE6V3qDU6
J3RGjp0QrBMciBAO8k+H6uIjjhCKyS3RuOmpV9ylaqtNZbdD8f84ilgQoQkvleKtHTzLGDA5GQXP
cqntGqxz54I5muoTqxx7fsiVS8BTuKCAif/4xkYbnG4asUoHQsCCWuguZ0mkN9uJHisTfHphnx+R
Y4fR1VzQA6RlRLODL8wqGzOcnfWIyMG9HwuEQfwpDG2x7TOSmhOR5FCkaP3SXMPWeIoK1YhDm5LS
7TNyYJjHjQzz15iBHvjQFOjKUl05bbHaEYtuePp8i0fCFxcDImSSWInxm/7xmS6BsxgmIFEPTQEY
ndIO9u1Mv9XIk12dBQ5dCEPtlQHg8cR2j7xNRGCZNqPJRHBRB4nKoMdl5NR86W3QOy86xOuEu1gO
Z5iV9bsQfvT2860e+RrWhAxrFkNyJR2GlnZ0OzB2GbMs4KEbE2XLXS+MU47kR96iraPoZklUipB+
PtgWcjVhUqzfXKCncgL1nrbJ3mhbqe1kt9YSsoUSFck+cU/s7+jKXARQ2DALRC/946sMwP1PHW5g
DEsG7Rm2VUp/Jw3i2xlnjDdCO1jXESZncCKQHvlKWE4juUDrGnjb+rv+CqQNjHcbginPNa2mi7bQ
hi1CsOLepYFyIqAd2SLqfwb+JXwpq1P4x6XqTNOX0czZItS/jWhAlk1mA+82Zn50X4FSfk6le0qu
+MgG3VUaHvsgkwaKdvBK4UsjwTzwjcS8u43WgEaC2RLsQw2SwpfPqAvkw8VkA9cbNDA/bjCBc047
iQ0G6AFt3A4Y01ibp+Te/v0SVsMFDY9VE8E361ARUBscTDxqbGAE+gG36ZgC54uS4UQmdmSVVRqP
fwieKOgfRM8eukpemC6zaBuIaCULE7BOZJ049UdWwc4QaXkkFHUN8bOPT2zSomEiewdjAWYkv23Q
1ik3ZSO66MQxP7YQCSVi9hp3HCfh40IMlFRY0D71lhFh0jjXGx+84gnB4X+D4n+Ooshl4Q5P9nOw
G518ZZwKepxsN70gdsbzNm6Bf1QTpP8tBOtqfvnqkUOLF69GEOrm6qxyEDZiUN20D0iYDaOiYouc
alfN07T5fJUjG7MdwqLSuNssyryPT29EvjVs0ppK3K2ZGGaRfYWXTLtz7D7yqyk85c1zfD0qAHxM
Se8ORfEHXettm7YOCATRMv7DTZThahBCtEm0pLzvp8b49fkWjxwQtoiLGZcMkv//VN7I40Na4UHO
URFD3C0ZLpTd8vXzjiQPfTHTWKOue6Az7LYWFHc4B16facGdM8F3apN0PmFe+W9aQCfK5CaxuSph
xB98u4EVoTa1qmcaONsB1EaUBdLM+A3Evrt3RwcKbhpOTPDaLt9//hiPvDmyLeQCTawKJa2Ujydl
iLW4rvEr8UpLhc8wgMxnmHmq3WUlqh2elYIo2n2+5L/XCr4UPMp1kMPleXhnR6NeuCMm2l5gFMve
BJT1MxMMJK+ETnV+F0DglV5ZR7RzP1/4yJFxUPV0+AAdvr9DqVlsL8lfkRv0hqgTN4mpcq+tqvHL
aSzbc5G91OFbofh9cH+V1QSV3wH35WZOsYfWGKDxJgqbTyHLcvPEAT12dLiaaQauTxTM3Mf31xs4
YgFTpSx1pniPtBfQuiwWiNIHdnKNHOF8bdKz2xvk1o9ff5w2jxGzEYfjY65H669MxI5pXYeWCfgf
LNOdRPJpWyKpeKJEPXZAbZ2SmBTSpFI9SJmRfKoMBOcBJlup7bXgFX4aE6KewG/rM2gi7dnnu/o3
/SAuU0mjc0vVQ6j+uKsFNZUShiDsnjwygUaqkJGkxXQWqBdCWSeO5NHdUemvGQj/dQ7qfdSpgIai
0oCKSwCPAHdghiZt6U7ZWZqbWvuwwP451Q07suhqlELtwxPlHj+4HRYdqHK1wLWZcW1jTgWNawYL
X6JtE+b55svPE2gCcqXUqlwNxkGAyccUpi3SOtCiOghGfrxMdfYM/8uuJ1ji86ifquz+80b52BNe
bVOorhyeKynEwSuccjcKLcYTnsu3l2/jodOuxwkVMTfuirPAYXwk47rdR6Aj8QEUjKi8cLYZCubo
5J04v0eCjov4CXHdsAjwhzlmNILOxCGqBF/ThFvMdIHxhajFf/6Uj+/5r2XWY/3Xx5hYXTZoAQ44
wbJMltf0q8AWdpHK9HPD7W45zeJcG5mxORmqtVXGOBrxcgdnnkQ74VV17Hzxxv9nrkB4OPhkSwTl
Alux5RD8uK9ArL4bTZ0CC9PCi6GlTvt888ceMQ1wLhSuz9XY7ePelbXgT4E0o2ebRo32Giwie87H
E7s6EhhI2xiHIJBv8C7XXf/1hEEHq2zqKRaQ0atfgiRklljr4Svm26fygaMbovBaVcrB92oHDxCF
ZEACkqyjwUh8EzSgAhnWRCeyjqOrQCwh8ND/IIh/3BDcpqDSsU7FKjiMnR1SRarfUG7Bgv78/Rx7
clj4cL/SfKcBcZDLN2T4DsRWFhKdthOg0zd2Odj3Fazhb/+fpRB/dtfsGh/wj3vK26ntXMFLqqau
unWCLmLK6QDlBVE0Jt//H4vheEUbjjxbHpbiSNpEKEST9Q4MYXZ932F+CUp8M3RZvvt8qWPvijyN
WxBJZq75g32BY1JWm9O+MQwzv0fOwrmxnME5EavW/8th4EQo2V5bRNwQh3rMRTZYc7xw7ooW7KTX
gxc9JziOTxFdql3Vw/j5fFvHTgYNP2CKIJaYYx1cf0YHcTy3GJ+hqVX4yQJFrkkwCiO5j068rH/3
RstEcSi4+GhnHO5tVNLNWnDVK6O62UdBfV86zQVwOetMa+LhxMaOrOagvYyFAr4vK+Ts4zkce0Pg
OM6I3RyFdRHmrnjE3gn6juyXO2T6ghNJ57/ng+66xDyHPEKH7XrwLceaBWhflBDbmbO/VHKZ6bvp
48Pnr+voKjgd8hnTz2Du+XFXQgzWtKDQBKoNFVY1hM0NMM5TvkpHnt2aCzFsoUKg8bz++V+BlpY9
DCkHbH0xzMOdlMEKm4D5e6Hy0fqh10H258vb4gjSadJRrGfKc7Atw8qaOIyoC1AZI2PP9d9xYX/R
p5ruAkWBIiwR0Lk8DvNKXSA4USwDNV5poKTboh9Dh1kVPnAMSGoa7+zE1/zv2yKum1hwUliSYh4O
BeuhgoUzuGD6srq/spckuNb60Ri/HN2hVWg27uU20V13DqK7k4P5AQSSoo7Rlds8zd+XFW7WWMkp
K6x/NmQZkjLc1qiTdRzMDz4q1H4b0WuQEWU9xy95Kapt2kVf7tGzCvUp6cRqmMCGPh4/wKAgvm0k
h5t0NGovLRzkcMZ5TI3roa+A7iWtC5AOrjwfP2qX9clZ2bF9rmGDspwIwtTx4y/IKHdW0i8IpiYD
LxM3RnSlYjP/6v3PdbL6bHExczMTGj8uoyER36u1lwc1zNm4xvheADQ++/zbWnPtD1cKbc/VMmSd
h7vrvx8XaeKibbrW+tnDE65KcW/FZ7lm70qpe7jekOBA/MKz4cSZ/KfFsK4K4YjerlpFgw7eIXhC
FHsn6+fUX7iRc5UPW70M/MxKNsvy/PkGD5eigawxgcAoh7YrLOiD4BGjLbEAD4UZbE3hDYongd+P
+XAp0FzfOnkAoIzbdPP5oocn5L9FmfMz19RJMQ77ewnKQ+ZYTpGHhkd6D0cg2y7O7JxY5fB2/t8q
DjmvYazmegffG4PoEElgthZBdRoBloi1H4uSkg+3/BRo4shiq2EIXDSm3thkHET9piyxKjNXRGIU
sNZYOQ9caNyYUxd88eCzrw9LHRx80woCe6lZCn7iCJEhD/YIrHw1ZVtXof2DPwbNNSLJQVzsexmB
vkehkSBj7kcmxwzcFnv31ZPAhBYmBHGKlhNNko/fF6yDJTEtCIpBXFVUsW2EymL21cjL+OfDKgdf
MQUJugATxSOioIGHdtaLlsqXz3fy7wGgHYE8q4O0C00l++CtTJno9HBBTg3jIuu3nNB0yCDprtoS
9im7pP+O7t9hiQSDxWgRMDJhyHToUjeik6DmgVEWk3SUZMgZBYRtu71qRF7fAMAtd53V92cIwOr+
FCf6OUq52YnY+M9XTI2M74kEweWsPM6DHec1Kut5ZD+7MSyAGqlFf7LSU9nU0UVAefBMGdtY2uEi
SL8gJRy+pHOdu1ujNsyLAr86d/+lt7eiYhSFEHMUFsID5SBW9Fk2uZE1jR6GeBHo5cr5jnYKNFKV
RCdqvIMd/W8pslzsWpljY2n48cgbgR2nBcmtZ+UQwFs2uOkzIb8WJP5bhfnPf5vBBvP/qDuv3ciR
bU2/SqPv2YfeDM4+FzSZqZS3ZW4IlUpF78mgefr5WN1ntjJVo5waYC4GG9hAQyUFTTBixVr/+v5j
NcJSVaCkyphumxgrjpau6AtNXk5V7Y4lfH8PQ4lhNeDjuGocPTfYOYIimoSUXhjtLp2a+QKS3HBl
DJGxjTkw0901GTRj0sM1Zhip0Cw9RGcG7BaPV3rqQz/6CH9ejkk9YP0ECYjf5SPtUgWjBy6imqfc
7fQsP59AGmwS+ttOmHL/1Ia9+QZ/joVUTmXiUMAnNj58j7pegH+eeY9x2j4MNPiAz9K2S5jtwBbv
jKr9OiTj10HBQkcP70tj+DxRhp6J+po+O4NNfypPsa6VRxfERm6zoTsqUrpjxRBtFnTm2mDyZaV1
tNcCBmy2LztKnTfwM8tskyVLod7BhUtelgQi9QnF0i8e/mplKyNXQjQBgO/wgYTtog4gQIWLPAyO
r1lVPhri2m/iNPc//lx/8Q0dDLVeypszVqPMajyv0y7uTeksY0JcEIwOv/+lMorDN4qabd0LD0dp
aW0Ny5xvaFiieKM6k7SpVXhT/xf3wrFKoQ5IJcI8mkcOTgs5+DXmUZWmX+mM7q4kIZl3H4/yq8mB
3INPgvwIBdyjVQfVRVSLgs7qLFHSLbatsUVXiBIFkR71F3IN2UEd6nqviVQ8/v7Q7FEoyxB8vP9Q
aK8ulbGgvVAjOXc5Kcb4jDeCdEa7t3FTQJYDn2aaN6z9p/SB76cJ4nnOW0iWCKZZEg5foDRS35Ha
FIaHrTeXaVZWu9jpTpVc3j9amzIgr062ZQ54x/n6WG6EKdfF7NKadyebxrPQ7YdwMfcCigvc1n5n
6e3vaVtYfMhIqhADSLOqyHSPtkV6kEaO3eVM9ynAgs9ODRx8VytaYnpgZusYbmMXUYQB05k+ffw6
15lyuMzYCvsWogbKL+hqjoZGQUNDWcbQtokoW5vCNKjquAnwO6LhoW9PZR5+8XgZT6cUgi4ZAevR
zJ2VJdQjFSYOIOTMm8rK3DnFIPlTndU7Gj4fAP7VO5jEp3wA369na10QrRLyUmbPccY8xnOQBmk4
i4CNJC+TK8nP9M7Z1HC2TqxnvxyKczvNoDAN2bUPJyo4odEqJFg5ZU593othHGTXSS3gpPUr8OPj
N/jus8B6D1GFqTNr15r90aYtTbRQ2waNGMYEwkNqwVzVGf5pH4/ybp6sgnWGYAFFrMjh8vCenBDd
2QKKCl5eYXfBPMZp6edmbHynRcwGiVanp+yG3z3GoyGPHqOW0wdoY2zg0fFZ+4qevaaW0vtFk4sT
N/fuEf5U4yN1IMCifm0ebQ3xMscyZCSQonMznIEsKTxahMoT0+L9KKQ2qMZT62RXBeF++AiBi4rU
amhWdrLOCJpYLICbzOVE7Lv+lbcfNOELHxafFpNctQGSHo5Cg5aC9ROKlyEM5bvJEXgnRcPZrFnC
xYdouhPVqQrRuyF5YpxdVvX2Kt4+PvbliqVNWkc/RdK1ij+BMTc8p+qlGwXA0rVj9yu2bu6Dj2fk
+voPbpSzGZHaKj9kUDSXhzeaT+Mg5Aw/qH6TuIM3BtVWu1T9+MQwx8VM1ozDcY62HQLGwWxyxqn9
r0+ljwWH+31/8/zxzfw8knx0N9rh3UxmF9MAyCjqFmGBi6VHoFxBe/GxQfGMgOqbe966eyj67vzp
47GPz5/v7nCduG/iL07Qud6uzlrSTvdGDy28+2JdWvvf3VqPn+T6wb8ZZ8pLsBAl4+i34bahu/4J
XfM+PPHCjneY41GOdhi68tNcWu9m2WAR4sEP9EqvPvEtvzsqHY+yfhNv7kVLWkVP1/d12QTfMu/h
1dg+P92fMtD86fH70bQ4WnbRM+ezkjBMEyA/9cAQuE8wN68Xz3oE43l2Yiasc/mj4Y6WXAfjSpYP
hhu9b7Bf3ZfS3f/w7p9ODPOLBePtp3t8Pi+6srMggq53BQjLI1/kYR3k2b7pP2+/dP4jyKBTL+zE
cnHcB9XbWu3E65jC52zHB5YEnxb35fEqdm86/5ljgQtz88TGcur9HWvsNVgdar6+v9n7tmzkLcZY
QbeJr5Kz0M23g3viwa57/QfvTz1aRTKdVkq6DNebjL2C/+ku4E8PRtuJx7l+qh8NdLRk6BKORDHF
S1cpIXyLkI6Iqh32IrNO3dOpuXK0aNhW2tnl+qHZxuch3CUgk2sVz7Myg0hyqub8M9X20X0dLR6p
LakG3LG/H2B+jV2Db22wgvMeEz/xf9B7z0Isuz9O3eXP8POjgY/WkzEqsBRoGFi7V/fdU3XV7LVv
4Q0ZR+jb9fP8UO6Ta+3GeDgxY0493qMFJuqnxKzWGaMxZwAwMD/FjijPC13Lq4MyiHzbs71T0u13
+Zaj9VM9Wmlmtczybv0wqEFukp3iPxTe4r6Gbs3jrTaqe3If/9UCQE0QMf/aNEefzeGK3WV2Ucrr
lMWLOFD4PjTfIXLQPee88HDyu+1uAFtv261+4ZydeMq/Wlffjn30lMHKzDk1EmIVfwzMp3wTb8bN
7Geb7kzdnUqb/eqVUlKgboGujrr40YEghVedzm3duS0QeFmhCRdKlT6/DmXrp8vtx7d2vBAQ9pP6
JN+haYj90S0cPlWzT9QwzvXFk7Re24BJAq6stAlWa/NyYs1Z15S3nwhDofCk1k8rkm2BxzocKrdV
c1IFBlohzernlVOW6IK1/MQaevz01lF0ilicBtam2ePUio5ZNbaQUI96mnOvYU9a+1bknSfPanGd
1kXxSEeTcvPbT5EkDscqgnbqoOY6f95EExW8hLarsWzEd7IOwLOypup9cQu1Pj81F49PctwgZzhy
NwjyDbqwjr4DTHnaxbGk2bNKUToeCIzuEQYcKKXWqLTsIVdED/e1sMDXktzuJBdEYnGTp3P4ZPRl
X8EREEKcNYWp3iIoabAaapPadmsZ+6SPn8u74JuyK+UxUyHbhDSM8tXhg9Hx0ih7y8LLUhEC6xEp
j2ZWQ9C1sT912L1CgzbElG4wOhXPLcXHl6hzIttXKBAum7TWzFON7sfx5XpJGvODChfEV+yMDi9J
gtWUYBY/eTgtZPCGNdXFk6L4Qu4fJsFYC3s/1yrbbiKmE6Ht+49N46WhUCMlTJJeO9qdALpK40yX
iNf29tcG/cZjD4PoGvDmKaHoL0ZaO2pMKvFkFZDzHN5k1K3Od466QNVLTdQU9Dz51ZwCDaVU9frx
S37/XZPFJO0FPYCeDfm4Kh9Z8lRUEK08CyJO0LcTPk9NdKKC8u6Qw2ujuVJDlUkNmS1gveM3n1hE
fUJLl0F4oRSH7oSxqJsWkeYyoYp9MixVYOVhHqhyql9S0M9fjWJWTqxg7z89rgHpzdq1hNLsONk2
L2KMqoavywbpbAZRFUr3eiYjC3R6kDhnUIwhuvz2013XMRp9UPsoJOsP77sw4kKr8pB++64ChDPr
2aYoLG33+6Ogb17rBcgOaJg9HCUaBeWpORXQXrD1BIgEbBhP7d9+frqscSMKiTXKlT/f8Zt3mM1a
ZvVoQ7xkrMvLXO8UP5GA0IxARP1imMLN797VKttAVEkRhJmjH80ZdZa7HEtaMPFLEu3TSlrOQqxZ
ThwS3i8otmrQuslNUXV7pzuk+Zeq3mx3HjaxpS/LYHByWO072TYkRBvGCCB26sRZKHX/qLL+42X6
H9FrdfP37tn913/y3y8VzKdVOXb0n/91mby0vPsf/X+uv/a//tnhL/3XtXht+6F9/ePyue7+2Azl
9+c+qcrj3zn4E4z0z5X4z/3zwX8EZZ/08+3w2s53r92Q9z+H45rXf/l/+sM/Xn/+lYe5fv3Xny/V
UPbrX4u4rD//+dHZ93/9uYJI/uPtn//nZ1fPBb9GAb9Mnv94Lr//scNm4DWq6FUnefP3n/7v3399
7vp//ak4f5lrw/Ta7m7CODLZOsfXnz8x/qIjixWGBB+ZWG1dXcqq7eN//akbf5HrowZN0YImB7aO
P//gS/v5I/UvVLSIDBT6c4g5ED3/93UevLp/v8o/yqG4qRJczP71J2obPrJ/B0h0VFNXt/mD1LjQ
LpjHQqNpKGsDIBwoRYFn1dpCHuJsUuT2JfyBXKcDoe6+9Aissd1EcG1AMVsG0yuaiK7Dngo5Lqbw
88AhdsP4DIhJeexiS6Q+Ts10cFZFizHGtIxWFFAgpto02Riiu4aaN/ZZbebj4EOKc+ik6GAMUTMM
u/bKkCcglk6HkaCs5Fhe9cIMp2AQmErS0SXlT5LRlTgUATVnuzFSizMrscDeUnuMg9mEnCcHDdqn
Noqzi9YZHNgxuW3cj2NscntGBv8JK+TiLMzrAbc8w8JNDvidslMSoaZ+UzryHj3S2F72TmEvW4zQ
2nNbAIsEKrouw9bQnmMd7NzLhaNcJnOY+wjV+LN0M4mrcQjTq2TW4BQPqQBbuGiiKFxzWJptn8lq
wNVneC5G7TlHbwk/enMGhZ9kuNO7mGwlaNoa2BlwSNPmDhh1/wPD1CI8x9dsqvwmkxyMM3EyT3xt
zFs7aETnaLtF72TMwsGsEowZchgojZw7Xmi2MTDd2km+jijOIMX1lnOtxRiqeQ0QG0h3Io8upRSZ
m9QWNnkN4ryXKpOtF9x+2WVFmTXnvUFXD2L+xIIhmwJw1OwibrCZDeNHS9KMFjgjQF2fDGt2VdhF
f9WpnSy5K1ISkDu5ytSL7X4UOGwp6oWZ1eFXFdIEdZ0yUZ/UVpLPsrSucRuY83aHrBovJB4+flUL
0B/TVQo9eRR5mjcu30X9iAVv9K2MzRFT1LCy8FcviuVTYQNEcIuoBodpzfrPoWWwQnlWZqSzZdm4
WURSkCOtiS58ENDWtIn0Vg3PTXPAYBXlBMhR0uzKeTrj1eXWbZLA90vTGKwarY73MP24tMYaVFeb
nfQsbzFhP6spBHyDJDpeWeaSfUsmub+aTLPK3UJEygXWWSowWcRb973TRqYroAaB09StYYTJomjF
Ho3tqAYmcCsyMYBsLzEmkR+73uphTyFK/dpFqoZfJl6ni6eXBBvegpPuveTAR8fcYbZfErQYn2xW
AM3VMMK8RTao3AyTrPeYb6q4klNQzMeNyS9vy9jKcCazUoHBtROaWiCHOBfs8dBRnozGMoEli65/
sNVQF9DhZyiw7VxaCnjeOG7h3VsV7G+5rFsvaqSounFGCLnerDj6dznHZA7cn7TcZJlTfkqmXH1x
wqJ9LVGlKgHHIh7cnN125Th+Lgxl/Ey7fnanjbE2b+m0KSevm+IauicO0bKrKqF9FwpOzHjkKJ3u
rgBKxPAKvYPYLdut46WljCdZroTlLb5IGI+M0SJ7Vk83kTbUnxC0Ly8xWUTqHHLSYv2gyLXlVnUp
+YUhBJp68P5uTyy977s6V31cSvTv4PD1L70Dty1Q51AB/G2PFoRirXX8KS+winfifkb2j50ttPEs
xndEY/iNTfWm9AF1lt/yuVC+RZk2r2ExmOKAThVURuCsqIvV7Vja50boKE/t0CwjzQsmzL3QcuKn
QjMnjithRrOOFJcmvGxakd1RbSRQ2Us2vrBPwOg0cCaZPUNWwcNjk9qCgVYsHITMNI8DbBymT12l
4hrlGImcuv2Mo7YLsDGpLtIKZpXnTNqE1+qEXyVdDHJfXBVRW77Yjp2qIFXH4XZyGkie2dKZd6rV
yK9ISzQZ8vKipFjcATd1l35RwTY5GO/5SUeFYG/xNCbPqsNU8gDRxiBy5QXhLIU/HN+d2jFY0yNT
2nXW1BKhGcwu2uwi9UlxnNzaxiQS9B14DPteyoEC00JZ58ZGgl5zxcQqHM9s+7S+bZIQZSwY7qT1
FAhuP+ZSkO9rosJI7zGzzPM9JuWS9Gg6Ev88ZsNyiJwaDGY42ff2eeQYlAvhxjmwWti0vzqjpZGo
HFEyuZB9emsjDZJ6JZvZckd7pYTnpBQPlocGevoGzCL/ZA56NeyqKrTOMYaksFUm3fDSx8l4LaTe
bM4NHC0RPznXsTyUgi6vmBRLglkNDVJDHH99E5H8s9O/3dkPA8R1X6dZkdMeqQ9OMRwdDoNrAF4G
KzkGNiCDOjQWUXzGvm35EqYEgZqWBlhjpzwn/Lb+Pjz8v4gP69fyvm9fX3sCxP8fokIe4gdR4Wv+
3A7dQRjIL/wdBmrqX2wmtDdyjqTRAKHrf4eBqvYXqSkCME5A1Hr1tb/0nzDQMPkRshnEZXQmkDkg
ePsnDDSUv1YxJNQWmyPNSgL6nTAQouRhGIhGhmM7xBKOfSRNOGYeThcxaVGWhKrBPiBH5nbmawUA
xdZfblojEa/gYrOvRZEM8Sax+/hOhGr6o6nlIXSFMVtYbxY29NCC1DCeXK02P2NybMJDjZ3kOTQ6
rOEbS21sV01FwqcfqxkYy97W7pdBxiQsXhQcgwe7eMBhc8CRqxcChCSO7AlEoyxFJol779ehXwaM
guuVTFksE36WjlZb6OlqtWCbRW6tQJDrHeyeDGE3V0hTyqsslUHJYupTPUwYqH5J+Go+x6PIHkBg
DuFt0vGvcDKs5cVTZIxzJDMtE+wNEizWuRgD+CKNE9fqSOeND/rZ/CLr1XoFZFwepFYZeQiDYUH3
HgjdPC3PcAnDxhT3dwzpaGoPNfM277uRcJom8HxbKFOausawWmSlSqFdLFi41zuzkqouqDBT/UzS
DN/yfCqsb1Pk1Pf5EJkAStsBzYZFo/yLYy7SLU2iSuJqSp9/qjrw1K7ehTQqo+7o7vHNc36YkWJc
GS1KIH+giZImQkov4tyg5h7hJlDIyITadLTdDHJstRv0lSQuwrmovGmxCJ1SrR+ns4JT7WXBFiix
pcpqc22EUvlJKFNke/2wWn/LeTVXqxl5fq4WcfUs8l7d94XoMdNUcVUGUxhrGOJYafSlCjU6p7VI
6W9qPXPEWb1etbeI2ArxMu4AnEpZXmAtg0WF7Fpmkn2aw34MA/whSikoAataATxmYydlwuy9qMLa
2x2AtYKX7tKa2mCP7WRpmrR2tbTCR3j12QBeO0IyKTBL/KcDK4qc0U+dXCFAlq1RXR3OiseM0wQC
cVHosE8JiE04wBanDrhB4jpSYu3rgu3WFIySot0mTW7aXjsp5RU7eXg/Rkb7eRiQS3sDJlUQnnHd
nd0MdUe9E1PBfMJirW7IRs+FtJG1brqa8TlGxFXm09bO0lycQZ/lC9HyTot3tloVhht2KUDYCa8u
INq2IiHboWiXBb1Vhl/qoiXiaHOb0uB6ljsbzAw/Za1T0gdVnvULw+lbQMNlXX1Zw9vPpKrzz8ky
mlsxrjjAOOqU57bs0ghkfKLcyIuKZUzPJpVvnD4c2EdNA5dpyeAc4a5nCay0zcLEP9cxelcbm7b3
QttAXB9D7VExJRmNiw74bEyzSp09yhHCJj9UBcYzcao255JSZS3W6qODE+HS9HdInziWmdmQ8DQh
X8e0DPXlM1k3/IJoP8/ulLEC+9xVU4n/MRLw7wvNaDc97isr2dtW9o7UFIpnSqGog6W1sNCmqau3
A00j6tuUijznIPjz2GaYqbm3o3T5KqlUWNwoMoThDXJV6ht8b/NqE85mZm4ni7gUHPj8g5YwlrLe
Kvrbfpib2sf4hjNdGiOoxxvxgvSVcStao7/FbKQTWKgrMEJ7ml9qL6yU9gEXcRyEJxkeL0vJND3l
gJkHL+/0YfRGSpV0cpDAX7ylWPAhaGf53GiAw7gV54wUK5y4v4wA/vEqhnri/GTqMSZjlXYXTWrd
nAEvGG76djDxQU9UmUNnVS0+J0+ivMVeLMdVNCP5kWiWdZ6GkU1Pe2zLxXYhtTR5jBzv2B/SLpjU
IlH8Iu7KL0Y3SKCITRaRipxvoC0WdPGu6QAsVFOX34NyWecGadP2TGCkrTLHqtnm+JRA80Cb62Br
Vk+SsYuH2r4PKwzcYgkgX1CtBTf4wCNz284kInpA6M2LPRn4ImJIQwGTVg39my5P+es00ie87XLA
PK5ZxenTSvEfNpaGexXaecshtrNtkbgOXgCxW4ctLrt1RoYa40LVOu+dUuMYGQk72eplWSVBM9rt
a6fXnekJkPc/ML1if3A4qsouYslpduV0FmJTxJPV4rBi0s/bxHNTBqKRq72hRjNeqiQWOQLSDmu5
44IfnBubWT9wbJxZf8CTsxHw+IvzeckkIryo0lqWsjxVfE68NkkIrcvOHWRCciBFmM8HWbf0LPlJ
Aveh1koV9LasPmY4Zz1m0tBxSFec9oWVkl0vXFrudTLkjFYPGqv9yMz5amYbJiClF0ve5E3rpEFX
g6Rxo2lk6lSWtYyeMGnmorU2xwnHEWEtYXewTC+c5Fj5O6B6DxhUGLjVY+monvezXG060cLIzzk3
cUsQiNEKtvDsvIyOUXMvIUQfgiJyyi803melj8Ov0rks2pYcdLZFgQof2gnnNpEs21AzMHHEGrBd
8Upjr7lm7+jw5PNa33RzNl3CpUuHILQTG4azgAAFfi96nZzWsf1GbZNvcqsbT13fAEjN6ayp/IxD
suKlHNsuSk2omh8nqRW7C+kR3JqXobsG7Y83ljR1ZLhSLdLGOwUHloexXOEBcIlyHQsGHoBfjyab
dDmV6kWtYfp43c1SetXT1J77eMCqrwD4Bwl/63x8mJs1/0qDhfZj6Ag63HTS5+9UcDTWmKZNr6Ml
GjhO2jXYtylqsUAJdWwacWgqx9jHrH5QgN6QLao1PRZ+yto5bHpc2W4w4Iy+EEouuy42C8sjT9Tg
TEYnULTTlqHBr9OM2y9kDvMWEXVtfHISq9kns1p9x9l7UXFclHBSKAaucT+0ZXth1pYzbmJ1kLtd
KuECAp0ucUZMSCiSBY2tkCFSysS+lVVtuGijcGxgLgvoXrHD14ktD1fmNbVS3QCoxxR2oAvV8kKR
UyxGiZ+RsRhtgjDCR+xvRRfbqAPktbFrkiuTFR0yOmD3iKjC7zUstoK46nO457hJs8NxJ16FtS+c
Tng5T1aYDiqJgwhXzdAxOBzStp1/LqsRW59Jlvl/u7QmTHg5KrfQpRqxXLdaoWKJZsx2tpmq0UjO
bFnDHLTDqeJOGQwSe3M15By19ULzuqJNbhBsR4+EoeilNYwJdAypJwkzlcXA0C2pdAwU7UJuXpM2
cc7tLE++U/niTZq4uC17gQPysE1wVHN2alOSh8u1OFeZ6gan7IqQ5aZX1Kj3Qc71D2ri2DdWm+rZ
hRaNIfiSKVIRzrUwCtfnS3TQwLmYPT2SqJ+ZuArIrlFr5G+GWWPvtM3e3qfhnA4uk117oNw6vIQk
tGIIRnKpgmlvplutJYEcaEoHjlqUxRJhBdAl6tVQQLjAxlKExkRyyI7bntuAD0aiqDCrzVgPmnFm
Zg6RaEsBf/WzsdpHS7FTAYSb/K67WCPvHE1x+oh97ZDiPJYtIQqFAqXnPjEl1STooy9tW5NKmTYp
gu1qY8I45xiN15SZBznZ6bvGFqJ29ahT92pWjuIaY8hk9LUQGwyXzoT8okt1BVO/ViQ/jJIofkv1
2HoJcU6oMDK2Gtxj7K63mWH2QkLInnts7hOI+G6r5stOYa/W2QsUFi4cDFaySkY/JuWu4R6ObhQF
YkzLh7zFWd4rM8u+HWK0JOS3SzevataXbFJjnyJjf9uU2MGybNiVDXJ/zL72jkPiz16K7rW31bEm
rhDOvjNqefTallKM2xW5YW5yVuZ0p3Z9fVtGlWxslGKcHktazW3faOiTcZlxhslioXTbxRQ2gtTC
wMYB2NZgY0FkYLy5UoLSjRzlUv0Zs6SpD8BGsV2NZKjFpnQ0+D/UGDAPmcbaAY4+Tsum5oFIHlEj
LqPyqK0xvdORIWz6NC3OlKzuLqlDiGTTzw42tm3Lm9gpTm8ZOwyzcVSKmhgtCN64JKw0NUkKt+mc
StoVmSic8wSXVbrL8yF51lvLaAI9KYV2NpZZTCaJUvjngUbYiexTg8dhVvT1eZr0oQmfed2IMK7K
NgPmugh5wLhin4ghWbW3unnhYycIlCAlhsozjtYMI5hKT005i8GP594xfaw/HZwS6zn2e0ehcXgc
bK6BPrT0WigyOVozbpzBG+jIrTG2VvVPeN3PHCSQPqv+YE+5/QwDG/9FaAkGjuD66gI0CAcbE9iy
bIkO4IELaxhGPORq22RlrIGH+rFVUEfEAU/F3UbDRVkSRrTlUJPUnGUnewpkJZmxGZyAhXB00pvb
qYkadSequsYiA6nkgg+QndpuoWsLjjBmzNSkTtLcNYqJLY8wM1KjEX0sdyTdgE2Z7L2jV2AyN+5k
TtR1wEdcnpdWPvgLVgrnSI1J8tCKZbD+F4axy9rVqbUa++JhnfOIZtU2Y8MgKUFOkQW8P6uFjtUD
m6FSb6UUsbSL217Y7wYstbDuBEX+SMAbf8YtqftOzxP4vlA49CcVxhBq29qw2vCyV1L8J8M2NO+l
OhGjp2LKEJ+liYgeitrEjL1otfoZFwbpUZp1854KrX21tBJ/R7Rgw1xHMisCKSeap9XHbCixu6nD
b9YcVeVGzgXRIS4jmexj/henm1mbOALXWtrfSTlWae4QyZyfrUbqv+CCJF04otaec7nu8S9JRlvy
BvxuL9Rerz4XCWuK2SVZ65qRnplc9yjPmCTrEfaPmEdwHVWSvWYd+gwvEzFZbFyi5EAGdhzv0cDn
20hKcdUapjx7TVSEPRunKqh2lDp+634tltkBQp7ilG2k8lxdV11m/YjMhcKZVVC+ouCc0If0M8P0
W7m26//PsmgrPvZ/n0U7a0mjld/fZtHWX/g7iyYZfzkOFVFQBWtsiWqAmunf1VRJkSm00uVKAxaY
MoKjN3k04y+NcjkqAArm/KrFb/07jwa7h1OCuebX+H3jd/Joh1oNDt3osTjiASAiMbfSFA6zaEpE
CrpDRsepSP1CQ/qycepKDcACSVvSv6fIdMqh7uzv8bhy7ENsFG4/84Nv9SkZMchUxozXlavnOZ6f
hVerkboRxGz0f4t+64RK5VIDbvFMB42ZGgSPKZ8ESZdy3pPcuZuMOtsn+aD40qBmMB5ZBf6epgeK
gbfJaJ7vmyLzz+s0ZBqKcFrA6MQwjjRIjlNxQsKw1Eus9mtTjfE+1hpkZHPTnJDsvH8D8CrRy8i8
aHaaY8yUMnSUrTvqUcKJmy3VKHOrprYVCIgTXy2MT0/c2fs3QFUfNAKiekryhn70xhOE2kWrUm9R
4Yx6cwq5Lc5KcoBxNl8OI4Ezbs+nsBa/uElqyT95Bhyu6Bc7nGYUQAsMQgl7S42ufyxiarfussxv
SU7stEr68eYD/EUp4afg/N8agfX1MbfoMuTDwiAWLdnheH3XRgCgs4ZqTxknLsuoeGTLxBywwu/n
c0ovMnZKgyLdaxYlFJ/TqXnfUG//jiVdjtG0VhNCRnOrlIHJ1mqR2B3q1OMelskPU91cBYTaC8BU
+WuTGNSpahJ292lRKc3u45v51bNjgtCkuaqJUTMe3kub4O9oxKTgJkLHi7Jtsy3MteWiiLIqgJl8
SrT8fuqD4iG7v06QVchBCv/tJ2pgKW/J+JdRm0vIfFEeOlPzVA7apmtOaILW13D4msBFIgVFLUaP
KWycw6GgZhATo4rzxjklwHecdGfbUXlilCN5JbOBJRbiA1ISejJZPI9mH1RoSc1bhgG6PlHGxW9Z
SUP72yQ0JchgquOrhvFZGRsLdpQVFuk1aaheDc0T3ebvvr2VRAWwgY+PSpehHT3ayDKhKRlF7Uki
1FxbMEHrsjTO86mt/Q6PZHLMjnL28fxZP+iDh8ygGm23FHHWqtqxktMaW9EkrVR5Za6l+MgVpEQb
SaXtlY2+U81oK+Te9vMEz62PR/7Vg0fzxSIKEYv01bEqT5mLNXnC/cYgg2jxD4kxUYG5IbaQYD8i
xRsdVb1KzVY9Hzh++XZqcUwO1VNw7l89eOYYqDYeuoI++3CiKUMowZhKaw9Va4cLY3VRpGSfMA3l
5BA50n6R7fbEd/v+uWNQhfyY5ZZOyHdcB7PkKF82XeRZ5Du2s1BxLETrsy9xZ/JCq+o8u8IjPhZR
eeKN/+K5r8oodvMVfYaNyNGEx43batANVV5lWqnnFG19Dgg23mpllDxNfZv5c4ZNRE9uM0jMtg2i
QS/8oVWj7ccz4N1aQhctDd+EK0Q6BD9HFzIhLigo6la85xZXNI56Hln3zqOAcwpB+24tYai1EYBR
QBpRtzx8xfnYCLU3rMqDHpbtmjwPA1T2c/DxDb0fhVnE50QLANQcduzDUTDyjfVhGktMT+V2qyZF
cjfh0+x/PMr7x2ayYq3sOtpNAWse3UuvjBifQgv2auxFPREX2TbGwtuVRameuKH3XwZ7CiBkoPXq
2gpw9GWEaSPiQWMoqaXKH4y1Lm16qiVBgdTcc5YhFF4eddkJEsn7j4MNbcVQ0k7BWmivm94bjSvm
hVJXqqLyOoujNdbX2vmEk9uFUMb5gkIZCV/UhaRaT62GqAT50wfrIUVr6D9r9AOdwTiGzS2G2WsN
XddeJ1ndHjOT1RumUYebJJFJqmVKl2yrgWKS2w1TdGZqufZZmJVzXjXRwDsgE5de6bONaXC6rGVX
HR8I4amSmeylNDLxM7BMgo7GKedXrWiMzzDfpOIMaEV8GXdF1GH5rurdFiPGbM/5LdWCdlbKJ76/
HqKGYcfTNrZtO4fkYxiXZYawNbBKypO11ka3aeiggOgoMpaebsc29CaURiybKLrupmHBAq8T8nNj
zzpRiZJTSpudliJ3MnfOXQ84XA00MAwLgLa+yj0hT6rtTnrfPDloMlvICBknXqVKxKZhP0G/2Nbk
pYEZNsZOH2rpJcRU7YmIHdsGQqnmM2be3U02dAb2jFZi7VDb6LdLCv6VrFUkI5aRNeOCrGP+par6
mlRUIjffQmSAj6CKrYX6TeT4o0aZ1C2ssNf9aTCmwR/HUH5Be6V+gUMp5TcNDrgWSZUOkv1YZWSM
xnLqKOOEKODcqEjWNd1sZcMTCFhBtcFKoGMaXCAtmPAeKresx/jSKi31sS1qa3Yl8gCzW1FTTWi2
07I5mOexKzzKbPalpK6llYVMMZqrPLKT3SBqCb9bI0vaQE9DTsdOZw2PIyUtB3fuGH/zoU/0L90o
25i51/JMWb2rhRHM1CS+FjK94jijVh3Hl4lqRyysKtwsFt6OVJ0VdqMlbuqr/0ndmS25jWTZ9oca
ZZiHVwIkg8GYFVJIeoEpNGBwTA7AATi+vhey2vqmKF3FzdtPbVZmWZapTJIY3I+fs/beHZAVV8Im
VDlmJaepmhEOybjBIb/0UI6DYngUBhkgf+d4ecJEo6hj0jabD3MxT4jZStpmid9F0A71TBJz4pMZ
9xIR8zmTD9kbTCoiskt5wBmlO41izhIFwrlhQqZoQJrl8tJ3M8xRG0ZSwQya86d5WnmKGNIsXwI6
KpgjNaN8yBkc+Vs3qQuZaIeb64zryvUOs4HIJ5Iz5zBR0oM45kyOxlimiknnNGL4nvg6S698vWr/
oMp5GOIOhA/qrxisB7uKsmIvGMfTLE3JId0rwKTbYq7ED/KiZLZpZaqXyvfmB8yoFdPmaXXCuNQi
u7OrRgHL8VzPhyxt4Vg9pi/3XW07782ZUn6vQ7s7oRmoxS4bTAXvOEfTIcJNq0xgTf3XGdnQXUjU
PaRm11gb7zHw4GbwNMhcvab4FkzKWncRYw0/wcB3fcfEN3R3JrBttg8rxm+034wOSyd83E4qW2kB
h3rxmn2BABPmpMyJoZ9Dyq5x7Lw1WfUMB8a40Yx7BwJrP6pKR8karH2794SDTzqOgcY5H0OLjGs3
zepkAU9b4zovQGLtqeGNz73CvfE9OkIgHg1xxYbrg0WMdeUyZc1MA28JPZoZEDJeM/vGQLK3o+Or
X0vHIxK+N2TxMBowz7tRDfNmd1CbGH+Frf/RNib6UaUgTCVpWntGTCIlUTGTjL4pS/FlCT43nkl/
14/YCQbmcer8LI/nrr7qTDN92t5t9+jrRvoxq9T0CVg3ehlWXqidBfKOTlo3cxEHrHF45Xd19B1j
hY0WUOZ8lvjwZDgjaqYeeS7pYc6zTQNhyLL2XTGqCTqNObLB42oPN6IaPU2HwKz8nfZ7f8M2WRn8
pRFD3A95+94mbY2hOOOIb964jp9HzsXtcZ4GbyTst0wTKzPpDxPJy4lhDDQtthIV0pPfFE0XZwAv
6jBPZQOIEQZTFs8zoOQpH2R6L9zCRV7blRESkSAH5vW9bam28rkEEkwdJixV5rzYcx8+dzo1x6On
bfU5wqO/OjG5ktidzoZLB721ARdIJuj30Dsr079cydtREy+6a9ZBfM+DPLrlrew+55Nuv/pQNXPi
AR8pVv9gJjXZxhtzmWZDnzk45/dmKEExTL/p7R3LM2TCZjgUF0Znf1Zw5sxthqi7L0fpMANpMt3E
Fs2sW0uFFe5VHOXFYfK9wYk3WDn8we2cm6d5FJ6VMEBwx0QwUQFsoZP9jeF9BZfCc5MsXh28HwiI
/bzmgbkmuWEtmOMA1JvXsNDwvtVI4jWzmXL+yDlQEBYerN792vQ5o50uqNsrsp1p/hamnqqYv8tg
WEb9cgO0Mtex1aXeV4xxy2qfal6GnZBo55Kis6cQaGHhlF6DdASnsCb4jg3NENtoThsniV3IgjHh
skJ9WS3BjDlzaHr7JZnypT8P5NJnAcHMMshdFvZgzdfdANpjHG23FfdSLCl+gn3ByJ+AtPS9pgcz
YPwjCbXDiq56YQMbWYVnr9t3tEPyuOzS9dUXDe6RPKH6XY3NLlej7tnKtTV12WH1W2fZydZ0YaHG
Kur5p367jZsEMX1ipOOdwDYXpzodwDSCWgSvYZAKh/0ABHib3bLEW3lPZ5t7a98w1CTTaai2n0B/
pP8gXdnmScGgnBS+PF1gLxmUfjKyiUEVAvH1o+OvIFSOW5kEnerA+VFPaT3ENnNzg17KytKqjKr5
xNDHKGNRtSF4b5bnsONB93mylKxZHLX75ALFV7uxcMob6qyeUQtk9NdABuZ332icJDAppnbmMKU/
AB/aYIewoBMHVJztQ8+pOt+hBe68ZK5FelOEyvnmrPO4JzS5/Vwr7d2nObzvbhVO/1AJw741SDrv
2faqT4FvLA9hAYwcewwN5G7j3PcsMGjEyp5NhpHrQTCnOxUt7HAEIj7H0mkmQppbQ31vu2L95Hm5
+2y07ny2A1lk9EuHPt83gRo+zYOuwYIIAE9qaAH/1nUal5n16s0vM7BxB1nnmLftEtg6JrtdvUwU
TF8WFQ3WKZereE7bxmZdtdlu4hn7V0C3apQ30gvKj66X0rmIZDMcbCmAckY05YRnTNS8DBQYECSm
qNQ1uQVdFreKPlQSbn8mZgPWP1KFuTZTK6cDOJgkERQj8Py7tdWpk8hary+y9Y02GRZP35WtBHvs
xcKpVfEIRTRe4RieFncm5gL0JHiWSD8bsi8HnzlUkHttHg8WYtRDSfDHktAfS78o2+m/DfMgnrEJ
Mjv4doWVIqFUw/saH67yCsWM95GHNniGlu+u2eeyANAwWAwS5xGwJ5SGMkpcs/ADstfbQibBHI7W
DpJvzA8pkot0X1pV5u2iHIzk2qzC9iQHE3TRKA2n2NkoFz5C+7Mh+rBcDkzWCkWPZDW/sXNzI1s8
Yb/SLOjUzsKNPkKDU5evMlxIwAt77VBP+Z5FA7iWxdnVgD37vqqiJ1NJP7pyBxvwHpJoeDeS58oh
O8rn99bqlVfKnDScj1vWn3Tr2U+cfqJvXW3qZysYkYtPZWESm2ginUm4aWhVBuJYP6XVxDiNjQCt
iFMZdnYF7NA84h5gFkkV1MzCSjN37iVuQxb0WlqaTEoz1vdwyub3pJypjaPU1GxjqSRfjkJAxq0X
GQ99mVGu+dJuTugFWJKYCIpvaDIp/tZRd4/aSu2A+2RP1x3+0Ewe1RQKRsgEtIOVlVvJVs+p3AuH
QWHSwNk+lEa6MRlD0H2Drck5hlg2zllpMax4OWSTdQoz3wcRrYbjIkJ777KTCNgt7V+1tCO4M0pN
DxgpUamn00CoA5SWKxLTHvS94c8TkiCb5swjltqMgtM1n5n8Tqv13aVc/E4cKkhOh15+ZDAv6aAv
dUoMReHOYiD9ss3nq1bMy35wx2LZ+1XF2CFQUn3q+0A7sTmZ23yRxfS7DDNEQC6gEJoZsTZJGNSF
AddqFf7Bn1QeJBnRahl9wkaD+oIA8Cz1KdQoxRBRuqngmByhmBJxA13bx1WfB7elHIRzCMDnWAcw
2ARPMRcdG1a/wFetWzvO0Kb56BapZnJYyNZBHaMYZlR61G4ySzneBo5eVQxzwjYqhmknHPZ7KnT+
9C6Fe0rppjnTd4aEDtwdqpSGyngbHi/92l8BlfRVkvdOSgjvhMUBA9tpeS5DslrCvhXObqHuPwmr
Y7xJamJwks3EA4fKzH1STOivI+YjgLOm5LTAq+lQ6cvlc2pDadm0uORhldSDDBI6+zB4cuw5zLFV
7zvDXR7TwICQHYmReta+j/fl0oYWFjitWpF6MVYZYq9mzYkN6gKGwuW0PLm6YWVbcfl+yNrV+z5a
IyW+THMM7p26/hE54/CVnMBwucPrrvvkkf9OPQinS4MrLTA9b2Xb1Y9qqJ2PqtdFEIdu7ho7IlPH
Ji76CGQH3pg3B8ZBiX3OnptDSJamTNKhW1+GsXeXs00IHT+pXJw7q2q8KjYdWuNxhQrjau01J7uF
x95nEh246X6g5rXY3+r6AKxnoyNaVia+xqL7D4a2oynh5lv3qKY0LhxTPyWVGso16czBu2b057sx
oHnOD2+i/CYashbzjtbHnpD/nKA2sdrmGfmbHyYg6+KrhAK+XbANuBm7FoGalL2/wiN11ac56JdH
ot2N72UoGY9rOFiiFicxB+Aak41Sj8r1diUio9jNaTlbe+qkyAamIydxxwE0PNoyGD5FAdZ+V6Zu
itMI+PsNz3WETqEG20yG0CiyZO0s2gvkz2SvrnJMbljbNOiI85UcYRlWI1o7axb7IF25oNKCgnZL
aaLdFJCwMd8pcw7siGgDaSIa5WHEWP4qd2XaUjC74svKW+xhQKvqG2BnrnYOBHJnu5P7o+y1+x1M
CJVjEQTTFcUbp7lljooPNpjoe7vJWC/8tAbi6vKmvNcUC1HMjcPnopFNfurR/gKzwKb+kITYKriU
cck+6cZzaUVjfuom09Cb1/QpvHDXtxkAhLJqSsdFlPrUygVMIRt8QJmplHgltMVQVkd21gpibBYE
CeQrWOBeBL1xXtwCVwmOQyVrTzFxZjZCtktKuO7raOelRBKVzXfCEevnZRzHm6HQxme51Mbnii5z
GLtLi0QoB4BxrjMpQXUjds4xNuaul9eiVDo7cGLsQKPHNNjef23H3dhmVay6OgvvXGyM3jWghno/
hXNHy6HuzW9gIES9AZ1yZG6dPH2qhqHN4sqqNiVRb5XvvXF2Pw68xHD1o3S/Y+G+PklE+FkcVW5e
cprKAHmRMkBXt14a0ouRnEAQMGrjLFiE+duiDd87pldHx4JoxDZxoGvp1vAWAI5ZfFg8g2GJ0+xM
4U3UYIrIWp/nJweyC/memyPFGBvlvAZ+yQjDbt2hOWEI4E3QFn15PSC47Fh9W+iupiWxnlbDYkI7
gNxEh2Cm/bYbypLhThX5NSJXX9VJDyl3xyAsNxjt1do7ynEdPqTB0N/LwqFRbYouT+kG+aDWtaRb
Ezfkon4rYGQh4yn2yl29mOoRaM3IEz8T4iPTH06mxYyE/9TzMrPHtPiE7U3VCXmdlwOlJEIBzpc7
b7AwStRsNnPCPw3HexBp77WwGNnsulGD4ZqNKl+gqZuIoTzsUuLXKVB9lmkDixLkF+Jo0fT7wQQt
vFkp7UGUoqJ+ZYtbbgarBmnf2pM5BceMeLaRZeolTL+8fWZ6fpOQRlFHm5gzDeLCd9MH2VdUNhmQ
jbyml1KeOVBoTPMUB8pYDiR/3Riw+GgmJ3oKyC27YdyEcQXl/TJFlni38Nuaw6xIRLSmAIOeEXEh
ZuuhcuMMRhVvIG1Pr+y/ajxEgY2/rkgz71S3ZdCcAFc8KqAAhnufZ9tDWfpVdl+15fLxP0hGtsxm
NLi5dBQfukmuT3OYjXf/gTqZaL16ZuRbNbCvJpv2VV/RIzn8uTf/S8OcaA3LcZgwe+iZbH/r3f+t
cw0gNqTr3Eqm5oZLs0A1N4bhKDJKA3EnayN9l5b+W5mFF74efw20sShx8U3A8J385It+uStrBNp1
iaumO1YL2z9+4XNZ9cfeleUetVB6smxZHCrawknRLPahR8/wT8cS/HQml6i7cO8hn8D5+acbXji0
TuZ1yHmVfV1IZdGndry7yluafxSt/O/fS11MMD3NesYtF3MWW/W+0bsscS5NvbMr8hagXXWnP9/L
X6Y52w/CL4VZxEZfONu9/tu9HDxyw2VAkY+0Z91XY2u8axB6vEF4/Pop1KCEyzDn4MaxIv38Kch5
SqQslDcQocWxcVK7o+opxT+eGuEZwn3BH4EAYhub958/p8mrFCnyiBCKP3Qltx/SZnhW1aMu3ngS
fvMSUK04HpNNMh34aT9/FAmaNDzkNr42/ex6XYc5RhJQnqFYaauuY7RXQf+WM/YvM6NNbUif2mKW
zOjNvfh9Tj2j1mEfoNHN+U1N1OZzKf1j7zWvEnA2GZi0xqkIqjdmZBc2mH89jVxUmBKHfCyMmi7u
oGmkW0eRtw9Yf7Z2GQYPGID13XgaS0p+DmPBlbHYtMh8HPL7rlfnlgGNiVYo7JLVyLq3Juu/uxZg
t7guM+zEiutiQugNNaObnmsBYtk9iQFE3Z7oqcHSflfTPN3UhjPEw1pigmGM02ly++oqcoclFvl2
gJuKDtVT8APAszvrqEuZ8qQV/QOn8d9YMH95/ENer+3lCmyINhSgPz8ruGGYaTiqNg7sZXmu+MRE
O6a4+oevMp9C1imvGJJQ4l8uHg4vXYbO71ABurUd3sKBf0QZ3j3+f3xIYG2/AmjLDi4WQCST9DNU
xQHGEe7VbMnqYVrb8K3HbXucfppQbr8FbsknOjkiUOzityhn6ae6IcaI2ZJ756D7PEysMDeU2MZu
YBKwQ1djHvwBTZUy7TJeByUQFnglxsBl2VzVnl2cw2Ex3rfeFH7580X4K+no8utFhH7am/jXxNjl
5xuK+QlueJyF4q72fphFJj+pTj7589qenYhKrBoQVq6eogsSzIG6DUO32SMunO/8TGNa4i50Ta1y
fvnz99o+9tevBXIBKQXwY144luGZokm1z9u47qz6kLUFTa3JyjAd8cX1KqfvWdXUB0tH3/78ub+5
W7ifbyuD59DmDC8WBw4gIRJHHgqBEwxNspDakUTY3WzWb63wv5YBPBGkPkPvEXHkMkD7+dLT3J2M
VYJPS1EzW+0qM6kxztgT6+HsRy3MeMqK6A43oODOi1YiqqPVeON9tren/OJCu2A9xMGAEW7V0M9f
ooo0lfbIVGBybZK3bGHv0UuQUGgOPadaXZ4svUTXtHSWLx0JQ5+daPnRj74F8kPHSNpGfi/Codnn
UgYP8KfrsrNr6b/LMXnYZV2PV8FszY0VYwISHax+09qiOnsLRv3NA4NLmY0FYoh9gnN54+ilarOz
gLil5arvHoGsTyml894bveZpDVLjxWK+cruQ3PzG8r3dposr6KGP/2sr4am55HNy1xyxEaybuOaT
X2dkc0cTCPYJcMd8kjp669X4zRKMlN8HJNlcsIHBfr5jDYNX28ztGq2etJ7g2tS9blznjV/1mxeB
mE/MAgDqAGQu1wWYjqK0IiaxDTf2ndk4khUrK+5D0VlvlIcXjsPsyFQAOIlx86AHgaovnsFl9FxW
mL7GI9DKY8upK84gWp1RajC+GjPmdbNp0dA3eVcKuzv2c/3BKtIbSpX0bE/yjcXn1ytMUAhUiW39
VXm5FztDV8lMKAyTYtcgqgSxwsp8s87eePV+fW6gdABXKCJZBgCEfr6PETrOyuEdijMyb1+anqPc
1EfzVQOye9c2NE3+6dLG5xEiwULjAKFfeqy6htgsuPg8126Kw+Ayg6ALnx7ydjD/8cPDRwUEh29/
4VG9+GkF7dBKLh2uS0qhENyIpFWEy8krwrfsqn9zrzYoDbR+wyLB4y6uomCaFVQ8MROe1Qev9t1j
PqFc+fO1++292jwQYS59CvKLH4Q80RQInChIGS5ym7z+3NALisfFZTTni+mNAujXt48r97fPu9iG
UBaSUNxLflWv1ncSCfIOsrw85Ev9Frb7u4/CeHfbaB00MJc+roSLp5gJ8NNYq8MdAkArHsaqPxsq
c984of3uo9joSMoGuKMxu13lv53QMsRqizUxzCq70T1No0h3zlJbdy22CMmfb5j16x2Dh+dYEXqY
9HDMvTgN1l7D1BjhVdxYtvUq/RYy1i3Dh863nfKAxZYfq9pV7wW6oUQMvT5s5f4D2q00Lr1Okp4r
0zAZgc2Zi4ydTFBWWG+8kr8+vNuX5KGygNi2lMifL4g5Ujd2ikXWX3DCWqw0PWS0lw9/vha/XvbQ
ppD2Nw9dANZLzJGGPbD2FFSxDYOBy1RdnaT0scwTnnzjo345SoYoX2zqXfbh7dx6sTe1hfIrpAh4
nRcrbueMU4IPS8joUVub7Z5ZBRY2D6F+q4r9zU90mc+xL4aYEhI/9vOFTCO4I5diOp70jNapybKB
3r41Xi22OAcwQU/c/OGaR329syd3OmsRtMeOIMuErrVJW6pt0C4zVHm25Ly+cZt//XaAz77PN6Q5
Qaf54ttliPM6cwQ46G0EoIaZtbe4zoAlZMZbePyvZRAGamxcaE9YfDlY/3whlrVgJNgSgpgG/QSq
59QHOQ6PbLr9nb2Z3kyMr5dkNt233rhfn2UCjtAZeCSsE6pyWbGXHWMa2UEot9Id3oezo5/wavT7
N1bi7Qf8XG1R3TkWy8gmK8Vu7ecf2Hmp14ZigX2n33qNhyI8m6LtCWgWYgM0bsr+aQ7nk0GbdhdV
zMj//Db95nfSl6FcdgNSmxEW//wFsEmwIru2yphaOtpHyJD3uIxl7/78Kb95ZOhMbAa4lJThX5Kx
vy+VLJQ9UMJY0vd2pqdRT48IIvDlqdhv/vxJv/s9EWoUCyEPO7V/sVBqmRnFbEzwHmaUHtKunl4D
M+qe//wpvzlnAoyjWwDbp9qzg4sDnapCq1ABP6iHcq8AXsIlCXRaJoWIsr0/VDohIjunZ5H6yeLP
X0dvCI8ddNOBjgzYYKlHeIuxTP78xX73PPFEbQewLQA2vPhewpqZUTC8i+UisY2BmEKQzURjHbCU
o9Xvbhr/tDngFSpjL5Lyjc//5fL/FXPLgZ+6wuEmXKwNLI59qjwH56FyEu9xnBK3W7b5G2/Nr5ef
0pr6iC7Ept2g4Lx4ao25GtiQ89iEYkBtOub5sZxxhyHwi64+sanhVVRiMI3HkKj3db5+wRd/OgpI
vL1RqHHfG1XwPmf+8u8L8I80pP+Pfr7/y5Smm8na/11peiA67ev3vwtNtz//b6Fp9C+s2nlfCEjj
lpncsv/WmXr/2qR+LO5E/nF2YHjxf/zarH/RKzHpmBGavFn98iz9l87Utf6FTDPwAaWJxtzc1v4n
OlO6WEi9HB/3Q44MdN0vHibpobvuGuxqcqamV4tVrh8oJqLrpq9BNYUy3zpQXFZzJEaycaIBtGm0
cmkuFikT6meLOMFds+lBItDw4feIQt2M26XvuwMtsrdSIn55ZfhMMg6B8jGk43+X/cFWekWbmgID
cn9lRllOmujmATMIZoXMpPES6YI9klziB6uiyj5iwGhg4JG5Pxanr15nQMWWEZmzvESjM4f/sNKi
wkJUgnzFw2pjWzl+vgcMXP10zGidi1avdKow7dRgKIN/71mtUezWikz6BkPzt5ICfzmtc0TgsOVa
HCa3E97lWYgSLyhzJGh4LHkUMS3qjGNWbX4CXZsrczumqwGjWru/V5wprLMsVCQZyQ6GFfcZGbE7
LVVRPXmWGI03djPrcuPcbA4RonBE4yXh7bhYT93FbeuZ5FfcN9qFmAPH8h96WuW7thfgEz0uorT3
eyPEtNTvNfpcuow/YL15lkRtDJ+VNxaPtWqEgb6jyIxE+waGfn971R/+Xa/8XZFMlf/zxsPxm1KQ
oJPgr/4f56+LjQdzTPSLHhejpKQ5FVnaYxZml2chKvMqMPtvbVWue9wS+w95NruvEqlZv3OrYLzv
sey60WXmfWIdd4Gtm2l4NJYAollXApNfjo4+GGzmfXQKQ+ZJV+TbRGXyrC+qj9hIyxnkNhLw6UeZ
RRXBFKExrg+zjqrl0Y0K63VNW7xPCYVQabXr8PARD2sJhbEzotZxHsuoXlGeMA3GwqhuN5tWfNNa
oM0x65fpUFnWWj7k/lwsxyxooKDSjOxKrHeCENBvGv1gfBf0Xmdxo5bwNdjQ7gR5rDGcCKMeD5Nm
PHwcga6pZUcjAA60iPeIvZJnzljHtj/1qhvse9jgVJ9WOkxYV5PgNzD/9qgP/WAy+n2DxPxLFmBj
tLE4vAw+5mjFjS68lajtVUCz+FspvsLJAeOak9vtqIHsx37QWVKBQddxGQzFrYuuo7/FVLXFC5hM
HhMaqIKZMISfkdJNyS12Zu9yKceWzM6jjJYxwzUZcTacclEuR22Y5mvmE0i5I6WCP5h5NSZsFQOm
HYb58rpLM8s9jIicq+dpGAea/pvh9yzyUt8rTu8oXVtZfUAlPYRJlEXht0rjibPzegqn2lIEoNcw
56+m7ocKw+0SRj1zq+XBd6GMrtbU9M7GNKK3qYzc9lA3DCxpXRuaX8M+F+JQRlF6G2ahe/B1h/M0
tmWOuze8JsT7LsIfTs0j5sGacEaXQRjPoK1IeONoB9FXqvxxZe79rWjnGZlSAXyK7A2mCuefR0rq
sb9Oyw0fsUovWp6Vu9kd906bR3idhRZYXCMfvGxBtS7tsXkxWFmmq9TJ/Xed17W0j4wJpSERGPNj
CJOvd9OSCazV+6ggbrCfoEa9Dk8RMVrXWDJ/qWujXnYAsaBHo2vYXznw9YfBFOU3XXqACfgcsVT1
jl6svacauS/qRmGZ5p/nbly/WZUCSVfjcHQKe/rqYX12a/al+RyMZr3GnE8IoZ3WZbwa5965G1Ps
DzNfDS9er1D/jsDfVWFtfnVuDoY/0p8iLWPcoWXB/KMKyT4ecjoNwmiRq4i8JlsQWgmgqhutA+Y/
DPIG7FqSZh6sr2sW9rjFYJP6YjV5ik05bjtO3E5lf4VJqFJYNjvhAZ3cd5+e6bNRutEPfJo9coH4
96N4GKr6ue1QiWO/FBTXkItGrEUYJG7jdHsPTcy70jVwKpRjU76I1hRJ0QOk7mdpI1CwuN32DrZw
MybBsnhXD3BE7MN6vQ608t65awnvsuhmyyBa6PLLdJepBgwRWOqmbYEGdx2WJufOs1lVWuk7U4zv
WTkesDz1+kOl3O6gIcu+o1Tqb2WwrHuFYyUebm2aX8+uRjsAbyh+tMNaxGvqiBLXT2OKIMwN8bD0
Wbghrq2HALtfnwB+ig3Sds8io8RfysHIb/VoqOhcSUNAtCD8R+S1EFpsm/2+m4shivEo5XUz13sR
GQG7GjKtj50T8LCmfubc2gQMHAag3IewsXBXFcIUeF+Mw37yRvtRZDSUuDLOVTCEbuyq1vsg8eEg
oExjmE/INiE/UW9PmLnbdntQsgyvyjwLBJS2W1xrTNOOpqy88QbYyz05jakx+WmBrhuDZNQcOdQ7
dv7qlfhj57a0eqwC6yVNH0drxdgN8XIPQbja8qlGydxfGatSj9rxcxNSLfXP3hSF4kwyUb6f9LI+
GOTl7DxzLlZIlIq1DM1LzFO8fnYyHCLhr1z/QPzStvtkrRs+CtXWxmPNk96dijlaI2bRlpGeJl6F
OplxTT9InljebeHeDcGGT87+vJ9sE8NTHzrLBm9LjMEbrpfKe4BeOzHQeW7T0L4Rk9aH2RiPDKKO
0Bxf62p96szo+2B1T1Yb7X1hv+osu8e17OCuxUNh0Er0+kHeu85mSlgN4dYRyFhTc+td1fk4BZm0
u4tp56FOuaaByv8TGxEewL+6KcCkxdv8Pp2j5SAZvBwaPAWuJk1SCxkYzomdDt/qrCi/pzg87l0j
k0eewWAv/Hl8nVy5nCFqCyTxPOF7qP8VEakjP7Rln5rJaBpXucYy/2D2WDnuPNSaxXXvaaXjvoq6
syppie56E3uSHiqr2rlCfSnlerCQgxW3fi3UnFhGbh6CAvx3wEcKwOqLgaRSxWEaGu+6IssOrM95
dipK36HUYoLiXaVpZoa3cyi8cI/wc3imzdq82GVncYU5482rVOlTIx06gZmTzhiKgjYQZZ5m13WD
EHNgMHMzMf48BDDXA6rlAmFhv0CeYZe23Im5jGZAXDX3N47uln0BtNDFEE/llEQSaTiGVO50ZYW9
dyd9SfmuHRdL1baFZEPRFwA2m+O6PpUp15xlkOka1qC190kquOg9Vr5oKCWe7buyyuzpgPLCJ4HB
kjelBpqKG7yhEDFOjZ+Uuu4eVhagQ+kYGq9M0se/AZM52zUK9vRubfzTOu25iHCK8hmpphkxV6oH
N0Yf4NvHEIXWI3k2aVyVkfjRWZnxXqquUHskGs1pwBg+26+uwO4vQA4UZcJ+vzD7/5jbbq2uZRt1
TVwiGG1PKGNSdg6akcfcbOWVi/4wWSZksQ2DtXs0jE1+xW5S3YdGtHxSdt09uaXXX+vaDB+ZPDW3
9OpfppCeZSBc+5bMuOyDrUFgVW6P1ucN5TlHPtqFLK2sH+XgBO8z1Q97iEn1lSvrfWK0Y565cTwx
/LwUkru3jTEuKq9/8WWL5Zi/rM4eGreCWu1fF7td9itnuVg4qrsabNFjHdzVS8K7TxVQEaA5X6ms
sj53Ao8rQObo2pItWoRw4nuK2SHdTrgIbXrRMvBp84X7vSzXfj1MRyVngcN9O+3TuSteSpxadmvn
h9dmnUkrDrqFO6kiRx9cw1MUV5aYbybfORdZOV3Xae+jGcAOOTXn4BUPtjIOO143laoT+EJ2dMNV
g0Hmw3zXWs4Zo7f2SaGGXGMNpnjCiifbS6MLH2ZvtJ5ximvO9WhJ/I87/UBf3EUTjYz2IOa22aeW
z/nSXE4IqMRnjqboYiJS0CN2jSPQipHuAxya73OnGXdmV8476TmciDgzym+N7aY3tTVZ5x5d/Huw
H+uq1K68rqMxv7XnNnuQpjhn5XAfrKjkmXSa6Nqy9DoLjFNT9uKjn7bzFw9x7XtFsXOsKv/RFMWR
Ig7JOvO6o2uYuLwGU3XTKw+prVkP+LP69sGSFjC4UQeJt9olGxphG21Ve4eqj8Y9TuQcGGXdPTsz
Z/Q2dACcG93FdpgDEBfCOs66uwmqztpH2ajuIoEH4OzXOUIpdAGjDEO8fJfh3hEiPc0+kjRHzfqM
LHq87lAlPlNyWQkQl3Ge5hxDvYjbzX3HkDSROdILjcHyB53J6hg63Xqem2ZOGuW95l1eU4conPSi
etrXZMgcRep8l27fRgcl1npfpG56RvpTwo3jckh4l31v1Lp9Rofd3JKU6S/sUEWwX7B3uu40stxV
ifkQBvl41l3gx4uh9ZUIDC/pDKXPNTPQ53wVP6I5HL7VcySSjDAgQG87C5Fw2DMS1Dk9dhkgeMWQ
inI/b6LEb7AcyetvOkXvTe3dIMVcsbmycTrEjuA/qTuTHbmRbNv+ykONHxPsG+BWDdzpbfShaCRN
CEUoRBr7xkgz8uvfohJ4lYrMK1Xe2Z0UUJBSdKeTZsfO2Xtt53PhJDPztDZl3RmG60B7+OvWQNjF
9MU2c3I4cDWVR7JwUp/8nJ9YFAfsMsvdGEr7IUCHfdTdRFqk6jJKkLqLrkYMEpt6BNOMeI3nwOkB
M7LuvkZUhm/BaikZJ4t9JklswssT4wqkSXGYBzd8jNyEs5OUpbowiBzCql4+4e5mzfW8apOUIKMg
APTPViNjQyb5WQJJJqgHre9psSa2/hLJBgcXlV5CxfTWqtjcCVT6l0nrW3sl0w/8JnqTOcLBN5wM
+zFST2Hi1Wj0dXnSs3k7uOgyHYNNGvvDvC8rEjZmUe8cIaHK4PnJY9AMM5YhqPJhNcOXVILlqFit
tuwtD0II52hQSp1C6gsOdLXzWvpmta9Gde9guybpFvDWM1y+2zIVy5603TcE/faZX9vaYRypTpEQ
8BXHedd38nomkf2CtYCjmzKqD9Rry7FAk7vNbJu9VItLe/Qwv9aVG1Zb8J/jLupK4mEMUnVol5tx
yut9pPWV7CmOP1WByg4R8tHnKg+iq26eqKwajA5evcCMxsG5HYroZYjCD/aEh49kkh4siDVu0cxD
KrXno8ELtKmV61xis8q/1mWJ77CCHwHDV+sTkVAYopeabMsSgYKCivwB5HO7n+CDj9jjUGpQ+SRH
b1k+Ci9bGPRj/OW8C+2CDawiqolZLzpcfzyF2tfuBkgAVoZCTvyE3YI21w04NbkdR4RNmFJ8mGX9
AtH+udQ6/NrNMr/gP6xugmHM/FPSjd6Vm7ZEGGR9735Mx8Y9+1MzXeNFn78U+KNulUUY3CZR4MFQ
oH5x0ZnKrR/27dXE1OxL6ZrtrZ+b+blzDfeqt2vn1h0ql141xwtlCfOOA6V3TsKiPrTIlc7MhwCg
I9K3TjUc0LNRh+pKCpwyTVb21x1muysJKmEzjobzQVbaoLXhqs+9O1kv3727OOfHHiiewkdYDMV8
jIhncjYDHa8Tkq2B/+EkMDid2nWUdY9Y+8yvieEuu2gM5684K4aD8kK9hwCNiHTIrPKiSmocUKDF
DrrkELSLEjIfNjRTLRmbjOrA5Got4BrjZXpED6PgTDceRScS2+dmWakVQWV6b5MxkDk1Jl13RwxQ
/oQ31gO70E7jasGaz7oPaIQWBTTuTkfHwrKcj02jmnNae18NUdZnd44AIzHyf6Bs/1BOnrjsmLkv
G99Z7lTomM8Zbqdd1urxaJpm9lK4YfHWtrCsMtunzOrloSnN4TxVS3Qp+5oaSRbtQzh1EJqDvt7l
PDQMDEwzVvnqu4awtq1HaR+aOTXubbyOeoa/4nrjHV4D67UEgrx1qkZdFZP6xAS3dNiwTElwsjba
F0Sgk3lgRcLvVTQQizklYawwhU6OFXzWj7r3uhhKiHEB37mQ6w2HzmGmV5U1YKMAWYsTOM/9s1Nr
uAe6qmjkUMW6TI9KnndJhByePjc8Yrafk/uW6KfiODmRNPZLr/WhtWf/LVD+susslV+1QAgqBxP1
a4bGAwnAZHu1dZdWwQRhhLbGDToGL9kpr1NI23rTOlsjUDW8losdYi4FXrpLrUJnT7jMfQgsfmu+
WFHrz3ssH7ABKLxQgvZddEjkaPAUBot94dOQvsNeT3spnCt6Z7Prkq6Fjg62EBlqc16Io9MHcDno
4FEdV7hZCG/qpgQCal/MTHHqJJKneqHhcgmMkVZaQyoBSG5yMvK4tywjzmXIKctSZXpg55vhlapo
vGU5rYsvnVSCNnfhCwzcPLTeRwWixbrO0EH43+jAFS12W6QVGORELlk8N0bpjsneqSi5N4Xfow8j
HgIkWjVOA/F8VC1fyc2qHmwOBJgEyvE+YqtOYMeq8klWffnE6akrKe0q9/PSFz5M6zr0lmtzamxx
EB7RV56n3OuRt4zjeW5DSel0hrpv5tR6lWL3H06gi62ZzkUy3JKlltTnwB6xh2PGBuRMWNllXbYG
iJcwW8vNptT1oQ4zQak5pXeZlwSYsUd6xDxaQuM9qtvyGzGXaR+DQvS9RyQtsjzAl2NNzwCyl7vU
bukcIheV3W5Q4G020nCd5toiPhAvTdD7tOFpTBZHp/OZIPS2zd8H58zvOlQR85Nl6DSi44nX2ydg
ZbrPhC3tG0Dx/HVG/JjcC1p5D0nL47m3JnNeY7MG1e+KRVrk0qUZyWhB0tPGy6aeYqKejWUzGajA
9k26dkdy29BXZCsEyzZFtvvMwEMdgeCU3r3fGJiFEs9ACv89XINDImdmyDnhFVV5dgVMjSrRGXVF
TguoBhMNM0g64BJmR04XUOAChZebL+ThFZm5KVVOF32KkDsTNFIsY1xqKdqtpAKLI6C4wd3iCDcA
0ZQI/+RMwqGp0TrqNvVSgztTg7GvCK/DdZhLE7QSRRsdp7zG5Jq5AVXy4uP88qeZDWRyhfZPS60S
SbpHxZqhm/Zr5vYWhjAO3J8UTtDbwXHqrxJe8ZNvq4geeDvcEFNIRIDdBFjvvUUze60rrQ6jk3ju
kYA8azhlpa/DU9P39Gmz3m2ABitvuBxwasIs8Ytb23bILRununxyqN+fZ1sv11ETRCBQuzZy2FAb
79EzZxPZR6Rx31EsB1+WTkV7g045u7Qm24EssmCqnoWsCT0JqyEQ36ZoomVvZcFYHAe1ksLoPyN2
pg0zRJcp++0h8voMVxphD3rPJ3e+TFO0ZqEYScgTP3tiN2q8QxunsNW5RxTy0SaU7SFMHXlt9UV6
oM/AI2MyqUfiRP2YHqUkT/tiQXWstgQciTDGHVSVsXDBIMDGqhz7gDmOwsowLPvW64LKucCEWZI0
4nt2id5C1CMsxC5g405SncRkOhDZnRFrfaHJGrRvoIKzsMliKLd4or3zKCSpg6ZPlbjjrMbDjQXE
hfPgjeZn4a1lpzAr9cGVWe1ss2bkrTA5uPPOjZVxgsLEUq/KgJJiTriVjcBMTRSI8HcEFwyUq4nu
K/y9VXE9hDKybxwGqDYNCaDyX9vZRzZoBC5foeetnLY+Nme5sb8/7yCfsjecoRA5XY5513jHiHZo
J6ac4WBhqdQAvj8PQHZI51A+lNsE2dwH+rnhF9HJ4vNsd6C/8tYpn2yKTnxWBPA9LSa9gM1Ya5ho
KZAPuot6ugl5/XKOBIF+xlEM8WWIaK6cTKFqDtaDwScMKrvwySyAg7PJyb/EsO2k5rXb195LMtF4
xszJCzqm8N7izNJmdgiAbqBdmyi7uWJUGbHjJjWd7tlp90XYUL3mnVFdMsOc2zhyXffajTq+2lia
5kHJHoOvnxiYHQNCK2LRtQYA6slK5Mm07UEdgPA7+mB6C655ABpMV6Z6cstdo0oM1dXUqmZX8nXU
hoWrDHZjZXc3dRSx5rEJA9ioYOvvOeBU9SUQAHU5uEvIOTGQwfLRd6vmdca4N8Rs4/ZMapRb6Dty
SFPK00pBYJyBE4BdCJvuEcxTizi4aphzkJkRTvffp1gEVFXVycR/DnOGIdhLM6joGhover8BohSS
NPZIprZRm34o8skGls7iufN52YINEXvRUwEpRXAeDeV9hE0fEAJ5iQ2AifRtiGxQu01KTdcINzpl
E+0iGAyhfPI8TNJxP/awDhp4P/S5O7Y6RIWuukwgsbV7CMjRwTNCmvySLn99nAabnSHDIIlwvq4v
E8uuk4sixPPwdQyGbL7Nseun170veXm9Si/y0tQT0RySRol9AfE7X47NJBklcn52yhPZS8kSg+eD
pj/0Vf8NjymJA8ZiFE+t05nzhYJel3yyF38FWtk6AVc0WL38YgqzWJ5sQP4cAiwVhDCrpohYUnoU
3QcXNQ52X6vYtZaEde83YebGdIAEeaYDfZ+JKIWMY78U2SniLnG8VO1YyG0VsFO8uEsmMFVo1Vfj
LV35fLgDzGE/LmSaE61F9pDem82Qetuw80bvZoQzRDWXCvAY5kWBpPN+TCG+9LQGn4OyWF5TYSZX
3tJYHH8974JU6eXZ9UjbSZphuA/SpTm2c0iSWuozzZF+eCwol246W/Sx3cI1ietkCS4p5riSTbBc
zFQ2+OA6vnwlsSrl8SHj5GBCqrpljl2+WW0/fRuWVAveqjmJl3Lq7kUOI+pCjVV44bed38dGoQBg
GQhztnj452eQEeI45O1O2sSnx4R1Bp+1GyWfBjOIHg1K3xiNVH0MiqyLcyP13ipRwSHDkGVfQSKR
p2CqzRsIrF6As97jaKuS2SrX1Ig+hngjgSpB4edY1WNJX/Lmpc1anwV8VIbez0BM2Ye67IuzuPnR
AFu3AbYUXSAQ1WcP9cbWt4zoPGeYgVNdBNdZ1JIIO0sZAuRYkiJ2tQd9IWGTPFRltnzIhOGbzLFq
E/c8qQ5X4eLqY0mH8IstQeBh1SxueINaIw6gu+AiysilVA6JO4wbQPY6zpRfSgio9ragjYIpthB1
tEk56e6nqIuKXRNU2c1Cv5UokXZgtOrBHtm4VjvBRemS6sPildnKWltDZSZObFllQiWgpQwqpq8y
GyxrJtWGHHl3R11bn5VsnYEYYwiDXTk2/KwWEtBJJCfsGuUmD8Pxk79YZQxgpL+0lyU9WU3JcMxK
nr2Q5tZpJoIOCaDVYGxectU/z+DeQuHm1+04PQaeBRlkaood7prukvnpfKPbrNBbw+3FPcksXhz0
4cp4CRj39QnYCNg8jF0cY3wA+xJ+mUvVXFpILG5ppvLgL6ojlcDrTchbiNBygHo2qBJ0L1s+WoQz
qrGTU4ky0yEtwVD7wG/9Br8UrI+XyhmMM4O3bTj1oFWMXPSHbFGDRB9hQEoIVe5vFKfjbaG9DybU
HqwVtECZWIewUZgkHm3uGdNqDvq37ghWcdMCZbkiBo0wjKYpn5g4VLEsRpsmG6FEW8ABwtm6Koou
8npsPmsxsYspCGiPqg2Da7Hk86eo7ewdouVxk9Ogf64tQ9HRBU+xEU1Pw8IpTJHtR0Uja9NXJOcY
7ORzDeZ4Tw5gHyuj/WaQC3b0yNSD0oBEaPt/M2XN/NRJjlkyoi86uhJcTS9ItvFET80GRPCckwd8
GmxC58pQ1bufqzt+VEEj7SBPk9R1JO4B6k3cFj9qc2DGBIQSZ6y5ecdKHWKyuViScXpVns28zayC
m1zZVJY/v+yPIqnvl0WR6iP9+q6x9N5dljQp7S2zZKCNGZSMj3J2k5jgFsYfQwXhY0OqdviLa1rf
vRz/FuRyVeD/KI5XP62JsPC99Lof/Ah0ANNnOblrNzNvTOZQJovXBgWR7PEsqPFBw5NCik9NjRgi
zI8M/TnxTYW/yF02++bLXA7RxAFKmBxeg0G3zx4EYONEqA9xVzRmVpYC42Zq6NZz829VUc5ojSc8
dkcioKkP5tySr0FEGOOelGtQfU5DuswRBnh9B6faN7ZEjTnXE5Cox5BT7pprQll7hxXAQgZkYoMj
Kq6axp3M1TzvCpUEXWxJj/FczsGoe4lmd1WQGMSMkddR0igGV289RGJkgtrl0jiZyQxKTSrVQSfy
pwXvS+3fa4dgRWI9alRhWrHXZTqkB0tptXcMikuSgl3HjfOUGCVSRCHA0YMDsh73GRDsE3xVgrNn
AhNOfmlyZtOeR/cDkU97tgq/Y27C+fq5lqKr49ZrjLcKcwq1htZBcGBiJT75YBS8A+HcodwRuTW/
loR4mmCC9dhBfdAg8aD1IAzossWPZUsnmoNmgwTWoDtmwPJxxu5UEqVDomVU0DiOgr6/iJaCbSZc
gBegIOoRvKRBM5Nj1kY95zFD1Ie0GhDMNb7jVLvcB+tIsyEraQtYRcTyjWzG28zl2J8JLTajfafn
5dRGELoO31+OvyUzfWjQN1Tvk36JkXht2pmSIJP/+s+UqIe35vpL9Ta8/6fWT/P//63hX9//OH1r
4i/yyw//B9mRkPPd+NbP928DWJd//dfvYRbr3/xP//D/vH3/Vx7m9u2f/3htRmi+/GtwNes/ikoD
dGX/vQh1h+ikFrgtfv+3Tl//+Y/1P/hdhWqHv+GlQKNm+t5KqVjzPyBxyX/+w7Z+C3jVV+AbtpWV
hfBvEWr0mx96WJ1DfK2sgn8QoXrBbx5aVv5oVSKHYG7+jgj1nT4TwwwtUnoOEUUO5Qlusx9X2cVu
URRhUmR8ZNoX5M1+bNfizoDbdimJwzkjvakvVtPCAUdvcHD6mfNWEJRdC8kniCD0JOO5rtP88Q+3
8C/Efe/W4fWDhfi8+WB4nLCmvftgZMcZuaKpTY+q7S5qyQxvw3GJD4rWmwYxvfyfXxCd8B88Eeud
WJdeejrUFdD511SaP5oFXFP1AmiADTsnGbfoDPpz7xjy6edX+dFagt6XQQnXor7BPPhnYgM9PrBD
bR/GgobHpU4Wh3jDTpiCIsJ+rG07ZQTd2bftrLJfydcRNf/wDZnro/ylnoUesn7Td98wQU8xNQEj
XGfxi89p1ZTngcxIwIkaPEtfOvWhkr7aRz4HY2MIGcsu2UjHwjX9awTu/o106vDTz2/IO63pekd8
fmWiHyws6th71k/9Bz9b0Lpp5CRpEifaMfYeP80R3ihVVW0gDGujJbvPtbqBrTJctHNQEFRoZdTm
k/nMtIEH0IrugGHBK+udgMPhLz7eKnX9w878+8dDgOCA3SH54z1FIVyCtaFeJzGZauFeFpETm7nb
f9HNqI/BXFhwTI1GkJXZmAcLbwXiDi87JNpHoTUQ7vXzz/P+teBurYbliHgiuF+ouX+8W/7iQwdc
OZsewDq21Kwad22fhbugNY2PmRfNf89X/P338QKLRSgMcEW5798L2J4lwRCdYGjXlHs4N4GNXLo3
P/RrqllGQ2Cb1kp9o0jjNJsPDARbj/MGHMmzkWTGowmB4xe/yrvacP1ReJRXj5bHyoDn+ce7QGvX
6+zS52CKMviul4ne9aY9IcFJNNZfBF5BT8Ps57f+/QLhWCaKvlUqjl+JEdv6pPzhQbXH1hmjROQc
pZKUwTt6DM5MzS/u919chR4RqmsMngjD/1R/+gZCTGAyO10MK4JE5mQJjk51//Mv86c7SMoAKyy8
CkAkZC2tf/6HL1MLlomCUU9c+HN51diZe6rBnYA3G2VyWEbhH3Kj8m9/flUS7d+9TVyW/Y6vhvrd
waj+42WlW0deZwo3bqrFSI5G5hnfXEtn9b6Zu2xfKRIvURKVHiMxo58JmK4bztP9omy1DUOjb2KD
vXHagPuQHwpk2dmhcaD4rah/bzt4tso2vTu39z1I+4654aLv89xLL1eLGAeG3LpDZTJ4u1bCzNh0
czJcpotj6W3OkBqRdkULJAuRvdPJtuzDYOZ2c81t9NBbT5neSVSee8JiJiRTqH0ATEbDCFQvs+QT
o0D/2jQqVe+nzCYNkSgFxnqEtg4cy9FTbAtR0AW3x4AmJyB1BlRWl9pIU8d2OpU2wb53Gr70kVNn
GR4ciy70tlim8rP0PPiQKHvKJ00rKNmSuWxMYMsyIjYTkxYwmYaIegD093RMKqJLaVGchjYi0Vwk
3VPp5uDMKjLCf3F4+asnieUICwBvBzKcdz6WEmQj+ASbs7hNc7QRZXLw6Inv/A6anENH5zorw18d
DtcX/IdVeX2OmNbZmM5Cn7Pfj8+RQpY3Oinw48rpCeO1q2jX1W0b2wZS6Z8/s3/x/agJuBieH+zx
3z3Sf3hThgGJmu9EXIq34sKawcwkGZn0rdO6Z57zeY8it9z+/YsycfZNm7WesKb3NzVNp4SseD9G
rSmvilkDcw7KmNYJbOOA+sSXvbn7+TX/4p7i8XYpBKkEIUq9W1QbF+ZfCjAmJjTC3UNaAkgvwnrv
dGlw/Pml/rSLYW+F2oBXbjWhUgj9+PMNOW1pC01vPPiIXdm1+pNZC4G0KlquaDbrX1zv+0P47nkJ
wW9gS2c0Rwn07nlhutEheEY5VfnERURVGH3jwFW+iGwRD2NR2R+JLBnVwWx6i+yNvlvujWwonr0o
Y/01C88JcDeEzcFfGZYxL5l526UEaKC2GubTgIZS/uK9+oufI1xJHlSKaAwga/54jxKA80h4G3CN
XR1djuMaZ9EmJvOVQf8PLkVRCu3V8lma37dagLAN0LQB/loZtGBSN8UpN4wQt5H1q1/iL96mEEwg
r+3a63Dcd2X9nNl06ac8iEk4SC5h3q5yLgcidjhgdVASYprjYlj4+fP2F/eSkSp9BCQQ/grD+vFe
NlEkSCJBgTwGRY3T2BW4yIcVFq7tw88v9edHm2MEuDl8sDinYOn9eKlMLwFzm8mHnhvSjXATuesW
VDJuDpkIr1b5i9ig9aP/+GTTqILyBQXRY0813z3ZSeYUFfROP278ztsPxiwvI7bZXzwhf/WtIDxi
CVuXeIAuP34rrAdGCyvNi4U/R1sDF/LBqbLx2vEjQERF98uOmL9WU+++F8sD1sz197IpeX+8Ylkw
4SrtGu23PxlOTKuxJuUZJXS0h4IQ1Sjq0Q/Bk8ja86A7ErKx1cD8Twb6vZswbHOiNfA/7Aay/Wis
+D5tDUE0BehcJym2qoQz2gyaWmLqpHOMFrk8ULoTVo8UrHwVSTMfMuGob0MlmpsUVr+974KR7Zt8
cDXuG4SbHc4SD0FzUHTiGthu/1nnJrUL89DqlmECzZnaG8pPXU6I5cY11yz53OzHt6xZM/aINGB4
rhxbvSQNNdg2gicvOVfn3QUnNfOV+QN2JH766nEYx+6x4Nf+VmRDcp3YGhvENDFNoIclEbLi+qqr
bcFIOeNlstzVjqCbF69xZXKOgtJbb2Iy33qGQI6KuKRM9kMhgFzPVdZfu7SxaNobYwCzuVhKToBS
BBfOCKx2EyGbe7Nlh0w5S/3qi9/KrtppyPoPnBimZ6i2c0rWgbLSy7F0dErkw6wZqfaI9Yc2dGFV
okggG5mAnOdsCuoWi5bDYQ6Ab1XuC9ENtOCR+BcksQce9ZN2JMYCg6km2N6yel3mwbiHv5/ncdMl
fBC1Rg5toFn7yJOg5ZNFHk3e60qu/ubbk+J7FSId971Q6X05lwkCXVD9N2A02yfqN0nfPsHBxmx3
qUP8VZ1NuDbmxRSzmOEwJkFbrgmcwt/C6H7AZYnrax39YCYJLkskD+Np9EP5WH5X4hPmw1Da6eb6
LBHf5ZtiCaP7yEF1eujw4l+YMLOx+cFrnLdtFAH5jcTAfJ1ZSnLBL6itLSUoersZajNRL6mBK43f
lr+IzpsRRZ444/UYNpLUG0DvD7lZGy3zqiJcHQpVc8Jjln21GzsqDjkIgNMiFdlbRd7VJ4GuvNtO
jpneTf5iP3AhNBV66JsnhfHsnudaMH3P2umtawDHHYpG82ntik1u44VJd+PT/P8VRvLPxwGqiJWb
ENJCCOHk//iS02q38DhaNqpmE9JwzayFfdi+Gn1mGNQe1cYxlYqDBMFmj43n50v1OxMuR1sqOjzg
oUV7LuJ8+87+W9tW19lVY8dtjSR5Y1VLF/flmhYxQ0CtpNfu8VKlVCkGPeGhj24itwlubH7wOPRG
ddlaiKF+/qH+vFXxOuM6X0sVyjHv3VYljQoLRWX5cRdyxED2WNwaIWPlLovKu59f6k/NP74/tdf6
5RmyANB5d62oaJzRDaQT04NUJ91MczzDcLlc2U0Xs6+HL3jEa+IZJhd/IPh/TiHNdiZRhdc5yZAt
zSxUsAz3P/9gf34ssOyD0+MMbFICvcc5iJJ4GSuvg9jsG6bzo8Ih46Ar2Tdhy/JY1JzFRGJtBUKi
rYEbcPfz67+jm64PhsvOw+VZvcgAfL/dLXlrIvtVPuklU3rdCpZ+uoLtCXEmnR5gcfvFYZfxjSK4
DYQMTuUyDkjATTF8Ntql+vjzz4Mt5f1uSP8YWEEA7dhaUYfvCmZMhtpwJgf3xTKNZzcrF29frLPJ
Teck2PMIURD2oQ/G8TolRavYoqqrQqTxJmB0nuav00wLlfBCfIS6YFK/Ze5M0pOzeK6563oqzW3i
MYc4cYJm1asR/ZzTFlsSYkeiAbdt6nhPBYa+o+0XpCTXVodfsELmcLRXy9OG/bJEKpxbbKiJzXK5
VbPnP2deWlNAz7NFAEVhOwmv1SiuySJhsjfZaIA2VViYw5Yumv/a1prlRlad0ifHL7GrBF6vHhu3
c3BSGa0htq2rmCPzO3x0UAXJraPIjov7rgqReHliqF47/HXlrsIQEp5LZPPscMIILUCvgUYg7u4d
Edg3ntMOj/6iFrm3Fqe7QYpPhFACkzHduxijlhhhXP8wBHQWdqMNYeuoQttYYumZV4Ql+fUtWbmE
ADIfwnDVZGb51I0pCivNoBWXSU3/K2uHoY47qPZMbwSyk62e12Qc5kDyVjfS+5o3YW0c2CHL6q2a
sE8/iIXn83GJMs8+dnOTIdGescvuHOKeRkauyXBayB25Xumu02UX5JGL2ShZSDAtdeOeciW7/jBn
shD7wJt6684uwnFvIHfo4rEPzWSjwaIR7jeisduSRZLdCOLKfFRUuXowUw3Z38+YP/Brpmug0tgb
0OpFa3WxbSYmIG3HHF6zJFF3bNnpK4lU+OeXQmBAIS6KPAxyHu1N4yI5BpbGllln5vCJ4+VILwtD
X44MTXTJKUR5SqLloCZad6QYHZDaIG4QiLVc7LKZfMAbu24Cei4Pcm7CYafqKnhoOhWQDow+eN8K
9BrbJnCYnZpDghVdGno090vNY0oUS9EikYbbdZPPIkQc4eUV/oZEZmpTI614on4YcKGjBAiBG4hq
jhfePmvfkwn+KMnhrrBaoU/m6ZvaN6z9TXZs3XZk7omAZgQQX5QIR8Ye8HhXZt5lvvQRtgaR4sOM
6vU6wWwMxxr3Mm7KZoYb47qDf2gTZD0buYBLj3kIdXuph8QkkrvmAaRhbrz4Kg8CFDPoGeN+gct1
bNwi+5h6WmFwiDA+iyTSZhxYxHEu9ex/GuU4MzgdkzU6o2C2wLyTIJaN1ARMredXRKoznr+OR6rW
n5VBXzF20Nl/XAysrnjHedI2sEOaQ9frtcZJw49GY2ixIZMgqmOgoUQfTu1gPo5kmRHcyEN11shg
3rxgMO7SwUTZ3ZZierFIAcTVHpTmp6KLjAcQuVghqC8xvUoHyaGga4OroEN4qvyp/FTkof9xsqPx
wbPy4psileWqRykBfmJoiSKr3GF5RPKVvpQyCAx06yPMN2TsLgm6PWajDe/ZiJq5ZtS9KzsLDg8N
uW7ecsSW/Sb0NWleSTIH3kYFmkjzde60s10SCmKc1BgHnLG0bkrKa1LNUKlVB5LSnc9TlRXBtiy6
+RwiwOK18MgCOBkG1qLdSK4Ug6lQhK+D9lK1U4Us9EVQBu60Xzhj3ia6Ux91VfsuDKQ6fCzGlHiT
rrOc2C6ndeadLemVNa1IFKsI0Lx0UEfKGImyTVwAuqnuzNTa8Y5sLICVVKMILQJ3aYpTOwadQSRk
Ja6ruu/UtpecBbdOCChq1/vpUsW15Sd3bds0TwT1AvMSEQkbO9uehq+OYbCehWlu3AB+LVI6/PU4
bSU3llyDPof0YejCfFLSiIjE5K3sD8hccUUI282ezMR24F8sJDpsG93OyLqxaUJFQ2+C8giYw03g
SlylIei2+bBEUfrNmbvCP6pmNJ75pfuOMYFTtdwCRcHtpSUBu4AnxRq8Y0UfR04Lm7ZL82KXhzlN
gpII3mwXFSMG1qRmz8IoU34V1mLCszGC4lmaaXfXQSdH+zui/utmQe4KuXKuR3atq5MtaYuZiE1X
wrXAbFlNG6SPGqSE3Uwbmwr6Y2J1y0ufofc/Zk3NLionp6hjfszxUhMPx8gJqjoS3IY0rV3C2EEF
PQFboVzrtLEZrY9VD0LtiN7WTzFiERAX54lQ7tYoDXAGumKW8HvD8G9N5v+zsfvN/zIA1BoO8N/P
3rfL22v2bvbOf/D77N0KfwvXNjF9Lboxpu1Q4P4+e7fs3+gFMWBnMQtw3q7BDXWDsu6f//Cs3xju
MJ4F9AS2iIbYvwFQ4W+IQlbyF5yQdRTm/J3ZOy3P94WuTX8kpMb3qHLZVv7UDUuL0MB/vEYwNeGH
hkSeQUMCwPv2mNdAXAAfd5sZU9emp77a9mPwpSsc9CRz/9zXZkcF7BSn0ojwpIQvplvcCQZ1qaYP
0LrD5dSikMfaf7U0Xn0Nn+kiqHLcEFp910lfByN+A1JpTgvFkTvhI0gHfVH2w7HNLNIgCVjx8nIT
NSzEzZUBfwaEwlXkVZ+xyL02Kjm6sv82GBG0NedstsF9hr98dHdZ+ZRFbw2e/uhJLubRw5ariHkX
lxYLYOdcD7mJzcQlQYoZbzJjJqypZL3XqH3h04HsvjIJgtwkeB3Rbt7KSPMeFbuQJUkwy5jq01zo
HWUNk+MLGAjbwJ23+fJhKa8Qo9LASAC6GK95YT6iyj3BV7gO4Q/prjoa0YOiRcLE4ibvPy21t4UZ
DpCDpEQWgzQ7p7q5mt0txpMDqbcuoqHxKa1a5kwbvIcc2uFfX9vyjKUeUwYpgIP3ZqTGA9LxgeYS
GanG8NCnX0KPU1MCmPhDQiRgaedHq0M9ymmXSdstvt6dl9kE65lXmdseFxMFdQVi8qoZ8sNS6Ne8
14dq6isALeQ9aXUZmOomm/sNE+DjJMRL0e918YVsanwS5hrQXDIzF7FtH0RKgF1tHaPJYF28cSWJ
i0Q/yRODzfwu5bIZlWrhEIGFz+cpp5VE62HbqttSnvMcP8k07Smg602ZRdkpG5vLqbAonzDvgi27
p22FbPM2qQmkCZy47Pvb1J8+9CGgL1Aph8HhiAZ0CF/QXH3S0DQ3yOPv0ia8cCYTqg5RRnW47OEW
RFttuvtWmfeDx90FJvSRck9ubU6a7mJ9s8w315JBzPJ89f+oO48lyZHsin6Rj0GLbQQQWqUWG1hW
VSYAhxYO9fU80eRi2BRjXHLXbS0qMwJwf+Lec2f5qnXFNga71LmAroe3mmZ6f9dTSZtgILg4bPSM
ly6aVnAaV2Nh4O1Ce7ns/R5gRV8eCQCU66Grrs58Nh31I93p0vl5ULZkHPbVNiJH2s4+CoTAA67N
ziuOqUJJVh7n5IkbNmiMPlD216zylzaGHEBmUc6iy9aGG5LkelV5hLXDlECUi3kC8PefRF826LLe
ekM9RTAQuPXh3XgsMtsLYRmhldoPRAauwQfv4QPsRnM8z5X228/tD7QOPAfv/rKj+wkizId+0e6t
6hV00xEcAuFih3t6IZvy42Dgh5h8Yjg06zY7w87LoodoKH6S2OZrIfIEJamu83wrLjP7opah/3KN
9rffVofkr2+j31Cp4xchpmsSRGCBpjt4s/zgMnzzPV4P4BI/2Du/dUMjWdgbfDj3HBBRGjK0PBoi
D1Ubo8Erbug2QjSwD5MSzaawQVosmVbil5ueyKX78O1sCeImc69iprcTi7dPKpJZ5nhmCOGJeDMl
+ZXVaRXoQ/tCGuOa8LmzpuU7jRFZWX4sdZja9nuW3bIx3TURm4TGfEr733qEB6YvFhzmqOPr5Jfu
NZeEZHODWnudqCVdZTmxVSl6eEw2EAhyZU+PHKIgQtz5pJe800gq7l4Y7OCucTRyt3mqEnFKLQ2W
DPT1bTO/QDdbL5YxsAhyKRqKZjVU1lOGPMJd2GVZPagOj9TOlRZ1TzO66oKQp4cC16OcnHjvYWDc
OHG97KKWcMBKR8i4JLyTxEJIysj0MzO6IwifUFXR1RsIcRbZyaus+dkutLc2n28s8I/StS86ltnI
OioRk543pN99Ih7pES2KPecbeTPQHqprZuUy2fmzQW+Ve/LQWmApChsfibLFh9n7zDmdxCMl3CYo
uZsVKK9WNhuncYCM8hpZIjrB/m0vaYNcshjiblVb+cm1o2YX9TPJmTVThkvfWOk5LSJkIr4KETA7
2OzFsDc8gHJajWu3jou9jDRnj53IeRKtrRByTwkntnaOyAp+7xVcdceZ0lcKqXFjM+R/4MGQKPHi
9EQ42HSMoQ0GoHWqnZN3GAK9ugnzWDSYWgjHbmYn4h4Ee9boy9lt0UQuNGgzyetCJdvYFGvOs9+2
NpJ1SmzeSmHVeIqZc4YtPTIIjLra6wvOH6P6U+PL14XYmY2oNrPxSACpeYqsPg6MFgxAy1F1a92U
12XwnfLSmla/MZN++JUI5gNLbs36fsb9gx4V3pOyjfLijh7JNMvQXOHik73uPAt7qveTRHJc0nCv
J2rl+4UXG59WiUE48YzAHzF6ZXidtrkX8CHjzSUWEBBWlu17t0SWryj4kzn76CdIN4n0CCnDyZ/H
+QrTwimeapBjs/uUZnN5tlyZ/e4ZIa9qMcpDxLh6VRW2t2ZZUQezTp9sNdT9QAYBWjQVjuYipRBw
jF+FlA2QCJ0H1gEtK6ruhp9hCO0yj8BukdNu10VPOtz9/4bOjSzTtriWpfFl6vm0tXELYRBNdkXj
PbP9uNqaNyI0tpuT0igN3FeUc/6WkGScB3Ja1qKaf4HcUZwOEykuJHyutc4DQuEs1o6U9WYtmvOM
iYpY7XT5wb0FdUjQfuZO+4Yj98/gxA8ZwpMw8aDFJUZ+BsP1Yqbdvovnc1LoD4twN5gcd72tno22
CHSLqyRafk9u9lk1FGiCwAQ+9jTNt7CGtw6ApHTaRNaJzQ5b+nuVZB/SDlshbJuEDkbqIyqXaD12
yWEBVMh4QW3z6K45ac6VnR38qbjG+H7y8dp09q4sCSyo621kOiGh8mTkUapBewgF/ue7UePCZ0/p
8CQs6R/qvHQ/CPYbjsuA83DtJzz/iTbQvwqh1l0xYigtXAZrWdH6NP+aFe1dJvHbLDYw3JfDFPT4
w0101laZhn2zkCayjH4eWktXEzcH6HAXu6yKRArqhxZb9w9NbbpH6mPnVyYoGRMtqo7seDIg3L22
reoleUDMypWI+iXfdAOCEAEwb+vEub8xCgtP09DbodkZ8PEXLqTSb5bjkFjiUU98uVXjYu9Ukumn
oa3kJ81b81hVXRWyvKU86ohSfrLo7+9OcPIcPRTVFgF+mP9QXWb7pra1ncyn5q210JxZown6QBtS
UnNFWe5qrZ6f5TLrZMPb6tBZvf1T6MTjYCXpH3xNfNmY0oiaRYV+8XrkQ1NcUcgUNJQXyRRgo7wy
fWYere1NfvXVkGjuQ6WoTiSYyH2uu/UOAwpdrRhawGoGXBszMQNnnOz1qI/FoU0Nbg23uRN6wI+Z
O4aYuyknMWzw8Zd23WSx3tTsNz3HFbcMehJ0rpI3H7Y9S7WiA0PhEG+/krUXvTiD8veWKBe+1HtO
TBtRnzD/WOtFJ45lNs4kusPRMGURvWNfyQ+mOY5krICd3KaIKb8Whhsr0egE+VqgKLYj/IvzVAr5
zhTL20+6zS7PGAtGWji/hz8LIbi7aSDHUCT9p+30GgeiiStJKOtsVN5j6ttbm8kmmIw0aB1v07RG
oDRxaOLhHjY+FVs+SfLTY3FG23Xx2gnqLSz1ebwYjC95lIZpOlKwYy0aSpZedy+2yqJP0xoBYjoa
g4jylGr6ycfLh1c/32uqeibs/sXMF4zyNZfSxPFUPXOvHszOCzVyy4OJ9WbI4OZDKF1ncg8aMHXr
sNGqJRxld8PMS4Q50TeuTYw32nnsXjI650Z1rnX8d+xCxFIxBhrr0Hfi1yqbEItF1w4tGJWf1u2r
KkkO8s7pz4yB+FCBL6aIrbdl1IxQDQYfvgv2yvB++ZODfdVm5eTMaXqAa1Q/G0ajrXRGac9Lnqo1
+Ax/5cCWXltSNzYEibZBLduXJV/8R/T+yGPjheiM3DkUqLBV6sabKEKN2NwtP3XGg+/FREMgFqrD
qRZgkayNUfuPs/5ZpUyg637NcHgbMTnhRoHEBIwrsdajJcI67k8Ga2BHUlD6IPOUmLYTIb1w63/K
OQ0bf9j0wiNgNWFFI8+N/sZwuPnj68Mf1UHYZOBWBkmuASNkx7fWbU1giIYtwm/MB0AzMGZHbVED
PC/ceiS2qUBRj3JviAKxd3wA8n2JQXgcSk3datxIq9S1vW1O1DFT3WRbizbAy4oAgIkQW/+ym8J8
wAsLuNQtN9wWLpAMO9suRpzu7NQ037SWIwJLMytpPeucjQUm5JIzoAqLLm/AUKVDCEEmZekTe8dO
GbwUhIAXG4Mcv02l5dbOs83kcIeDvExC+KFFpMktN3K57hPTfTNJeto6Wttue3YyYjUtk//WePFy
cxhmvkiUlk+urQz4LUO/UUyh07WX+/abYSMLSYZGnvNS+E8lYNE1YluLnYfHJlCTY7PXtbR4G3Fg
PN9Du74mNwebR71x6BeFLQ39IbSgRu9f/MFVV5WV8iASL/8kgHUiASUbhq0F3XNe2X7hX2AJ9u89
AMmnrJXxo65SLqaBweeyIrG8eFbmbH6CCUiyAHu7zg4ej2Bg+vW0UzLDO26U7rPdNsbGKzMgdnat
HRc9pRdzeVAdt9CfIqO5ywFbcS6JOd8XrdtcInYEBtqDmqNf5maPumNpnBOXwHJcLIv2zbPb8q3P
uDd1mEHrARrsE8lryTuh3AgbTTAabwqbvgG3cDJeGSFM+zaWVogaugKyKll6I1+a4rTtCTJojcdJ
J+eehlbZAaTRjI9m4KL2ANMwtU1ec2lZYeOU8c03huQHnqoPiSa2INFGFVZaeKAJgljgIGsjMvTN
olxaRFfU8xHvDXeEn3kIUAa2KjDPyqYzQzmWp4SnNvWnvX4PWQA5hYinC0iIHFdW7zwXor1x73Yr
guxaFm/AE5T1pBUJfUyG3Syio9EnwSS3EcDBykX/A8/LWZlthOHSxAg8yeJ7xvp/GXK5TyNgXyWd
eqhsshgjQb6yn71XkZFvITNvRt8KJWbRlZulD9IG+5V4I2VY9lFWE+iR2Xhvi+JS38UvimSNZ49s
xJVmoz8eSsC6hYv6ti6X4Zgjry2Sn4VpCckOq0FpbyqJ9r7Kw9HS1croBgaqxoIwklSQPjcPU9mw
fxuBmBX5eKqMfDMA9Vj5dGFmjdkRazR95IPnZgRNsA3ZOZHyA6IanOVFos6Y87ullcLNyoJKJc9a
2jMlMKsqoGLdAzLY2W2rI/7RY7o+vT4b9Tf0jwXAwcimZJXLgi4bXiImL5vlHOlXYmSk4Tb1iuRw
nJVpszGNJucdYhnVafG31MuNLNzvekrzl7IQ5w6Pdeg2SJP9IrJ2utFRdRv0V5msr3RWez7KP8Jk
Y2aqSODj7TdZPH05hnPjkOPMxyLHb/sHynKo1e+RWOa1w9xERgP4RRARq765N2k4yzgQMnvrLBo/
PhNsLirxyqIF72FDY3onXbaLOmoZuLC79rmLHD9svRi+YFYMAVKwZmVDhdVatpjeycw3sZQfjaNf
46z+LRJ/DECPa1CfMuC5kC6CAjLplluIbOm8zEAfFmqTAPOikKjNsKiKhhhxoqAKo+oe4kVnX9F5
HC3Fqta7Z1Qip0h5VJlZ9QqWPPBr78tCiLPuyzLd6lp2HrKdr9wnxV4OpxryzlZbJVC3Eumf40gz
SRDqs10jWY7WWHjDzqyZu/jzryjXTgjunQtn9hjGZXe0kOogRABgWvoGHGfLX+d2ctIYCIVObMmv
eJE8hIAZ35Zq+tHH3t4s90ZUa3MZspG7sC06wHxG4CG/cpZiJyt2TqoTJRM0Xb+q0iFCfjSnK2FG
7nasUBQn87Gqo1ClBPzeL0DNQReTAyZzeA5wQj35bV29muNCkHvOKJdV+sjHQCL1BFQY0mDNBiGf
7JNg9PRkmnw2cYO5p8cp0WbL1knjBxAOvOYDTD96b3b8/sUEOjSBTFs0RjNdRiNQbooh42mJX5Bt
5Fu/VM7RIXWSCPBk3y3VxkMlE7bJdNNBFT4XzBlTD0dNXCwLCdCJu62qxt0Y1Sy3aCvyFXW99yCS
7HczxjdjATiWxq/ciee7BKpwvS8flOMunrEXriR3YxSnZI+xWYT9vZ5ILggh19+aiGRd30bp5gFX
ZI+GNrmE5YP9+uhTATXlNH9yWenU+mk4MBI6qQx6nW9okl3R3N6GVK+vlAZnHVq3c38vhtFCkzLK
hzs7mLyh+FsfkixEuPTbsXFss6P3nqYcoinqtAfmaBySmDA3cd5WD6gRM2qPCghspQ8eGrfFONR2
bZ9mHN7XCsTKDpBzuklHxWxmLiFeYPfm4rrlDiKxtHaA0WQwHJH0Gm5d37h4tmWj+Tud3fC1t9nb
lpzBri2vulM8eUC15sH8M9TLX7cS30g0NwGPaLYmVi0LStm82C5MjdjiRJ37jcY2qiCZtFfNq+l8
plh8r/GkmddE7fFVB67xMCTsMLUvXODak1fZ94bHa4BNL+2KTsx6Yo+cbb1+GZ7LiFj5xZvUVZam
CPUq27foPs52Ap8vld6H8hoKxbR9bZiLMWjn4GU1hqIGdNUKeC6onTnhN2UFLbUpC/yIf6iMJDsm
dRQAShgMezpAjAe6BujNc4fQGAQT0ybUQHwgp+WFAJkLCBbsNYUK01msB5kf7TVdnMcYnSI7i9qb
1kb6QhFsEMiGtqEVMrRteJoLDTLz1zeU/h1xAcCwrMLFzNEoHazcsG05czOJMCSyvGZt0P2bxa7t
GZLUDhuL9wzS9gqBt30sq04FUaqsXWn5CRMEyq6q77oz16UNYXXmHpT1TyKaYKoySOWelrAqWeTG
MYivYdoNIY/9JTsJ29U2XV/8NmL3mDXliZGduc9U9t7OsXYclNMesmzcF0Vc7yRm9JWKFjzORZ0H
bC2A8KhO/wYF3W9HQ53y+8fO0j6mr24OQ5r3If76cDBMPsv2F7hgyVYnYj9Z2uNp9HjI08g9sKhp
N6ArhsBsjfgApu23woj3LCPnOymJOoytg2KUPCal2Awq4UaK/XGtpOKSLHtND6as6H41nv2V1Y2/
zvzBfK698ZnH4KYKgtFrM/6m+oFy5vcHc3TsI5jNYzzIYq3FjIJ9JBohlhcCx6Yo1PIMEbO0VokS
4z6ucV0bCw1lVZjnTE43uoarE8dvkCIZQVjF1l5iuW2kcShiIg7ahlogL5KTIceDVThEZBsoeT1K
W1RdtLaThHaQ22FRSIg9o78y5TlRB7eA5fFcZme2qlfaVvRq7oZFvsPd7+Qbt0EZTHhV6Qp31bTo
+Qq6YWaIG5yWZ0tLroOlPyjBfDNpEYi0i6C48a+mC+t0AWq78fNv4QGD4cEnHlOwzibDukq7nan1
t6mXT3ZfxHsUf1e9bQ7tWM1rYDoXlbE4akAawsNgap4iYUz7eC35F66uisdV5vTFGnUM75k5B7n7
qbXaD6X2zr1HZwCv24jZe/IbeaKtuvaR+lNaqXnyOstHflrUoRHb43UW8RGZK5gjd3nrYxvXUF1x
cV8KkT9AmAWCxbG1+AdhzruytySw4W7rEDg7+p0f8PHDbx/LVdfMD4OnXXH4nkbtpUGPMZTJWhbj
tsgIQ7DzOCza7omvdUWhBKtzoEjqIv8235eO8LiCQeeNK2C+WNVyVDNmWb7NOGZAVi7cGm6E/jRB
zYAxc2Vod859Xu1j239zuTZXpMheXOAbXnxz7kN6XbwpG86UNsvrUEm0CITSoDqqliu2YxdldBUF
mXLtPTOWd/yHD9XA7zJNPko8tlLxtlkEkmTSkwvb/wDpuVI806MJSr5XfwYkZm6jBS3gXufi+0Qg
O8kGn+e5iaCE4DcDqBjWivde/8gNPGCF82tMos+Yu82px3ApEUroz3N7dkpAsJM6sBpee5rYKRRF
aRodwa03XMVSUgKm60LTkF0we3vCvtVvrQpadtI0jOMc9Om5tjz57HifG5QiTzUYwjUyY/3ZrEZJ
RIEdR8OKAVZ1pFk+WKWX0aqRYRWD3zxgyxkDXDsPkv6DiTUhIEaDIllfxD4GR4Rl1vv2obitdda3
SJuWPMirhIsbfPZKNi0i/UJfG9aMekd6pHPRBNWqJMSwkIE/qCtiaioqbfapA6FdR5UAUd8eRB4/
tDJhvm5dE5FnhzYptoSg9ivL748GyOODbwFKmbz4LauT69xmez1uka/kkwsd3XahGXRqLTvgDYU2
HQF2uS+yan40jRHrjEYfcTV/gBj9J5cTED1zz9CrzK0tTr/6KIx+J608qIblsSA5waNTeRg6Sz4k
fcImzRf8TnVKMWX44gQvZFNk/XVpDHzCkhpnQTj2u0e/rNmP5B/sYFOsbSTn1OXshOHFGp2xteby
EZLqyuhhMmR/uj7ZUNbveg/YUsnRBcZWbtDGbOF4bFLGb03csOd2Nj6inUqHElFjWET8pQMSrI59
WQeJ9exkIJ45zuOkuaSGCKaeDswc6/u3Zn2gDO9CZFXWuleZ8Sp6B7anE9PLAEGMsBspfjtCGjep
85zEMwzDVyuHe2lnl8QC3dLuAcTn08l2k60V//ZpwxUwvYZqQMxoK1tjZec/+Pu5bcn0y3zgU+m7
008bs/+dWFCP63fEeF/RLG7aeJcZmICbQcXDS6wh27f9iRgc0g6+iFJZ17SbkmO46TfS6cJectUx
lMmdj6LIOS6GlJx1H1diekAcE9Qunguyn6LnGuMVe3wmeZmlu0Qi5Np+8Wi1SYhxtEeZw1Zt4665
IcXhD16aYd+1wt+i6jDWhtmmv0AEW9tS8UQLxTm0bjvSBtjV40toGC2wh0w1D8JXBDKvRCjmz8l8
rmvVHSKzHLf9YNdhVZTWa5kaNG9Tx1EvUagGfmths03qqyVL/cN2eYPtGqTePs/jn85y472WcURL
S6velN6jjh41HKCt9OrHKY+c9ZLLax7r3ipL5d2MbXlwZV3M89Lobtg2s+eJoh57dB6YOhB6Zb83
frRzi+pJtuLFvWebMFr9wHAS1gQ+BW7OIUp+wUOnWR6X1es9h3JbzfgnohEeZEGbUKZi7XhwTJlV
RwfD95ogi/LfhnRuLO9ejcHaG0nygz2CFqNGYkhYcZ/TySvnsfe8gx8x560n++qDAmA3aV61lLel
Q56Fk5x3KXrnlAerVUEQrc2goH+BrcnUOhqnVaPxtoxoINlqWEY1gi3oH+YRd4tXFbd27HeLb17i
3Lo2tvspDPvRHMVBmv1pQSEpbYT8UBwyvspF7OJM3vLKcakL46cJdHFh9u8Wt+tqbkGB91aC6C0X
G+al48q3kqdmMm+FlgSeYEpNgtJ6nNg/KtY2enaOIriIqat+2dlPqyt4KxT3a7pUtCSMfM1s6lZ0
oj89Gks+Tq428j+QMdQI1PiLeaI4hfK7SkRyAff84PWIvaMl2ppT9ql8oKZ1XH+rKPllahXltUMC
xWSUW7MUuyi2+9WYYD4X+ta0mo27xAffYQ1E0iab7fgoI/+VwvBi6iCvZJveJg1uaDJfiFRczZE9
rdKiOEmT67QyYd/2bcyM4H4mk32D2D6A/AxDG63srmr4RbGIv9eLu/WS4aBb033BSAoRXHWtqvNt
bdOyRP3nXBdXGXXc/V7ypCV3fE+DuneIHhV53FpufJbWvLd6dSWsZhMzq8AC8mNYQtvEhv+cVogo
uoZhr3s32GuBpYjtKD1iWSDeb2BCm4C7DH+d4PIEImldJirFvjBvQ9HtHVmAyeriL2yFHhxc8amr
GQ9QR9aCjo2slN6BLTjCTU/dkkm/Ime9GFp8FWMUOF3/bojuWg7tRrjzo+v/8tUGy/SF9SFcoD4L
bQfVXe77QT7a657eJ9OGHbCCb0iwICRWDfEMUhvitYFfXOjnnIW11TFiKYw95vY1avDHWT157h7x
/A63ycNUPBmZCPreuesB7Ji1md2iXm9p26JsH/vTsQFBESYjwU9TAlxZlumdmpKHjR5dJVgZ9n5M
rZalYq1EZ8tEmeJW6zukyo27BWjerpFAHh3ywgACoayPAROKpTghA3myVRqKRS9WlRrMFWkFD31n
sqCRMwAo5uYDd9paj/v3vJ4PSEz/xG1/ABbxyKotcKV3ZsZxoF2dV+bMnpP+EmhQS4DeACYea1Lg
ltUWPMNW+Z3HbqjVwRhD+LjHOyOSH8gdcdlIUoYRX1QNJ+VpfyypVujXX5q6+BW5xXH2h2+VN3+E
iLaaiuLAQVawNlT7u/fkg7AtZlGqffRsqu3B2af1iNYqPvmyYy2F5UhJNnw/GraN0HK/u8x7aSfI
ovp8n3gVxqXNm1Pf99dkXLR10Q4oGsDB+hXnKGDDY5Uwgqwm/Gm1zN8pcvda037lKnkfu8jc0jke
p1F/nYfmp2SxuzIY4DH+Fs8ar7bOAGq7zN+L3UE6qDglY8NbK8/5YnwMLSC1VAjr4sZdfDC8+eZ5
ePKEtb2rNNxcJzymGFGqJ6jECVNYeXyj9mycIN9eGdm56ySD/O6P9YlEhZ6/g1RMZtxPqthjwY9k
1+qB89XY1OZdHcSEf7VdjcOXidmqM/qZ1QY2X/eeFlfNYu81A/GQKGV4lKdDCrEFXi+TWwQq+qZ2
/KuOd/IUZSCs+YzwCDr5ujLEr6XvUUYlzxCxt3o68H8cZBKamZcc02Tm46vZksWGWfE86seSxcO6
xTWx7tuaeTfvKtcDpgQ0PtvWGaw1gLwfW/pPM/iaIJcGc7ti68fDZ++owLNOYNoY1LZ80IlMA3do
P8t2Oln0Ccmmhuu4smokGo79esc1sjS1mXJ0QzgPoM7mMvkSrXyxEcgfS9gGQWbk9i9TaD8OGWZj
on+NI31WUdcfRipPKY4OthHxfSv1q++MjwoZpM0mVfY2tHaSVeOm4YR7X8AuB2NOEWUaxQkVNsKG
dG95xo2v6yh8NGmslG4ytwKSP1a1wU4iRwOBUXA1J1fVnf3kMvWvqSutoHecvTTqQ7y0u6YZHsGh
13ut5tWy9ejZ7h3EEgpRzHynZ/vjwTGnd1s20CAmA1t1rz2RjQcqojjq03DBWPmM8Wzrm/iKknZj
MRFbjYUjtr2gyonNj6h6ABwLVNMnf4EYHDaT7LOK5LFhNs1IbmUl/oOOsrGPp7fYyT/JHDC3/Sif
OpH9HlAeRu63SdlAXNlhtAFvUu8b/VaM2zqDu1ijXmALm+Xn+2shqw0UyjUMJ2Woja8eU+YBY5hZ
BI3c6cEsOWpAgExEzBnNIZxXzvjUOJS20g7emJ0SWPrC08KXxF/rV/u+cS9KRs4PTeIkz2mTRI+t
xi+KKFU7GHOffuPDXnaFMsV3Bno0zJOhfFrQQf6YiccNY+DKybiJijFNLmlhj3Ng2LrF6nXu3zCB
jhcEtejzPW1GYaDkcRa9t5+Xxtx4SdmdZkqgU2FDSY1Koj8SQd9qRviJdHaamyLS2p0gN3o1siN9
H534K/LRttjyy23YJRl9Rd5Pi1FpBRgxRBdYn4Zkac851qqLaxbaXu+G167kY4SUKqrQFOWrW2c2
y3JDmQedWDoWmtmfFhY/Z25ISPlm0a1gUk6QlPq16pK32RsQszmvXYrGVE/L5t5E3VwYUIEoOd9g
Z9TPjXTEg/IZfJpfFYUFSAYo90o7yzq7NWDfYgVGhQHEjjmS2LJhJpzCWsxdOvS3JnUfEbKlj6NT
B7iv0U8Z5XRo0UwHE76fFUTvS+Xo72naHyvjtySHMB3oQNjM4MsZe/bzMttmM5p1dlTY29497TxG
Pj7ekw4/EiTsKnZulTvsWJKv7ulErv4tRnaLidhJRe6n2Xya8hfif2bIr7y3a+bBPuKh5VOkw7xR
gmlf3AkUI/fMMW9evkz3bodFe2o7lbOOWLhTLbqHzL0bFOQllneTGktcIokM8jLfWj8iDVCaDadK
HCyyC0n/44sukWeJW+XRMXDwAbC3jH1VFDfY2sPGI5HKzLXoPUPnuDErCmuih6YRnuS0VG9JuR3q
9Fil84O8D5MmPLrhKLwOXrZPhwsZmpSUp1z5p2jwAK32uGMWL532xiLjMHfbj7Zwv3qM5jmI3F+R
JrxXZoPJxlx8Kn8wpuS5aZuhvG8CULJldYYqlJDaAMNqqGf3qqVNnXXjcbnmk+OuyDBZQ5Y6x9my
GSb9benbY9cj0y1hEhKYi1TK/+MbHJIMWMSHq+MnnrHfnaXTMJwXy1FU4xajxzYT+ORFmnlYj6eB
SouInvJOcHf96E9isAPskbwKfzg3Kjm5/XfaaUh1LIokC774Wk35F5cuL8+IHq6a3sulCqsStavH
pc6ynLwRv6rx1VOaFfpvV/5u6w4luuGfR5cOQPE3NuLRlU2Znddtv641aAxRnkuOktELU7NOLmjr
SCzjZiywQQlynMLYj5/nPq5CzzPd76KtcSQxcQvwKB8QAJzbVHtlxw1f28pHxNd2gfs57wp+Cha1
f9kM/k+Gi/93Vgpso/+zlWKTlvlX+ec/YQz5D/7dSmHq/8AN6+IUBmHoA4DAyvAfGEPtH7CwTKgX
OsQk7AyYLP7DSuFquCwMTGGWoZt3nQD/UYce6u6y8P8BZBWAIc5vEnmxtf5frBR/N01rBmsh0Hbw
EkHz+n/HSpkmhDK/tJMQyahiQwKO9kANl7z4ldnv/+lDuf07guKfU4fvqIt/BlNoMPQ8G3OyhTmE
XIq/ATdgScFl7hH4Yti1fuFB6xxm2o4VjIXuIqoRLJSWBQkweUV59i9oH//tHw4Ww+Zj1h34Kfxw
/wQj0qwYsDXp8pzxIj2WIkOV6DdmYA2sjWAlUMN5UXHAOjj9C1/6f/FE//V7e/jFcURb/AR/syCj
BxToX80krM0UrwUMEHK5ZgFpoB4v01hTAjgTOvkubpLtXKDlj9FC740qc1jxElv0r36gv3ui//qB
fECGmsHHwU/2nz8LwSI5YxGYhJzNwym3KtZI0u53PJLLJlqa6qcgjctjvaA6hCgk8xp25j94TANO
//sj8V+M9PwocFFsg9wDHj9D/xusZIn0tqDjQ0YJ5vksS9bIa/oIf+9oCXtIxbr8VkU9Uigf0Y13
F3sbe7uMM2uFXh7JvkuPeULDo/lAqTOI+v/iB7xjdf720Lqeb0GKcf6CLfwNuzNBc+pmGrWw8cb0
0dIGUgqLuwqh9eywLZNum3dzezTzttygaEsD2oHu30g7sx25jaVbPxEBDsnptousrmq1RsuabgjL
W+Y8z3z6/0sZ2KfJIorofS5sGBagqExmRsawYq13Bz9i54PB5ozguhCwDOEt1h/Mge2NoWEn8SPR
TO/ruBLwgzXZOwYslCuMoujamSFjG3PYpM9plBJ+TXBq/GVbAG/v/5Zbh2HbrgEPEXzLHB0hB7Ne
3COGxXq3gNnLL9pE/w/UEukZ7HX3iO528Hjf1JY6R56NF6bMzaordNxCKqGpr6s1EwEzUMmnWgmC
H7xO8wcmTu0D9oSdtcndxVdbtuXaW0K2rgEjp6ddQhiLug0zDP1jaLXgAxpilPtrk3d+c6y4LjB5
2QZTD4Yp3dWLbSzMXFfUTuVYjbSKu9RgymMxyYWoTSASZP5lp8I+sKntro/RXArAOCIoj9ZGE2VW
YvhoEh/lkfzc5+n8IWlxiTmK5z+YT47OZjXR+xOqS1rbESQWAzAJkkj7Qwrbx6MGpyKBOjCyPxdY
m8uDy3b7+3ADtnwMIRFnyHCzKXgrCF2ZS/XbEimvoq4cgu14pP4iggNTt2dLEini/gyeAx1SzPVW
QHnYjU0pEp++2XBSGIan1G6rn8M6G7zFtsMDcsq9pcE1BXuXa7NGU/75i++dT4h2wQqekBrSIilq
y2RgSp2uVqW6/v2jtWcKplrB2nhuCR/Wpvq0wZei3ewTJ4KsaeirG0mUnadxsv+dnf2XDHrnRf/t
ntfH2IGRVwDQgpQSIMXmaUsFikFqVHNFUxcfnQv04coB0PaDC2D/lIzVTGoCucM7rWzm59IEfQVJ
DvDNvJztK3gDl1xrHr9lrU6vQekm9G5Ibp/ub8ntbeOyqehkQQaCMpK5efDsUddcYHWpj4RyeR47
kgINKdkz/g1SWonF7gqAeveN7n0HS2VzoDhU+ewbTwmsLJBCk6kfowvA2Eaig/CjBx+9Sw1D+fn/
ZWxL+lw7+gJZdk+BFQ6zNxIXmKEhdVGWyTm4ObvLQoeagwXVIXLe6+PlWDD3BvyLIaG09DIBiZcy
kI+Kmr7A/UXtOCzpJP+frc0WjrSGG+SbUz8NgBlGNUNKoQEqWQtpFzsGYA1ktEumWxzG4iskU+Ck
miaEKG34Hp7UKK0/KhMMxCUsoc+UQuwP93/gnheBeJlXimFnEyTqei8GpjHnIUJnYyC0vRg9DNFV
51h/9JFbfh1HPbjct7cTLrEhyL0ZQLahyDM2B7lUK5jaCoRvgNXaPzsmtX/Ngy07lVNnWkzMuOO3
boiKD8VoOvRhRD9d4Tml0Zu56ULDXw/Uv8ZhAchoxcI8YjTd2w8XZyDvjaMTrKz3Ywxdzls05L7Z
d+Mf8zIqCswdtfIFJ5u+Kay5PEgpdi42Qaxt6bhUyNi3UT3EdYY92hPc/qEG8CbXeDdiBlq+djb/
1SXu1CCsUrgf738Hee42bk/TYE/WBCTz/LM5l2mkaeOcd7mfcuioEMyBX0Npe4b7vHxvakBCF13L
TpoRTg9laGsHx2DnCmKeTOK3SxP2Zpt15qDyFoCpj4JU5EEThrp2xSgvUJnp9U4MAk3OHIxX8Cpv
CS7NkqA460aeZLtUvLYc2jdJ19oUlUfkFu7v6t7HNATcppxrAf3AJkWjeG+VPawwKJfSd3cKzTmn
GayqC3kDZb4AYuGeftV9ozt7aZL3wlpvAh5kAHV9ZAcg5gEFq9CPmj761AZ24IG5nt+AUGrO903J
z7I5NVBNspcuJJcWlJBrUymEh9rIbIQf9InBhBAojiDTkXqKIqjs6TNCnNTlV0ZZ/3m9YVMaJN7R
Xd28Pa5jgD9XPJRrpm8ZetXfikiPHg0JGoIeUYckxEn/zKoWGd37pnc8AhEC9FsGKZ5gyHe95kwI
1AtjlKgVYIXvszr8Z4Gu9NzPIf0++Kf915vDGiUNvAFx/GaLSbJJUAI0Rhmbo+CnzfbXdFmqL3VU
ZJ80lKkPdnZveZJlU9VQmmAGdRNR15YCv5YyKl41de1zwWP10AqiynCQQ9x5d5AI3p4gl+/oGCrG
5PeUP+dFFMnEMjiTfoj8Bc4wmfp2T1LO0F8ytX9UouYDMph/FJFZH2zrDd2GCm+ShbwDbM46FOtb
rtQYWsWpd9XIh10O2hYry8E9ASKdHu1kcj+WBpSH/hRyqyEQBR59gvJmTt9U4ASvdkLod2pNlVKy
OoU9E+Jq85+sDKAkH43E/WIzYfE+Ai8PaD/IrfahLLVlfojqQqVXnJrqhxk4Hjwb0EAqKNUb6g94
s2kKBkpPZwTic+a/Kpcxx/uHaSf8AH5tweprSu0JeA/W292InonjBRhn3QHNzaqp8jVbVGCHpsRL
HSbrh4W6LVPGmYc6msH/Qz1bgUTtrEOjdFLSfH4jOyi+oivNgePS5FleuxN+GycdARRgFijyrH+d
Ho9JPLpR7DM8qp/Qz9Q/QQ2tMieHJriqRbRsdGQduwyaM30c+8e5n1A5TQHq39+nWxfqWtT0KCgB
VXb1bVqZG9oMM5AZ+hbKUyc4VIpTV6JZhgKjOHj59j4JWTMVUZZsmJRl1otu3Q5A/KCFfksPtH3Q
ZqN5Ggw6wTEDUhrY+I6GaCsRIjVzk38r6BsBL5lGFG6txXmy6q6mV5nTP7BN+wzdAgIU93fj9hWj
yEtF1YbqEb4z21j/woHR96jqwsin5aUju6inNG7j5hkgvePrShg9MFd8FBHsGpW7QrAMG6WxMRq2
CBOKMQj9fuKGUjarokuqIofw0CxF+g1YNKVVxh0Pvrz03tsjCM/6f81uvLulqOPEHASuDn2Aa+YY
klYWeMvrdxSEJhGexrtJqrbe0RC0FHSAOJ+4NKwrOrHNqU/HwUe60qR3A5XKNEFxdd+oJl33dm0G
fWTXRkqCG7a9XkuEJHopIn/I3fKjPoNWh2gMqgJTWT65ANHPjgzw0wLUMMM8EDSQHh8dd/ndbn8E
JXrDpk2AeMd66VlclY3eUToWuVb/EGIKLwDymmuXI4/Jpx2+2s0YPZl4mmsHzOFaZmb5PKaFQiNd
19/aWR7/c39jbmNfl5cH8ieibsRntk+sZpFrNjZVI6Lxym+npgASYI/neEKrr0Lm/Rlqlvyxi+lG
9RRmvfvmd6rp2EdRBJfHS0j5er0lvTaFgxJgv7Xq9jyQYZ9z5hyf3QbZv0XRpzclqDoVueks+dnC
EP8WgLXdeEsQCSoMlXHwJu95P8HLyA+CLIui+vr3QGRZD3WDrgwEG/NFg/vmPIXOFydkGPr+0nd3
3rVo11CbhK98cxhI83JjVifuAapll7kR4jtjtNWZN6xtGSFhupQJe+MCEWL0Lhgm/ft9+zvRB40i
lwFiyJQ08NublRoM+AAcxrMJSn9zHfyCGhltvWbsL/Rlk6sOmv80NjA43Te852ZMXaV9IimHyXvW
hvMlmmzYUzCsVhLD42ZvGM4WBydLbt/2rtGOg7lWNuoQCVtbQURWljxaRkHlhFaswgYQtWaDsqUd
fjYaoC/3V7XnsyGeJypGy4Hxe/nnL4I5ZWklwgh7S6zPT+bSMDiPDDeUZRW0j38GiZOd1TxBtvK+
3b0Da7GLhqWaJnjXzW4ycVpaJDyJ79id6UXKrL63xvgfMU//Q7jK1BlXlNSRRf7WtHmxwkgBox4S
70OMsYyeswQWAepso9NMI+irG0n8qqI5H9u8Obwsu6uU0TKFUMMxt89wbDNejfZrDPNZkXt9XhpQ
PjXRBVUfceAB9g6O9cLU5hUsimxCtjEHgCiJnhwLkU9JcAvSp+jOrWZbBwd17+BY5DGuS+mJzvLm
A1JhUWJXg64uyBhIaBZIzCsYJUEXMM4Tp9DU5si3Pr7+1GBKeh6SOeqa69Napzx0zQTfSckwjBci
+3VuSxt504ER0vum9q477hRfiiCR5myJvFPm5F2iJXqC1NfgEKApOVec1/tWbpRNyGk4nLIoDCcO
1btNWAHbaN0JthAGh7h5mvUmONO0lsiluK4u4JCeBxWeO80GtG4LcINuXXX/QPfSP+qwkF6I/Zgs
GZj1TRWNzhTj/54w8tG3dbM6cL17n5wOIE16W9coYG/iOxteewQw6sRfGPmCs4cJtqoxDaDFsXOC
rHABvmkZfxzs0E4IBCpAlzo6SOqIbXY7T3aJZmCD/DjDZs/gs74aXbx8mRnDPikzJxwCoezSaEBy
nKW7DpY+HvSHd9ZNlxq8gDBAO9ACXZ86pe2yEN2oyNfjoveFOi2emJr44hqKgGnIjmEuKqeDzd7L
rKjQ6JTXwCkwjCx/1Qu/1UKoFEYNSUZvVt1XNQjJpQY7YgZjKeBDyYZUQtJyxm674Z2iFZItpo6T
c0yT1ni9t+a3mChsC7g2bxKeXuj5BBdK6BdWqJ6FVs7v7SE0PAMa9YMelTzwmweQxhQyL2A9DW7H
5or3We62CnryPnVtkLY5XM/fjdzKNVgeVO2xCKP0l4J46lOFdp1CIKwDlb5/5Pa+NwVAvhyxHWpu
W9eGZkA39WXk03ASbxBuNq6IhcRXZkX+qaHQA8c99Of7NnfcNzUx1k2Cr+s38AxtIi0GnUifBvrc
RyMJh6sS986Vwbvs0ldp9OW+vZ0wyuXZVxm15GmEp399uuxJBFVhwhgQA13wwzIuzlYHTwCzW3/3
MPA8p5DyHjwZct82n5bHghtEUYzo2d2caEixp2QqaKTwGkOTLEbzMTPU+GxMZvrx/vJutpNEReXF
p69t2jrp03p5NR22hewd4mEFTDiZWYs2FO6yEAqcVoFaHyzt9rZyVnmZNCJDF5jfNm5jalrP64zh
g0j0jE5oo+mHBiAIWIgG932cavO1Q6bMb1WYrJCWib4ybwXWk/Grgwu0s3Ta17rK+yh0Wo0bb9XC
dj6oHTWqUoW1Uaht4UPyxsyVUzb5+f423zySctUoEbq8xpSAnM1NSWrcVggHnYfsHlh3xuln6zRX
gNcPHNC+IYAe0hBCdXLRL5whuqaNCeGi4jG+Hl4DDfBhkcG1fX852s3NJ6HhgHI0UTWxKTGuzZSq
BgW7pD4RfVM9mo1TeeYs9OdoCIMfdUvHVkmt/go/fvgFpFj3XiAX8D1XK/MctgNo8MJF9COIQBRD
9sVgWamUv4ah6Q+O983tlb+TGIi2N50ffeuh3BD+c8lRxLD8VDzpihH9bNMw+OoEqpucKihVvpdz
UflMWyoHe3RziaVpAwlI6aDJhzYJipnXiAAhIeKVdmJfmsm1/pw6TVx7RLI/3/8cOx8dbCFBGHVf
h37e5qNDpZxaEFrJzukcPvUZwhZU1eMvr7dC9+p3786WScL6my/BWAr0fjhagV5e3aXu3/RVddSH
31kLTSUaLnBGSybpTZy3MKYMR+EcgIWurctM/gNHg5ldX70WSKuoT5GgqzzWm7XEyCDwbRi/Yqzc
uRS1kpwdKIAOUo2dI0A2RSrskoiznI0VNACY6bY62aOK8yuK4saZCcPMA/GrHdz7G1MUvkEryq4G
stkk3uuPY1W2k1P+gSp0nhp/Ekb8NY2WgoJbHv59f+/kX7V6nSSXOPdJpV5q0CLbmBoFIOYsHDHV
JNoTJB2B36RmRAyOkmILr8V7xvw+52One/cN76wRvnJyGjJ7LjWK4CvfxpwCaC9AkN6YOvH7rAAF
L6regVhDdw7Ox44pNCldJOAkapdQfm2qCtXQCVsNCnyIXE5JN8CQY5IMv+ndJJ39++va2VD6eTT6
wOk5Jl5jbWywAK6jwgNbD9pvjM0lzvSmCcDqoAjR2n/BEVt9NZkhlXDv8EiBc2+lVIjgHFFB1dwA
RFJmh6tcg4yr6ZwfcUB5Mg9RB3ECQCmvX6ZlcudwVQhgb33xYiSMvKIs4iWTbkG8i1iCRz0u+iR6
9DdOzPwKyDLc4msYVMn3+7b3VkkSDuiDuh/5ifzzF89ibA5InwyWxOkT88PRZvvGQD3F0NDKvG/q
xoFZKlk+2SqdfPrw7iZgDECZGvDDuh68Htp1UpfhqVes9mBB0qVvLiFyOzLPA6hsMAG6XpAzaSFs
lYYk9sqLJytDlm6ajeIdyCz9Ek6t9drXjIoXYT6YYbhTpXTq2p4JgqChuA2PVsystR21iU93XLkw
/2AevDN7SwNfDxqOrvAtIg6Waz1SlR4GY8rKT13JOD7EM3AKlDpRuifGbogv97/ZjUIaeDMSdtks
pTTk8N/r5cGHRTqHX/XsjgrQwzCj2/yAmJ7ml3M4fMo1a2R8LJsXb64Np2F4EFpIxV00yOVhbXOt
0vAtpkf+vP+7do4tP8sFqkQaQFtz44YGpTFa1u/wsEfFD5UnfvCQzJ0fZ2daPrzaFj1/ue+UjXVs
rrfALEUwTwWcYUg3gzMoGdHJixyKWyPXz/dN7Ti83wg/JiNAjyIAtzbVRAhG5x2kbA3zvPA3w2WG
D9dKKEdgjY2MZvji9MvH1s3LX/ct72wolnm1pLy59LVryz1Sh5Uzs8gl6bSHeoDRuwLcCxX+UB+d
qZt6DGU3lQicT0eKDBH+2hbEGmgQh5J7LwdMWYtWu0JFPj6mMAheYbnKz7MxBI+1AHSp24w+h64o
Xv+OOSTKEvOAV0LnY/0bkgUxnKrTHG9GFgo2/lE8ZYWmeWYxiG/3t3bvowKXoTRHZoeU82a5IeJ1
kByikKoLG6GdeGbgmD4z1NEJzKdok5PNMnMlEij0Xh/8AJ1VGdbR5DXZjsXQcwNY5jaOF+TVr3yx
R4jPsUxPZTmocO2dH2J5CqsAg4CJSuf/4h2phVvPSKQ6BB7QTC7w0l2GtPxpjaN78OVuvSD9flQb
iXVoc6BrsLY0AsRjbh82+yQHMFiiZeqZYyNg2i+t524ejiLi25VhT9hgY8iGkUmUn/fFynqrTOdK
zuJ2Y/urCZzsMvTx+6kW0+P9c7JniFKKJdhFiji/wSsvDEEybptdZUImDvLloob41EIyv9f20UOy
a4nc6/dlV2kurJdUzK7BoCPEslamQZMTmxB91/l0GgsmSF+/KN4sknybcBGZybUpSNuSGUYihl4Z
PLzSXkiBMzKQHnfQDLzeFAGpfBB4jynbrE0xgiVLoZXlGQG0xGkrohMkvS2wBd3yX22K4QGyMZ1g
mM7X5kxUSk2lecksz6wZ63/o+0C7VHpRvoeAZ/x539bOeZdlNnr3cllA0NbL6pkvhiMBFa1qsL8B
lZ3eD6GGgIciuUQBl1zum7uN0kCDgu1jXbJLaW7ORmYXkHlpKF+6dhugx47CR2Jn8WtLTDh+PtW/
SCxu1mZRbi6MmaqzRfmB/mSObh+fqWmvQdKVF+B/tC/uL+umLrMxuFmWQKWd78g51FL4DzQBQy5F
jhqasEW8i0cj9lu3qA72UgZH61gUt8vzwigObyuDkOtPx0RtMDUwLXt9kVtv0bNGQFXM2cWZovgM
zUBxqpfJvjJyJK55MY9f7q957+Qwlkndg1DiX/Grl56LNLCH8UBYnjItklsjhRxCdPk556tewPhq
BzAa+dFulotYKi0OqiEg3tfLHcuBm2fMXEC1Mb8nQadYUMuP5pOTO+VRPW/XmMvYp8UcBCNcmxNU
k6CmRsvipiKjjTOG0xVNl/kCbDJ5bYebs8OdsGmbWSxP3cTAhd2jF7UggjLCPcyUEQNFBAytp2ZO
84kHHA4jROFe/8zJMRv58PDuUCBdb2YXKkPrJNyQem7TC+2hzkOEG86qqdFOQ5eor/eeZH9USegh
UpbZRrnCwTfrMYusurw6D5Zdg3UUytVVy+jj/XN5W+qWGyoHpCj5Up3Z+pjCQOCwiTkollDc6TRo
fcb0OlLmT4KO/jsbTcM/p4bASAWhcZm0pvMZhYelmAzjYNl77o7Dw88B5uYQVKy3mXw1DYbBYNnV
nNCkhWWvtCPjIDra8z4md0IiHElb3M3NUOo2AhgxmDBAho5HRpU+oOQ+oCo1D2crMAevjQv74OmV
j9D2OlI6oXJBtE0tf3OCRA2hnRlY5PIVogsi0UGkw9N1hiJZOXUzJMshpPBXN0Jq5P4H3nM8MpOw
wdSBP9y2eeect7GpDdMznSiHH7uoIX2apfwnjeUBYgmqjOmBzb0PSYpKn5dczeKArT8kqkgK4hiz
6QEuCs+zDoknpMPqwQTWntd5aWXjdQKQ2DEKM5T4kCXw0XUdEId0l1McDkc4nj1TlOfBDhBo6HT0
1gsajVp1llgzPbUzgH2pwYLICgD/ojJj//73ugUJsl/ML5N14t8cbYvhWSYI7xxUR7zGinrVmyap
0RCagfMNrvkiuc4QMP6jw975aQbeB2toao/fHTnieP+H7H1EOl8M10tWACKE9ZrjwuhLTaOCahpM
SAxdZ6PN4yxf71uRB397MWSESLcUPDSR6dpKxEudMkhvecPIWCF09ov5lok6aKXGbkR5QdRR/xPa
+qxAUTBon1A7SY8wRXsegbBATvAzTw8T0fo38CxmVbqklpe5SMsX3bScLXsYGw+IVfWIPA6ES1YB
TvP+0vduJsggklFSGYDHmw02ErPsQodq+DRBrtXQVzqhu1NTuBoMCMr0AM7x11sEhAaAWOX5BPSx
XmhR6lNsQTnvFaVqfWhVRX0YS9x4CJWU38VMeB4Y3DtDEj/M0JiJ7/l91l+kUYoyBH0Td3zdCUr9
WYTlu9Gdgh/3l7V3Ox3paChkMCFmb9xNnYXChtrG8oAvGifGBx1/yCC1R/XW/Xzf1N43o2Dpgk5n
Qoi4eb2Dhg658jDix60oYPDWhDnAqhQ0Viqg+s2UH/Ywdf7C7f14aVD++YsdLHUoyxg2M72uToc3
iOe5ntGL/GT1DrrINTTSwh3Ts6q1ztu6Sn84Y2P5lhvAVwhj0sErdguUpZMChEJOoAqKkdbmtlqN
gr6wRa611EX9IwYPC6dgg2QZklxm/qscoUnyI1ROmLBKtVzhFMf5MxwVCnWIQkGwZF4g0Ts4ZTvf
3wTPg6uQIagmtnuEDpPmTIT2M5OM/tRRCu0a63meSvv1PnFlaXOBoKNiSqTBEgyGX6smLR6nRbEO
MpX95RChyG4wC9o8NnDvLaoBy5AX0CW/iGYm2kSExGuRUTmIuHZNATPUmScmidY3N2cxi3Loe5Xv
WSTdQ0qT5alK68+LAf38qy8ODp7OCtwceIRt+jUmbsmAPAUBu0GQLxvhDFcBul0cB6k8w0ySA3s7
Ph38DR0O/ByddbH5Un2iOJUB0AA5aKZr4tY2TrNWqBd0+Go4nNDD/tOGP/aoyLfjH3B0sqLKi8bj
vTGrjW5nT6i/e2a5oPhhWNAWahq5ZboE70RjLgc3cuf5pNtI514WdBjE23zApJ4bWHcXMi8tGSmx
oJ9lNj2sO9yI4uQUff7YhLPzdoxFe4pc2Cfuf9bdbX5hXx6wF+4pGfquWnCI3ijEcoGuM/XbTHee
ugb4vgFq/GTOSXtw33eCabq6jE8QndB12MYMjhpOhZgyhN7KtrpENhoGaakCJ6jd6NIGbXY1tLQ6
lX2hH9z/veUSExHG42p4AOSfv1junFRNZuNWPGbBIXq24ZAw+tg4xXPZvFvSvobRun410AqnS3hC
vYz2Jx97497Ab6Q80lzSxKEuSK6AUE9WJM840lezlfw2xQCYwRHWyebX68vnJjOGmbLnYoUMHA9m
d5oh6zkPNBEOtnLvplCM+a+pjZebB0sbzMy2vHJhK5060S6ZFmgPcyXgIyMQOt8/qbdjXhIFwGYJ
+ZxSBN1EeXYYKS2lO7LLIFB+1aOF+EzauEgJBRRjgiXKq5PaIPCHyt0wvCkN5EmtdI5Db0jQclFi
0XxNQxO1NsAff0CkbH+7/wvlXd089RwrxMwleQgAls1ddoy5zqBcsL0wD/rnJg/+HsO6vt43Ir/g
jRH5hP8uQlGyX39hodZ9ZY+9DYMxg3zQJSaPU1pBIhHbR7PJt8wC1EmJx/5ra5P0xnM3uX0Ak5A1
N0j8us1ia55iFfPfeuS2v+IaqNF7JdYQ3AVVn363xlagO4QQMYKw0CM7DzbdBdvPpx7Vnkqxmle/
tJJziF4QZWoewK0jsV0FzlxAMZ6VKN3TqDTTKWugCY7G2jlIVm8/LtkFLxLDTRR1iPnX+w7Ddqo6
SYZKiGLq78YEtlDoRLtXe0aKzEQNMtmXgcomPFUs5roWJSFPJUg7OxO6uURjlHXSbJqZb6yKz+04
Gp5Ow+G1MCLSJzI4wi86s3QSN9er6ZhIoZFnoovNS9BqegUFkZRY77LUe+0ZxhS9Mtw/WRvJxXov
gzrIjCSrTc92i+xtGiXqZQn6HFkd5cv/YImMQg4nOdLo2pJEYE9QrfDVXHR0CwvGXYajCWsnzTgI
xW6fFv5+4iNiBiKWm9EBtSwBjmeB8OygSC5hG3/Hn3Vne0oSIv50RAg1PZpXuPXBK5ti881QYIbC
o8XmaCqDpzohWnaWXp9ihLrPcTrmB2vcuwQv1rg9nigwdiOtHOxBXucvtl6fQyoAB7d6d1W80rLQ
Tt65paJbGnsxisAEzD+M6Wl0EVxCLdV6KNNluiiWEz7ePyS79ijVMMVGXMss3fqQjGNmDbAvCS+C
QvyTNrfO2dGhK6phyvVCsz2qG0gXvXbhfDW6ktRkiDGBX6/t9V2exZRJOSmpk59Vs4VnKpqn9wyT
Q/2t985JUSy0BhsjOXg89lYqBzWJuWiA3WQmVtMmY5u4wjPTLrygBk0eqnQFuFG1uWqz8v3+xu6U
whhSpWPOk41HIRlar7RuBqQADUpheqQEV9A25VNgdgso7BECKjPr/QCCQ2QBIuWnYxTfNEpJB75m
b8lgVuWIjCVJzjZ+m9dtbjR7Iv+uoJqvzcQOkUhUzGsL38R1VtIjlM/tA82aNfBfNg11EoTNmvvK
RbmghqIECSy0gxyGuzurmv0mKP+6v727S8MY1SDJNrRNkeostvq6opYBf1jlo8xcMJECn1dvTdmb
UtPDg9Oz02rAGnm6Q2ETguht9GzozTSWsKbgtyUyKxwgf86thFJqrz/oblxdMyW0Tto8ivfwmrWP
uRupJ2Sj3YOPuudrealoGDP9BD5L+qkXYbwONrSj2WgSUdsBKWjIvzr0uYZa4ntqxrcvzOso3YHZ
/fMsa7sOgCmC0c1hytI+Q/Ab7dO+6VzqyE2rfxpNI7t2lEn+NnpF+Y85Q6iQwX3/QbeD/nEaleGo
KLd7wgA3yGE4qBW2M7dW3BrTElbUHd20v+RlGn1HKPCPEAm/8/0TtmtJlhdArjmML2w8FbOoVAMC
wpG8c4xPwQxBcy+U9rpQ4DjY2z1TBPXyhlJupFm+/qS1aoWzomJKn8V8ieENgLkfvbY5zo5e6l1T
0vuCESVQ3w7Qh5Ui2jHGKyVkYaeIGepvS5omXmAN8d/3N1AexK2rl/gTYg9wL/D6rleVZZ3TLFCt
e6HrNn/pfcz7IqKj4c8dRwCLDmBX0KASorTZu2bROq2nJe8lY9T4Vt/Y352pGZ4VS//U9eF8sKid
/YP9SQJ5GUGjYrsxp2fjNGiKEF42V4yApRYSckz1/qWU/XjU/dq1xfwHeF5M3vA/ibYdRV7EHAtG
QJBj1O2nzhQ/DXdJ/7z/qXZeZd5j0jcSdAlM3HwqFFZhTbOJpbK+MsS5N43wI9KYyEVk/dIYEBI7
MahFV3limnc8OP17nkWAzpZVWT4jvdz1QWnNVK/amZhgVO3kPCaiedvGnfAUR+k+Z2kGeYKdoKkY
4peeimSAu7+E0uz+FuxttrwUnCJokmivrn/EVAaz00xEy50iOlQS9LhCgp0ZE0AIVXvgW/YOreRV
/be6R510bYy+tD6qQU6qk6Kji+g0EhKjOXbnhvHh1DOXWpkPsqvd9b0wKY/Ai2djiubB6ebW9Fwx
dNdWyye/0yLnfaDFRyyYu6eJkT5oXG2CvS0s05hKNcpq0kV0rFHCIt2qHydGlJANc2wF2VIr/TOY
7OaLYo3aQdi1ZxvOAkc2iOSDvVkmHY6xrHEYXpnH2rPrQosS6hqqL1Zj+NQ2R78P87/isMoOPune
/nJ4eJpos1Jdczf7u3TLQH1WoGZqq492jO7NkBnisZzmxX/9UWWenKmw30PI1sYHFQJ6k8WiHG2V
3X8KOzU/5FbWPjL3Yh4sau+cCo3iOqG6Cz/sJsdSqG1DeFdaXo5z9YZ2EB+GqWFscVYltY798/7C
9oIsADL0+ZnspnW7LfBMIIeTTAJknDqIkOJpqmtUJyiJBnrx06VY+3lmLM9TSubNYmU0P+YzgtUp
+poHsLKd8g/jtrhDWfKXi9+4g9gd9N5qiC8R7gsflEaZn6sS9PrSaN+raqkozVvxm1o04bUIwHS6
aq5yyKyKGmcKIViIerGGKMHp/g5Jx7B5U3GRDCMwgwS2bjuHFpSm2QcjzzdycuMZjIjtqWpoIDNP
zDBMzKbBOHlEt73zkK+MbrxVlcFyGFDjlaM6w6m09fYxAHh+8AzsnTUJ4jFQiCLE3FYQ88AN4nGM
LS+u9C+9jQTq0rnZyVSTZy1Qi4/3N1Jex+1GUq+QlXAMUt5ZX9dZ0Ucm5DTLU4NSe1DjUH9okJF9
F2tDfgnVavLDZFQfjIja3xjk8Yf75ve8hWlyAIAMMeqxxQKbbjLYwGcAZcUwVgZtDHEEurwnFKGL
x//FFDAIEOPELdt8YYHSqxUSo1uVqMpBnF74ZPz1+0RDTPa+qd1PyFAJFSf391jmelPNIK1yKEbp
ZY8xDZ0i1N/X/ah58PJlnlUhs3jf3u4uvrC3OZiwNVbtCBs9IukKOpwMn5xI4RbfRV7lwNTu0uic
S4IlOo7b7Mdx5nhqKeh5YTsGb6hTZBNiqJXUvS7q4a0p4lczjcJuQDGNQTzcEBMzcvEvHmwrp2AX
dZT8Gea2T3kf6w91gNyKmwSvnp3emJKLf2Gqbl0k6dEu80AjWg+x1vdeWxfDQRV578pRYKL7ThWZ
qoh0My+stO2gNagS2p6huC084y4qPWmguU+ZHqqPZkQAmFUuSrjxUv2lu1O7HHzD3R8gsZCyzgvx
6OY1a4NgbiNo1j2oQxy0bFMAF8YwuL/yUihoP3DfLWNQzooSZp7mxEdMAHvHFb0NmmE8pbDwbN6U
UkCDTIBneeQlCoq1SttD6xo5xh/TEifBwVOxu1o5aMRuS4jO5qMyOZoVZoA1vdUm9JTH/v0Ck6YX
ddBTWXGcw8mIbJxdadbbxZyOejV7gRidAkrd9K0oCG3M0w7UCinJzABilCcP6lh879VE+UMzg+6s
j3zcdKi6U5O37YHD280nJKs/lS+SJ+Dn64M22W2vNlIfy9X65e9BTN2ZQnx5ccrBRd54YtFK2SDq
YzknCK3EA9WU6qibsfdoSi0DvjTf3NrOBRlKy1z8THOZGtb7OgsgwgyDY+2SPb9EHxKKV8liwXTp
eq1ZAjlIogJHN9X2H5G12jmqUFibMtH5VCqORu53V/X7IQEdSa9me4SLzImDDnBkK5rktEx0nqxl
Piq97B1dGQFQa2Oum2BwvSglRBlr6kl8az2cjJPSNfPbJoPQ8jxDexYjRYdqn89Fh16VFFlDIc3O
pv8BzMjzDNydJg2kP3B4rH8GHMBInGhU2lBbDb+pvDSolY3Fk1LaqEiHk42oSF+dVac0HkSelRej
6oMDKPze9335G7ZOU03qOG0Bb8YznWZliZpnrc31S9ojSaqCh7/cf1L3PjAeymaijTGlm2Flq5+E
ZYeUjEVZjpfS7PSLix7BH/et7HlCSg1Q9zJlg53NDR0jqpY0HE1vXKr476CrRf7g5NkQP7hDMBzh
WvZckSNkLZ4hG3iMNnuo9XY3F+iveoqRNAyZIlr3VMUItJ2cyEBzqdNipgoKq0vChw6+6KOK7e5q
iRvgIcUZwFa4PkeiGYdMaRtKC+bonKu8nS8LmCWmGabxIG+RG7cNazmWcpoIWgwQZWtT6ThbxULv
xltMNQ8ftLRzT7YyF14HltOPoWD10jk/GqHYtfq7M6zTX7k5NHUBS1EuO7eplZXX0ko/lwydPapw
MrxRRogCi5Cb+vojRBGOQvBvgMm2/V0KktHfxbGonPq3Taguf2pD3F0YOD0UiNq7FDKgpexuIIS6
1fihtjmNoQ3HWNYgcFlWavp21Mrw4OrtHVOZsYGFAh3kbFc0ZI3oYQ6GgrDUjX/Moi1Gr4Fr/nGO
C+ExVhg/dbCtARfKxoPBlL0TiqsFY88/XLzNYy36UI9M5t68qY9QTY8y/SFgN57CJjxiH9k3xQQD
ERCsWlvxL1erwe1BIObBHpf7s9391U7B4MOL0B0EQDuWyCeRiIKqn5d462SacUI/KgXvafexOEEV
EzwNo4OYsLB64/HVpxGadbrfDAJTPNy6mDbUhskoE0K7OYy9TmgKdKzO/DZKyS7vm9p5ETAFxokj
Qp9tO4prCeahjIQaSVj2yq8EcQdkafXoR9/UNqDa/AiguvMY0+6S/hN2W8IqeWxfhO22NqaxauFS
tNIplPdjrqifq8DNkNAY22p8SuIqcxAcbQRDi4udPSjTOH+7v+adC/hbAYlKOOgQMrD1b3Cy0Kiq
nMpPL6zkz8HtF79lSvPXfSt7B4bC/v9xdmY7UiPdFn4iS56HWzudWRNFQQPdcGP9NLRnOzwPT3++
QDpSpctKC1CLG6TeGeGIHXtYa23YnRRWaCls3vt2JXtF9ZDgRosYiddP6b/NwCzPiDDkIBfaMwVN
iLoDuTI+bLOpRe11TBqcTQbGJ+2d4Tb2SxUT2djqoZzbrileBAZZgjmkWXq9d4tKdXmGH8Y0ZbEy
+DJK7vMBJvfgxOlBsLLzmWSfwkMbnosAeuralG23A2xSRgiNRjqfk7RwLqlDVeP2Z9o5kARjuH46
WFL0Z5PGmYMLpES+NqTIfTiJ2g2XaSHFmXNmj4xT+a+ndN/NKLfuByv6fZQhEBfGG1DhgPpAOHG9
xtZ1iqim0orOSSfeMyUJAV5vmEJdm47ilr3tRIBEdraYlKVtUUm8Rb2lrfSa0lbX7hjhPYQNg/4O
tnPfiglP1yNEIT29XlDU5L2go2sSGNTVHRGK/uTCo7u7/dF2TqEEt0vBPRCMZIXXVnKvZ8ZaQ3sl
ZrbamYG9K8n+qL4bnex/v28JHgw+n9caUfzNeiq1rXs0aCjEd6b5rFaLfjcvSRrkNg3P26b2TiKC
fqgUoIhODrYxVVYVrZ2OwLLSCkYdx8LwtUhJ7pTE+cdQisT0maai3rXDnF5GqyO8vW1/b1NRF4Ru
iWuWnerrTSXkgoZVEazDClYvEDo/12ZNJTMx1uXLbVN7pwQbjF+FN0QxcVMvVaMqL0sEBE5m03ZS
ZH5BaKLx9OJgSXtb+tqOfr2kXOhTAy2Oy710w1enN9L7dXEb+I5ZcW6ctb+MpbDCRKkjZix3R4M9
dndUpj4AlilDb31Lnwl76juegHWqiied+RV/OSqzN6xI+3R7Q/csmVIZkkAPRvBWvG5eV5ooqU4/
bsjzO8bgeh+TjqQd1Vz7YE93wnPWg2gIoaVEAspv++oFn72Z0Y0drT/0J4of3mCqD1av5v+LwTc8
oHVWPluzMf7BhadHQTvXo19hbfthHaiJIkNO87RkueEnPT2SsYr6Ow/gwen2VkqXu0l65HMjCy0I
P3JEN+szNNGuBrzJpp/JbfJo6C9pXRePCQPAz21viRek4pX/PDU/qvLsBGM2jx19IjBWEJE3pltd
F6OSJLQ6c12/lAiJB5Wz5j5vhBEisNkexJl7SyXqo7QhOWlwja+XqqR2v9jE6mD4det+ROfH1+eo
PVVG3MlWo+7XfdWGadIP4e1N3nMAcB1pikjVNgR4ry2P0BOalat3wl4TePOclL7qVc2B994zQ2gr
S3fU395oezWlmaWlkG34vDT/VzNY4SJQ1zwIVPZuBBGE1GSlWcGKrhfTJvBK4gh1stVsXuoyty6i
K5WLI5QK8LYlgixS6oMLsbsyniPOKdI9bwZr9cLodDNlZTQJi9Okw0UfV+/H7a+0tzAeI9TfEHmn
PLf9SrWSeDSW0JjRVTow9dT7SHZ2AeF656dFKfyhTocD/7KzMvn4SfAvNPw3Ar4oX6u1uiiwIaxh
GH0nU8VjO6fzAUh734xEF5MBADDcrC1NYqVRCsr3rtYpP8ViFZ814Rw113et0EQGBo47AcJwfTSS
0qBHkcPjd4St3NmxsmR+MwzmwQnceecQ8paz+iiygS7bLMYsx1rNBrpylpOZz5WmfI/Q8kW33ngo
AGi979vxmzoz2EEf3aNyzc7Tg8IjrSWpW48w4WaJmgAjUUaxlGKLvceqa9CWNXN79lttNp2Dw7Fr
DDleSfPiDdo2WhvUqlszlV2fcvFe1Kh3Qt0q6R6rg6jn8Pbx3zXGbvL1IO4SAV5/vLGL4wXIpXOq
G/ET59j8xdRRph2s6VEasHdMNLgCDF5BJRC9s2tLZqdUCCVEtDfKpj2jUDKt/rKK5ajFuaObB6KW
mpPk7eI4ttyLYlIp5TV8LLVFv1IsevI0iqoL08UZ74oaOt+pmFbj1NgpExbnMdZfRhT6zyml+jho
p6KBG2mj4n26vdW7BxhoMXUVZrxQYbjeAA3Jf2UdIPzoPK3f8jYZHsiYxeA38xCd2Q/XQ6gGZTq/
MdQ8Dey8FM1B/L33uak4ArqRhV3Y79e/oc4a2O95C/qCROAdTP/hKWvt+dxO+mGsveNZgeWjogJM
kzLZNtbWUisaDOobFHET977ua+WyWEMb2By5v9EOnAM9Trs/OM+k7BKTRiT/RnlDzezOUUowhnln
L1/0ieG1nlYM30oSmj+4p5SnKci5zGwDOXW9ly2Y5wIdaZyCjjq3H+mR81+uF2V1GZpWNc+3T8/e
9UGuF36rnJwDNuHa2mjGSxbHnJ4ErHb+UrgC3WqzcZY/YG2QcCLNAJ6IA7L1CANiMAoZFJSxVbx3
Ws39t0Hs57/bq5G/dhOAMt0M2hJKhLIcvVlN3NteG0X4OJXS8CNS9tpLBDswSFJ9qPxpTo+ypL2D
b1JmlPUHSjdb1SsmN8ceGEK0ELzWPhslqLos74fzUEX5H9wxmsh8deR1ZH3g+kuJoRo1RmmA6bCF
fl+Va3Ua4zg6125yBG7acymvTW2us9GaTt02HhJvBnSF3qZtYc/9155Zmug7z54/rdoaJmbb+2Xm
iIPWyd6RBLuHMhrwQBzuJpmu+8zSLbpfJ7MzrQ85BJRzOZX9QRS49+XIxQiVqGTyCaWbeZ2LFeTQ
UwbUIl/i9m6JFoatg1h8Qlx8Ot8+lXsYNqB0lKloscmUdvPpsrgGQt/E9qlT0VgN9GaK3ns0b+c7
ekPDf0pPmzwYmxgfPcdUlJ/tNWZ8CvM16sa3F1v7Csh/vuhVM/2YelOpD37g3o5DcwcfANWJLGrz
vTt4TYVmyFaAWYrPSw3sA9zvH+BomOJBGQ30k8wRjesdjxMRubkGmX5otSh0zO5/tdood7G2/okL
lSxJgkdASVTMry0Rlc/WpIOWRJGYcRZ22aJ5UKgao0lzW/cORAJ2TxLlOk1DaovMbOOw9bGahZZL
ITqrSb55lArvskLVP+VRYR9Uq/fePqmAQvUATQLEVq8XpkK1SPpSAmcgl4Y6We+JyTPdh7l1XyZn
mh8UO1E+3z698v+59alS94mhIHLO37YsqS1VYkKt4Tq2ffI0W8Lx8a6i8huvU0+iG49wcrsGCUjI
nX6BRjb7GTFtwS3rGZE7pqkjCaJ53xsHqs/YGUzIqI2jltHupv6SQuZgSLvXm4pkjuItKj23uOj7
58Lorc+aUg7ncTUKVFCaVA16VPCOAsrdS/fK7MYpWHBde+Y24WQnVQ/atBC0xsQRzW9/M3meAMDQ
5th2AkrDVvRESjtU5BoknZa2UERDdDqA7JKOAekhgui3T8zehZDy2dqvtA2Hcr2heZt3I7gfmpiJ
aT93S2mE8WQ673LXTQ8exb1NBB0KUYBYiW7txlSsMmNkpiF1soY0T/xSBdnlo55wmKrtHRJKWwxe
IoSFHrQxtNB/qrQSxns31oz8qO1+PUfa1Ihw1iu6HYXnht7Q9P/c3sq9l9gBFUtUA4SKJPV6KwdQ
PnFOenVKILdcMrfv/7e2GeiMJDUeLUOxzzZIigCR+RYmrOkd+JvdpMchlJJSpZRMtkk4om52RW4O
wl2fBousRqtfrGSVowCnXmtPtjHYn0APKatvDhNQzAmw/OSLwTWrwB6ttPUZljIA3Fb18uAF3/sk
PKt4JhnyMXXuem9Q0eY7FzL2qgvjCbB3fCaBzk9er1aZvzqNdkIyqD7Ykl2rADv4gzMEgXptFQr+
OA09IWZmqLK+WBs/s3zOHhF3XJ/rlGIc3Msj2dE9PD7uV5MyeKpkPW7OAX0pZkyht3dKgIOdUXDr
gq5qkxekYZwgAVj81QPA91Tx7DEjQrWJGqL0b7dDm+v2gdy7cJKbxKEAj2VuQwXdSexRRQb0VI1J
dCFzQL5ONY7yyX0r8PLRF6a4uqVBKXMBrncgqbenNbs39Kl4sjNLOfBT0sNuXzapdsMZopsO4OP6
U86ZYhitzBa8qeiowdj2JZvz+TJl+nrfD07t1xGy+HYm1MvtXdyRwJL9cxhWZCrg97ZJrDNoqNSK
3MVqPrzorqIGUVEuX9CKn4ZQgQo+XPLc0IU/Wu70xIDTHIE3+cHL2XoxGy07wuTunWsSJ5JqIhiq
epvQoo4aNB86xyGKiZbvxqzqKUgwl+ktukD29qG2V4fJ0br+B/eJhJAaKeVsev6bW8yoYM2IVzkC
ISqH7FkRXXHK4k55zrus+xeRlcF5UZPY/JP1yhxDV6nnyOmR1x+fKCu1uon1TlHkWe8Ks3QuY6bb
3UcTVbYXe+6YI2k1xkFys/Meg/7HYYHIlexdefJfpR2gJh0h4so9aUNTP0ZV1J20tSx/dK3yN9xl
/cDczvvBpAOSU2ZnaFI1+Nrcktd5QzmKczYY9kuxtNFphnX6zY4qYwmW0TMfkbPRPnmVnBS/Kkfa
03vLpVDzi4XAMd9qeC5FGyt6YbqyMRsJXxnRNPBzyqnf1nbwZHTlrj8O7pbMDzfXmlwccIDUPrPe
3K22XFBjaXvnNHci+dI1o35xpjx+gZpj/0jzofQXuxe1n1rKd2Mx+hOy/fqBm9xxLfwGkDoI/QL9
3va+Oztj8sK8UP90qvVCxo7wAGS1u2h1GNRtw8uDqu6U57wtswOvthN9kcjR4ZfCDrB6Nwd7KC0b
FDWmlzJdPja9cL9Aa3XvtdVz/zvYanla32w1wGr6G7J7s0XPlAYFkATlk9PoieyZiMD76eglDAwv
0Zk4G2WaXhMY5O2zM8WK8Be1UvVzGvP7/ErNujpkjriF2mJXJri6VhdHH2L/F3ISKCTwcG77yLYy
JOWQp0j0Rs5SMA6nL5+oJRsHscieGYpnEh/Cf8wxuL5njVWXap1y5rQoSerTktZA6ZpiLf66veN7
94ndBv4F1oCEcxN9WEOd9Z6BaBlYsDwOtCFrPqmdHvk9eQuiL/HH2/Z21wXvBXkHplvjL6/XpRl5
tbgu8XXqLtU/YA/UH449HCFfdlclUVEgkVnTVhm7E5WpLg4ST+W6Ts9mndEBQZ771ChO/wEti6Mr
svPWIVxgci8peACi2FyR2qUDmGWzcxKMDywCs6BsfLYKO0uCZB3K+FJrINtDU02Tv2/v565lqtak
to78a/Pa2cK1Fq8jjXCVPPu0mFH8ibeCg6kLm3e/1Kgf1spyum11zxvR9ZG6MnQF35QOm7kuzBT3
B/XLbuZL7M5LeqZSwNuTGUpzTlMj+Zm0qZcEVYTewYEz3PNIlL+ocYEkB/e22W571Sr0vymem53W
0HVSq/irV+Xe4ptzc8S22TtL1LLAAoGgZbbC5oZ0njUQvxFZ9UWSnxm8mfuRvTRPVRx9X0nrD7Z2
74Oi+kXFmaiJNtTmgXWNadLp7rpwX42nNTLau2pQ31tL1Vy8BTB7OzRHONB9k2S8yASQCmwJLVGh
2CVVQkYKITsG0GlqYMn37oJ64+p9q+2sfGRwknWATN6zKtWCwFawrVzTa0+gFy7T4BKVNpNBkaJU
EiVUrLi/j9fM+24z5CRgXNSh2Mve13xldRsn20gNI3JGe0JZOvXFQxns3Lqji0AtJyAg6pl0fxh0
qhl2aj8r+mCeG/QcT1o/rTaCTaAf7UQ1PrON3V9xVi/PzBboX25frz0nieaWHIDElECe++utMZQl
7mq6EadkjtdL7VXRM4QycbltZe8WIect77HLK7PNidolUnOLZtCJwQggm8vKDNTcVk+Eb/35903B
0qDMSJ+NArn8Kq+CVE1leJPXM4tL80bGSiuZ6WfUwS6IUqUH92dv78AqSMgjQqdvBmqUNvFZlbtA
fbMiPzOlSjkXujMeHN69vZPErF8ITqAE8le8WtCc5YzGNmStrVx+gsyL7/R2/UZB+AhbsmeITJKA
SpezhrfD94SqDaJogK0pLR20KDemwKzQecpj8vTf/kjMLoKlQO+OtGnb66rWPCtGiXmsIYs+IpSf
hzp49AAK4x84cMI7Ihu2kKRlq3Ng6rkJtx1Q/ZqmEXL1Q36uqa9/X5GV//23gvKaCziOTgS9gs2X
ikfUBCYIvgQ4jrhQ3U9CJ0XtoMu0o7rvXnGL1E/ycySIBYGc61NBCpRoeSacU5Gp9UXTGyVImToZ
LmM8+BWV5mDOnSbs3HHxoyWGZldqzSVZ58pP1GG57yqrOIDW7Pg7Ol8MN5XS4HSBN8/J4lZFq1cs
Xx3S5tRTQTtNtUZorNtpYE3DkRTtrj20QWiW2pCmt3ErTzZz0xpwGsmkKJUvdZ7CHAWNL4sRGXdR
0uoHAezOBYFWQ5mBseawt7dzM4bOQA5xJABSJjH9zLI6vp+IBMKp9JoDZM+vNs8mO6F+ZMrSsCaT
4M1m5lMRgd7jyVK0erSDumdrnxWt7VDnosn+IcsV+79U79rhpOBOI38lqEYFBi2rBh5hNo/+YpEr
nhijAiV56hzxkTBYc8JkbUvV7yxvfRETYMdArPr4OYMdUflrXMB8h8eTtH5BGJ8EpalUz1khlUhU
deh1P46ZHvKj1mbV8uMCfYtzQjwfQ8RtRsp5TdN+KFYx/NTntlD8XtjImy1LpTaB2vb1EhhJk3+Y
1noQFyT2DDXMRKcrJ7st27+yTLf+XZva/piUsfexTaJ2PXXIkB11FuTtuN5d2cjTSFMBRvC3DBhe
+VRzQJTE0kZwCq4u/umahUE6qdVfGsuqLp6DXqfwCGz7LNJ4DtVPt73f24MrrfM6EQJJAZbNEzUw
CSkSuby7XRS/mz3Rdz6ZqPXOtsbODKZEd3/8gUUgRswGQ9WYF/h6vfnCudEcyMwuDvnZBg4SLLZR
v2hOIsJO9O6BJ3wbcFFiJUcxuZ2/IH3X9mrPSvRlpNfXM/YNbZOkPxu62wc1MwNInrXlnMGnOtjW
t9cTo/SJUB6H9gte49qol2dxaeD1TnZnF1/6NdUpQ47WcwSE+OBNlp58e37kgG1qjtSRgYBem4qz
QZmWiNQy4TIGZapE7+NMtQ7Ki3vn5LUV+StendJ0Mea0simcC0ZtPxRNNTwh6VQEzHVGudhAF+lP
PhudKHB9EHB4Nq8NRq5WKBMenuS178NaX4sAhPl8KbIW4Cfs1/uMAZW/HQvw2SQaU6LgZKfo2iis
TsOC6kN3qk+6j7aZRv4QjeXL1ByyVPZOCBJhkC2QKqUQsUnm6mboO8Xi2g9mhYqJOTYBGpO2j2rM
kdrx3g1ggLIUTEFhiaf6elVkFlIQA6RX3DNKuRotLyB2iD4j3S7e2etk+bZbHlHe9w7ML7Y5BVMa
A9uwKl0bo111tjIFRThdZi1tP4yFq4doCDR90BgVOgW3PcvuOqW6CK8iSl3uxpOq6Hz0nQuysGlS
/Z7BsOMJDmPzVC6wfwwGc1zQK6gvf2KUlFwSdymTbq6f2bsp2kjgX7pCrSH1998Gj7g7UZQ+UJZ8
CvJKO1rodm9hQ0uGDKEdDHDc9ubsID4DczHP15AibHXq8pip5lGVBKIU80kvvfWgKrd9on7ZI2iF
E0A9mNj1+gBFeeepy5iu4ZT37QfZbrpk+TR8y6OleQBE6F5EFqsfvKaOAl1r0P65vcd762XJvI5S
ieeNN3XEkFS6PbNeJ/nmZO38IYVu7tvmdF8ayfTztrW91VLfYUwm/htU8WZ3BanpmtBXCuNIN5no
3CQPmajU6iy6pflLVUQfatrSfo2GuXjqZ1f/dtv+7mrpFMO7hSNHBH+920wEVMa2G9eQAoWLJIWV
n8ykL97Zg6b5yjIcUTffyIvIz4tQIDpl1PBozssf9Mq3T0xfHCMTLmXeV9rdOq3OD5mUXbqh10Jz
KaeTIhQ9HJZGfTS1PPkrAbx2EBVs3SG/gbvjAAtA/hY86ubBnGlodHzkNTQLbzlNgCmCzMqKIIOs
FN7e311TnCTyA2BalOyvl7tOcanX9EtCNFOGZzMp1HNfqeLzOFdHhMcdU1wXLin5Jc3mLaxx7VPL
7TrGgIBvtD/aRgnHbMqzxzJXDvZv6/vYPyomKFXxloAu2k6THeNMAcQRq6Fe2MlJUVd0AedF+R4T
1j9nSFAafmWW3UFUsLc+mySd0JQ/PJvXW2kISEIVY8hCp1OdIEKdxo9ogN432eE4wr1TCq6IewGG
AnLidoVRzxItTVnD0ZO0j9mZFwoDmX1X0vP4uhh58e/qLg4ivZZ+1lbhqojkoNR44It2NlrqpEq6
LkiZN6QNJoIMbtsratjn0xclNpUHq2KmTTZVyzlZR3ozsE+Pmqw7+0z8KotICCRCTJH//uqGrqVV
6GoRayHpiXbR4lg5J9acfpzJfA/esx3vRzJFCwG0ALXfLbeurCi6a3auhZHWuKHLXxdXQ4w6LfUl
bAwxPHku0okM6KhO9TDnB4n725VKwQ3ogww6l35gczkNpZ5Vxaq0sGXmyWku4+Sf2Cva0xKv6/1t
P/DWz0raM0mXnDZB3WLj9tKyzVpmi2hhCSgpcMpieBhUfX0QwhO+0Xb959v23u6spjK4QKfAyUHe
UVxroRUioB7OEML8Vp3Gu87p/zUGkb9YWi0elc7THlS+tL+Kqjjdtr6zsVL2kmgTjj7l7s2rpkdF
FNfmOIUoxlePSpr8V1pN/OJ0uXq+bWlnnUQnqFSZJFSyhXB9WBd7WNzFxRXNrT6HNSMFPyLKv9zH
VkXBe+m7xzpm4KWiZ/XJzCbvoFzxi6jxOiGi94WvRbSFkwpwdQtHGRqa8l01LqGd64lxMewoV30y
Ph0xcztO3nUUI7yA8V36v67Quuksu4FZkKp99qEgdSrftwzpzPxEjz0R9FbKnB9JO1kee2J18TjY
ZU8NCxGr9L7osqj1m8al0pU7Q3QpyqkSB5/urcuhOUFzmA4Wa6Nbcb2hNMYbLe5rbn/k1hezdedQ
E6rcPOomRSxSvGFU2z9vf8Z9q9xAXcosvhl0VLYFWtcqVtNy0C/Q7aZLvwzzs7dU/X/tTNpejlXy
v9tGd04pgGNXaoGisE1h4nqp9qRU3sKUhdAqot5n0IZx71jVHM6dax8c011TDq00FzlClcrltSlQ
fkZr944app0wLwIYdIAPVgL0JcuDD7jtG8oTSfRMToIdsDkbUwgwl1Wd5GpY2m4eGGm2XOzITX1V
ce33XuQpoZ22j9Tv2/D3t5N4jugOiN1bWujEdLVFAPkLK/ROAyY6FRctcRj2plnxwbXbeZ+5bTzQ
8omif7OdzSDw6OBmMiIQ2DX3IOu+LqvXnsuKXkeuzs1d3/btw2wAjferNmsCUJf9wXp3XDo3nuwd
YDx50RZmmTqxDZ+y5fiojL7OhnJ4SMcs+bcFDfZUN4i+HEQDOwaluooU+AUbBFL++hAZbhzrRtMs
4WDO9ae4zqhwx3F1nzIhLlRIQQ/svb2UkuJIQ4nIhV7pdgZHblOPo+muhq6dxo9K5Q4g2YwIXYbE
7s51MY+fls7RP90+Rm/PL8GOHKLnEPfQuZQe/1X4YQ694SY12zqANQpkYYvB9Er1Jana6hF2yfeq
lsAzSzloCL69ovgCukxsLp+T9PParpET1C0tL6Zudd6HvM9p0OZp8ZDmRXJwRXc29srU5orG82Bm
eY038NysBMuGemURW+57tTWm8xoJEWjG2h9EILvrA2GkQtuWQmMbVAgkFqNJBF9Tq83sH/DX5Q/H
4j2ZktI7uBlvTZFP4uSkXhyk5m30PAk7tvpuacOBuC9YKBS9W/Xkoykc5bf9KtAIjgv4bq4hmOXr
j4aSRmp37dryWrVFUKLYea471/SdVFE+3j6XbyMNicLA13Dnpb7F5rUQKVKJENgw5ejDvZjG3lec
tjxrMwgUwXn0l4qheSjowIJffn8AKxpEqomWLZUfEDDQ8q6XOg3lWiN62oXqmjb3fTXbX5LRMXyK
RdpzrfdVQJDU3VWFGD7wiK7nHkblaQRuUATxTMfjwDvsfWQQ7pqMayWie+ONXASf2wjl9LAU64Ry
S6l+pjlC10tzj4a1vb0vrsa7SUqLU6Bkujm69mhHpbFGVRhbRhUgcPljsoX3kI19F9ajsX5Mlv5I
ae2tG5I2iSxl/Crjy+vtVgsnagqCuzBXoliOh9Z9WxmXd0teDKdUTghslkU/e11yNGn2rZtHEAP5
fb42HDcauNeWV+CNcVnpdVgXiUXkqmn3InPnizIwI3ElUPpw+2Dv7S7pJb6ekEFCXK/tFVkV1b1m
1qFVTm6Yqk4eIBGWhu7amXdZm/9NNfOo5b63RoqKsMylVCaO99pmTtBOyKfWYVTPepA5TQLOKOEy
qXMWxLVr/7bz4+a8srfxE5PldF6danU4myL19UY47+qlry6qK+yD2GR3aRS5mN3Aw0lucL20Wsk7
EXVTHZqNOfqIgVJEqITyPkc1w/eE9/sVPJZG+oNYL4EIpKFre0vdFQk5Cls55/Gdm9c/x7xmOnGL
ZGU7WN7BTu7di1+oAkZEEDdvPW6n262Ru0MVIoBmfYnp+Aeek6anmplgp67RnHdW1+ZBnhnlwasi
F3KdatGkQ7ufxSD8RmvheqEmhOeigLgTJlHSvYekvjzZ5ZgfVJneAAzws6/MgAi5NhMLYSzaYlUh
bf0Ulec+Phlm2z25UfwhYmTxQ+KUSZiAjw7aGHZWkrHb5jRMT8yX6wnrZ/OAq7h3ougPEfrBJUJy
f/OFW1eQa/cOyvPrMoVN1jfh2jHkXG3W6ewm/VHNcteeR4gAQ1qWSjcnuBtsRpzCxwlb3c1/lOro
/CN0fVKDcenK3E/Sevz3tgvat0jSwgsuC4sbF2RnXU+azqedm870W2p74ZBGzVkzlxgUunvEa995
u1AbsmRZDf0Q0tzrb9wvJtBf26xCrXT1E8OR3cBdvepeiKY/OE973lWWSXlMaBahhHxtyh3qGUUS
l4/nJt47c1qmU1PVzl9RV05P6IDh85YB8NvtDd2xigAXbSkUV6Wq02ZDR4qRzjwadYh6bndfz6Ny
V459HNQE/MFQ21qQ0a06MCov4OaCSkEL9At/dai2CpAZwNxs9Yom7DVnpKJhRu/yyvxhjcZwYrzK
9JBYevxrgM1jN2nFwS3ZWTKKThSceE3I6Lcqlx2yROtkoGmmTdEQVA2UgcmLEUrXx/yTY7dakJr6
0QDINxwvXmnkiEi5Dalt+2ajq4rKmm0I9wRGWNghnRQo/n0zWt+Jjc37uDeiJSwZKfe+nIEMPy5Z
H/3j1XEqTrOtKAdvz3YP5K+R3hGdKSCAAH+uD9ti0u4sc92VsyeX+6wbhnBtmyy0+rajn4a6aVSX
R4ysrV/GKLE3k1Kp3AAJ2OqIoBKrWEleRCcnSaov7Hb199Ie0sO3h+uXFQBIIHYpob4B6WmRRw1s
LCOUcErjSVcU82vped0pMuLhnpFlxbkzhOX3aVo/VqN74KC2DkNap6Ipa8SmFCCQG/8qKTWGwWJk
vOmd4kGsT0llPBixOj6IiWL17Zu7Z4mIiLoNQATJhbm2NLe1MaFO4Z4EWc/kWxUlKd91m+arWq3V
AZxj1xhYHEmh/sVv2hhrPGtaVx1ku7XmXWBGdhtMdEazwNDX5dPtle2dE0nC/X9jm/e789ZhUQYQ
5W0vBJBnt704wGQuf2BFZoM0RwiLti2Fyl4MLRol4hZSzVlPO+sucXvn420ruxsHIIQONe8E5/96
45xJMHcV3PwJvcPyQzTFn8HDDeeFSb0H63lT6pJHT6pkgu0hAX3TikLywtEzYcBdBaVKQdQovjVm
5QU8IsOjaBMtaCLUtJGn7S5GO7ovBEq/i17/9Rt+4TnANlEz3UQEk2jK1O3A5yMcmT7Meq75qtbY
9wheLyctVtYHpTeng5dzGxRglOgLrgcAdlz6lkbd25mZqGmGM7PFcCrVtpuCrMKTRpHeXhRS2oOP
umeQEFo2FymcItVw/VFhtERpjvwTHegIqlMDq5Tt1k/uaisPWnY4i3TnEGENGBWKoIRaW5GGMS5E
NpgeYsK9Vt85ohwfEnOxzw5R+8Fe7prihaL6g2thIuf10qpoLLxqct1TpE/VSTOE6jeUo8+NCcHv
t68G9VAp5C0pZkA1r011s00WUIysKmum+0TE3wVkgA9aRyJ029LOkwCnGXUdZKWQDdoGOX2mjBoz
YdARaAv7wzLq7d/0g1N4bFb1iTTWfqyiNQ7UeIqoeU/xgfkdf8akaW4l7RLU6LagKn2M07TSQDo1
S5R9MvKle5zc/CiS27NCj53aB68r9daNp0mYV+TMM/7MK6E1N6bifdVzTxw8BHtHHxga9w06r0QW
XX80YVe21aLJcurbqfyrb8vkPo2zMTC7wb3TaNsFv//pQIDKDgV0avQ7ru0NDB11Vouma9GNw6V0
bfGjsYT+ggq8nviAnvOzPbrVu8gemr8rp4uPRrG8SfOkd5EimZLmyuV7U2ZOJ8+myOudYN6r8Xmy
2iiImqH4Dqxc/dwmojpnWjx1p17Y5syQm64PGYDo/UUrt0Qu20udL6kXjweHau+iOqTVDBOQudAb
fYSI5l5frR7Cr6txhjuz+K4RWfcN3cCDi7oTLHJ1wMQyNY4+3xY2asaqm6FL4Z3WBskBvJzwPizJ
4Gq+FVvDs8g6Ixwaa/5++9Pv7jxQJzDOsu0PmuP62+NjDbeDa30q6iT9nDV6codylXgPTT1+aDs1
X3xj1uX8dKHGfqxa1ee0Z4I7iP9xpbSrDvV31SqjI/zMzn5w0Shogg3i5dlWNorYLIYharyT22q1
37Nvd2uHwWShyCm0vk79lkmv59vbsfPB8ctMHZHFTVnBud4NSzR5nNPJP0GmXMkUDETZLWtkuPC8
nm6b2vGXFE5AdtjMjuH8y5/yKoidLJDqWsn7NqVKGzJ6G8yD3Qk41Xkf9KQI93ZRfTabsgjLFUHL
29Z3HBnHDPYkfoykdNu9quOuz2wv8U6AFY27lrnu5IlTcuBY9raTwZ5ofEh9GXKC6zWao70aUc6b
CmP+f5VVxZ9jzuAjo1OPSFA7LhOwlYQISiFcgrRrS03axHNVsocjqLWgbtCwqZFYDZy1k/O9m+zu
9v7t2YMfz+NNmgkLdfOuqmlTtqrReeBU+hKKev6p6+LmojR1FYiiOGoj/+ruvc7mOSCMgJXdP7T6
KTpt1teNcc5Har3TUEG0TZN0RJfZ6YJG18XD0inrXdK4o98yYtKXo3/9FOXcd4XBsfWmzr4bLPsH
Knt6MNsU0JnHNx1syN6nxn043B2+AD2Z6w+gD+BSPa/woFSmBsc5tj+0pVn4gBaj8PbeH5na7EXB
q9mVFaamQi3vM80padgZ6Yulwx6/bWrnmhDnE+5CGaTXu/VCSZwM2YTgx6kx8/hirhXt3lWpD67J
zmEiP0I+EtUB9Lq2QhoxcN9eMDQUqVeF71qtbuw7caeFwpzgLPWu/d/tZW3LxtLdgH34VWxTgUFs
kj+6rmtk26hWRUzf/ay51KKcqHiniHT5Z6H094zGQu9Xa1ocrHTn0xGhUeL7hc6BUrQ5JbVd6t5k
sVI5xsBF4sD3aKQ/m3FTHlSgdtcoFZcwKIcGyk1/5V+TZaFsqsfRaURr5yfkC/TWEkWtGqSkm+yf
xYr1Z6dVovu26dvz7f3dXSZDhiUtDoTJlugiB94YDtIgBPiZ/qVZwBgtrhUVvlePRySiPVv4PQm8
QAAZHO/1OuvMMRZ7tvEMbqn7/8fZd/XWzaPd/iIB6uVW2tU1idNvhDiFlEiKolhE6defpffDAeJt
w0YGA8xcJBNuSeTDp6wCd9TyqmfsqlxBbfr3p0LTZasCMU9GqvZ0JbgzeNSZYwshtE4Fe7R6AEu0
TkjbUOa65Y0r6qVaG4CHzSwEQj+bcNPT9cKsgzlxSdvd7CRalZXIzLc87i1cwMqwDlYGOk+bf16N
4jBoEWkzDHp8Y8O+EADwGza4BejpWxP+6W+gLUlBAhvwzPDR+QL5Z/VJ6emt6e0LyQ46+xgNo3H3
H6/v6Sq4OAOZywJNOyfCfl8KKsGqyza17miXQlMoOwSRjv7VKxVhAA0T7FG0M5BxXsouhrFkrEvD
drdGU/YtC+f8Yz+Tj/+8a54scvEVq54O6xhhEZ/oFnQTHLZYUnIQap7/vL7UM02o/3ugjV8L+XZI
H16EF6ZFy4rEbnGNiJ+2MPxTHLP1RxTk3dUSeHZUc9J/JnHvGwDrRnqly0mK2oSAwDu3yLe2z/Zw
F9c2UgT0TND+BRL8crQRzDSx6Rq1O0uj/ojGrT/AMm+zYWpVzdVbGiov7aNNUgzV6Tafv6xXyiVy
GRwGsFxMaMvqCUQjW6M5troz5mTlO+/Qo7oDcEK/laG8EIYA20PKjpOCfs2zGfKQ+gr8jGBXting
SFC+f+gUV7DQYkv677nGf9NxKIhvaJPLfl8QFHyeEwPvdh7JRjMVogncqf0cie78+pZ66QNug/j/
v9TF+Y9AqS+lnoMdHUSy476yByiTukMVWNMMKM/eWO+l15hB0gzoEkhiAHX4NBJElWpnlS3BLgqt
3ylofIDssi53IrL559cf7aXSb+t2YUiw+co9g5a7ghITxfhkSyWXH2sCcdA6CacfVkGa2Md5/LBV
7ND05bSGXkZxhtRJWqsQoFiNBhLaj6navf6bXnrdG84VLbgE7NRLL/GkNQEvgjDY6aICcwuEQ3ev
YNZWD5B1OIOta//Vqn0LGcUG5UGhiVL/Et+x8FEF4SID9MGZQRJdwG7LunEPN6y7tcrE/xAN0eiA
7hB6t2gkXXzfzraYI0Q93nk5iFMvLPxkStBeus0O+/V3+dJWKkDuwaEEePjZrBPZOGNzj2AIrnj7
iffyK3Ar1SEqyP+yaQG9BCcCwzekWhdhN6r6VXS5D3arj4uvi6Pvp3Sad10Xv8VZ3v6ly3gKUAUw
9AADAXK6PfNfSd1SUDYuFfYH87HejSzVdRv4t97cS7sQHWAwkvDiymf68aguVzR4cAjTfJmOpZ7n
L0AFtnXADTsQBp7061/qxadCKxjMC2CFi8tiPAgLu8ybOKNlMtz5olfv7dIDh/76Ms83BGoYgAiA
ZAKH61lLJVyhTzgEPdlnNJdf+ATccDMOi3zP6DrqNxKnFxZDwgT+E24j/M/lnvAm9nDhlGS/RmJt
ElNVxxAOdo0r4vmNTH/LO59uCoiSwX0BmIxN2v0SIzJCZQDEixRnak6KR5DWyHEY51DXsJG0Zwr4
7ilSmc3qNUsrX7fJMr9xqp9/QPyCjTMD6sp/ZLan2xKWJzGdVYWo7Wd+7Y2IrvoBovmvf7/n23Jb
ZWPWbpR2DLuerpI4s+h+4gSQGyKaKOjENwiJ8n5P1Rh8DKKhi3evr/jiR0RKCu3jDQpy2aNqlxG2
TMwQdKCm6tyvXQsJCJXuKUYb/3yn4+H+Wuri4exCZlmlE9lPkvGdyQZzM7aomGKStx9ef6oXv1YO
yXpsmhiJxEX/ABYDcdlTS/bal/ChjrR+CEn1lrbuS+8OA6Ut1m/9kEs6k1VpNeQU4q6ym6ojzcaf
RBB36Ar4Q7/+PC+uhMgB8D2SzGdYi6lN1iTxLQFNsyPnPGrDD8PYCVmHnZz/h7UA8N+YuLg1cYc9
3YNR2fWhN0GwU3lodxRYupNetN/nAPT985QMgipbvYlvBBWASwHIVCQjXQJDty6IOK0kIacpUrCb
yvxbWJmXdgQuZGB5/+tNXBrAhPlMImljugcT1eyN9tGmX6cOr3+nF1dBR3tr8QMnfck+laXpyoJO
dN9WuYGN3Kxu2VSub6yyHZSLaLgBR9FYRmd544Y+/ULOV3TGTL/bY8BPbgwMdQ5JMBd7JQQ/AoeU
v/vnpwL1A/0rjP3AvriE5vatG/KW5hRbgOWneOjtA7XDW5HoeWWzsZHgZgHy3AbdumgvpkFAVDJV
3V5GbdLYKXFNDpgwKPZ98C7uSbfvkDq/cbG88CqfLHoRKAgTijhadPt8khJwgsG9G7S2Z90litTl
6M0bFMgXdgjUlEG1wFWGCfSlb4edY42xCyK60Dpp8CmrM6Qc37I7eqGxsgntbbYdEKLDlr/YIr3c
lCaguL0PIM4E2TAGnfliavcSkaTJ+yA+u2EgR8hVdddTlYLYErN5//q2eSFoge+NuqOAyurmbfp0
m1b/Z41HGBCUcm6g9pcfShO0R+g2V1//fSmU1ojDuJuBYLj4jFxj6gZKQL9vQzGdRx909RqNa6On
snzjit6abReHb7PrQosTxFIMDLc//ys/BY8vFpJyGGa4crkqcG2+hwEJOxrcpPcq3PoOTvIOr1tA
MOH1x3xht2Jt4IHwH5geXX5VSOUWEckE2wckyPfJ6mUNPfmoSRQu8Hic35IAfekL/r3edmT/elZF
WrFkKdYDR1g3ZT/LpiTpdB3bhL9RFb9w+tHU2ZAnQDMilYufLlXOwoQ8qfp9vNLwhxeY6/uU9+9V
lxZDzdEA/I7KThxff6EvPiCKQ0wDEXWe8WYtDn3WQ21jrzLAJfH3+AkYkeiqUpa+8YAvLYX4uckU
YdCMEurpA4Z6K0RUhW83d/OuJX33OQ4mdZwgtvzGUi+9S+Q9IFqjJw5o1haD/vpschJ80hgy7uHw
ALmyUskDCWGFQheX3q8zk8cc/IQ3Uq6X9ubfi27P/9eihcmSAFYgOBdFOF7lhkTN2HF5Ja3trkpn
/lX3Bid9g/BstRQ482DrP10vpVDxYS3le3DzboWYcZ9bekTqlR9b0JIbWZVv5RAvvVfcT5iib3cG
KrmnS7p4CXNVzR0MvDt4ZwAOGcPENWt3oF5ntJYIQcduKv99xApZZtB+gJ/YvHouT33OQhJU8dLt
zaDt3k2wcAiqwtwYm/369+MA3OVGB9wUmi8dooNeAorYht0eTPns1EO2uul8YptRBvp/OHkQtAf2
C4iQ57DL2LaTK5Tu9nzqyH1GBn4GfHw5LS55a+L//MpF7QgkKfKxDbaUX3w225cYha9FvwcGbXgH
tKu8SY16y9b3+f7HW0vQ0gN+Lt1gFk83ByQlXGs3zlQCv1vw/+0hLy2Y6DJ8VEuX7F7/UlsS/vQW
wpwYuukoP9B3hmr309V0tA4Qwgf4uhioOKqVl4eRBPeZZaouqJtPujIcsnmmPSapf2tu8/wgAASG
3juEATde5WUTntpZ2MiDDMbaNoN+n1uu4DwhH9LKGggJKw2wZDW9f/2RnwdQyFDGaHcBkgyxq8v5
eMn6Ih3KSu9R/riGMa2PsEgOGjjJ/av9O8Zs4H+gAMJ6gPRfamr5tqIuqJzYgwcJi9jeEoiHEz1U
so7zon8DRP48o8Bq/9E/NhEAxOuLb1khkOUTg6Rmm6irGWiz3Qo5hyYugBUS5fBBtElyBj7l9PoL
fWld4J03DwDw3uDL9XTdYQJ908QAnyS9KG5dyPv7OYcJEpmDBypicxx6CNPHC7by6wu/8CUBuNro
LtDVwgznYuEunFaHF8v3ZJrmc+TYeo4La3vArnn4lhfLi09ZoqkC7iTU2S9V30ziVW6153sNqgRG
FTbSdaFFeGB2uWdqVh+HSiwNc/lbkLeXHhNjkv/zTcFFdfFdU+9itN4Dth+zEPmgcMlRtas/D1Mo
3thCLy4FLga4IIhfOCJPPyXMABFFO7290TLBGAx0sSyYyH2qxuGNY/jS+wSmCNxfoCMBL7iMPKqv
eB9Ivmcl6JFgDurjGDgJQnAcfXbJGB+XOLM7sEDe8mhHufk88ODS3ziw6JIhl7qUKNZu1oS1HkYF
cBJySY3aIyL1PMJFrtY0EtBna8OWNm3iFwQh7Aa1s0TJdBf4Pt4RmGD5OjGrz2vVB+ohwiyihWxz
omQ9z3N6FgDMK+i7Kz7WBcg7f6YA9+9+WFLyuBSgFTVF5StRa1kpBZYqHEnqMS0MLEjhZjk3S7fg
ZokF7bBOR/18An9hGJFfmuS740yJs3dtOe9iYxPT2BF/EwsxyMpSAXByPU8jO4UZE7oRI4m/diie
pp0xdLmDjATpj5bY4Hu2ZNVpyAnTdeS7rjwSPPU+th1IckZ6GzfoRFG9T7fYsqvgtrkbg16DD6mn
CEghvMJzqCURNcRNoIM4V5BJqTWEwm51R9M/PYRWp2aAHPTvYl56dmZCmvs2JXO6S9Ml+ViIvg/P
AaAzgHc4VHr1ItGuPLZLyR8ciSB46Iuwu17LLkoPaRzon4BTsa33Z/iV7U2RXo+q7Gg9x7mbmzYN
3JmNiYruyiUPb1gezsk19Sv5jAIgfu/Wbv4xiI5/gzD19AOgmREwmo5PMGmJslvYQmYxevky/iZ1
IG5gVp2+Gwaqf0UBUARN2PHheuEtLo5wQn2ho3C5xzUzjUdrFX3XKxaQOtGiehwBxgx3qely3rjY
CbVzCuLUdQgVBFqvYgp+qgAtkNq1elquK0gYjE1gw/idSYAjOq1ry+fGcJsUe58UA1r+cNCEY0Hq
AfHT0AgqayjmmM8R1e1dtDDT7aYxNV97GvgN58oK0pTe8VuF4uR33CP1q7sRbICTA5TzMbQzZY2S
PkluY0t6uGsRDoHOrGSD3UWdFF/cVLWyWarVAd5JzLiD9oA8u2TIU1iMtSDkjqsdPnFHIKClVetN
0xqFb0G4gi8ZQBLp7xQZGfBB4AxPdW6J/5K3irVXAov9BF8mEQ0sIAAqQoGMFAAom+VxhozTNRtU
/gsyWri6WNWu414IqAnuGdSR2D4prHynqyQoah1WU1iT3NCDRl+7qPs2s39itDl/0bCar+asZfwY
Bmv80RSCxE0gh1zjnbQh0lEYpx2wc6Ei06ekW5pi5BWBxn3Q6QOhzk+7WYioOyyhGySkhWMmGkiZ
yeX92vVrvuczyQVkvWR+M/HZljW6T+EPMocDJuqA0p7nJGa4+0bGfjoFQ856ESK4pokjj1B0WR4y
E6ORkvZ+iRqOXv6N1hj6N2DqdunPsOiq4t3CoPI3ounudmmhDCj76ehVs7Zr0g87z+RIDwvQ1xRf
A3V2MxAHuIu1OcyhAYqpvqVjEKXv29gncPrQBojA2hTzzM8ujkbo9AVaUVODlZL9ENZA+GUsci7/
AB4EGO8EQYtwPyKhv7dRb8MBBh60TRv8iFZeEQg8s7orDJ3vCItWVwMBM98UEwtSSClLwAnnYJr6
r1mQAlLho2GYm6kIijP0cyZX2yjUuilwoPRH59NkOcqJWFbPwZr9hrknuYXyXk4TiDhHyzvCkPc0
atY4Y+U4e4IclQv2owJ5bKqhG237ewPDi3KqpSpo9IGVqP+bNe+7T6ONgqou0s4x+PlFDlgHKAhB
t2gMZoAhtTdyRwlPkrpc6NIdq8TZL1lG2rwuGCnjk18DpG246At6EEvno8O6QkXjsEDXPr5ZoNcj
frs1Iu1DMtFBf5CtTB9WQNFh4FClRt5lwEl3t6aEJuYvHrTRcA0hg4reFaHn8VcI18XlbelGFu3Q
Vgs+jCMdOQICSXOAOHXCmyT3cdKkC+u7owbS/nfFC3uTzWw2JxUhxhyKEVqxp6qQCrl8Z6mCJJWS
azPkfY6P2AUaDhb5bI4Jbef+kLERShOiLexvGnVhcjvnQvzxncxWUGlyoxrWDja+7cXKP42BN+1V
TsBp3o15V34obBiJPYZnYjrAdVD+yW0x5ABb0eUTTHYdbywywO6Gms7nhwq/J9mttoLFXLpEI7kK
89aVtecq6E48SCGrb0so80BaSevrJO0y8mMxTva7acjWdZdyPo51aDSLP2jVDfQdNqBiTW4SHqhG
hNhudwXSL4jLdwUoJXzhcXXMR5arup/SxICfTIriA4AMQaiaXFsBP2fTBX7noPgKsTHNpkUfOB5G
3Y6aAP0adpYZ0UCvYk7qbrL5NXqkTpwqtxbVoQvFgrAZeIvWWQsTvXRfEtWZX12ykm8myXrdkEGV
xV7aLPnEi3CebnoSlx3gffBoegCcO+93Q5rDEgZyxTYBV6GMqV09ZIkqvSIlKSmu0FtXjCIArQAm
2xWB6B711Z8o4TS85zwK3ZcIKCa67/kK7rXHfDFLDjlMq8vDpPOZb0DUfNpDghViGNoQoCkOs4gW
9TUkEPIMagrwETsEOnCQ7hpS+MsfTd+zsU6Bre9/I1OExiku53V+VPDMU0dMn2fzMQ/CaWn0qCii
IqRBo91cDBKIeLoyXHTJYisc+Ugmh760hQIsb5rGWgJ7NdfFWozh96ore1lvulQJVMT9WKE5CDp5
g+g1zDUpEz82Hr4HuvGwlCqaMGaIACaE7dbWNzHLDSgvkOJZXEvvrcvFsqe2Xeht7Ed5PQWc97tu
UvwmqlggTgIa3mETzZw8uh7fEHJuJePA0QMC1fSditEb4cZWNcCe2bKjVlT+yqQIcvUak3ltPPf6
6wLpkns3LBXQ0VPh28YOnQ3rFnylsydbaqNZZxDcXGy+WEcrC9uQnCR1781yPziTBag4w5g0C0Lq
52qeYMEE/xx+D3VzhFwBRBTdRQgFrM5sGnfvutCgnolSJkTNiOmqHegQNlOIYSZOmymNV3Ew8Ltm
OxPMQ3xYWo4KmkErjO+SZFnutR+mpInQQ+tqSXOfQtTccNeg0ZzH2IyrI3cEtBj6S4veeN5I1zLg
09GKG5qMl8iCox4amjUORNkfuPTZcjOWmU7POqVJfOKD7/wp05EZjyRoDX47sCRigUXGJKr8oxqX
XDHkPVa3FQDpqiB12mdDdatSyc3t2NPU4reNoLHWcbEuaVkvaRGor8hR1filUKNs71tREcTAEMn7
DJvTjNnx2s3xiv517I05RW0u7giwGmRXKEbNOW1LTaYd/ivofk+UiAzt7kG7nYN05LDPAzbhu/Ql
UjIEB5HWZIowMYf4h+7qpYJheO2dLeUJ3Zgx2EFjP5k/wDA5/RThX1uPK8AYpPZBPE17gXMwHuJw
KX/Av3Fs68gAqXlSmsCLAPVjp/dJhdTxek4r/bFY0dvcp8VcgDEzEDgc9Jk20/1oeBDWPi/+Q+Yb
eM4UCBC07nmmEYkCqHPf+o4GkB7E1eJ20dR2PzNflAvOS599j+c2U81cVOS9Rk4S7wC7SE9BHkJ1
bOEVTxrUNNTAXSRqYziZpfoG+68NMMPpx6SuMJW410kl/XHQ+LOhpCnbMeCj/8ADBTaVI4ajH7p0
9t/MLPo7xRP0hjsGjvwNG3mK/EO1JEMTc7bqRENNQByRYKDGLW3dLo9YQvdQH0v5vhpd9CljtJhq
ky4KmgeOD/ew5ABfNODpVDUgK8TvlAeboQarqjJH1F3q17oacV3ZshxPXvD5K9QAq9t+qWCcYx3w
6sgeIvw/clct+tSx4qBZEtwP6WARgmlSni0sR38xmLYO78vZxvfYmMmE0oEEDwA4FPDlEpxdAePQ
fkpFIHTNUE98aFlLkNB3k/yIx0rpdUEHgmW6Mrz3wVJFzRBE5rbKfRgj4dVre51Ln37RIbJYPEq7
mFO/5DLZ6SSDKAdKtvULnDFw4pPKLukRZcDUnlWpeFF7ge+zK2U73feLmoqa2Z5AHUE6vO0Qd911
OMfhzyElDPcsdBcf4b0V/wokgfjjYqr+1huFm620Luxq7hB+9jgK6deeKzPsFUjwsLw3WcabrpIQ
d1+63h5x6MxaR6SLzuUUb62juSQQNku4biofurhJUmOLPUtcdCM77FHIa2etqHvNV9GgE9sOp2pO
0wGaAlDI3mdxH1yhngjIIZdT/pPaAMCe1U2iQxG9coYbZsQdsiZDpe+QidmhJoPOooPGDQAuPSYP
v80iPcwEHQSPjixj7aNZbY9awfZJtgc2P89rGQOblKC4JWD10HiqqyXIl4dElxHyTYhqXI+xxr8N
mFvIoXE8DHnD1oUfV9vOvh46kfQfrIvCn/BdzG1DVMGGg8g8zv+E+rnH+e1yjXshj36youJkJ7MI
ST5r8yFCFZ8BPiHRrPSNyXkMU9W0rFgdgSg319QPLm24BLIYHSOHzmo+zwCjB0MKyo3S+Q9H7eT3
uLaJxsXMVVRHVajSo+yzmO0Hr3q3t1kBnZNOmqoJBtcu+MDorZxon8u+jqbJlk2eEjrd+ZaPdwI6
WKaGJk5V3rYod0+Oi+QLUFitreWspYZzSpU89BR4ZrR4unVH+XY3JDaGVWkYTkjr4x7NsMbbwn7I
Uw16p81p2l8NClPFGiTv9COMF/Vy0mNffVmRP970E4m+w+xh4DdrB5Ux3KmrGpt54Mn7eIA7+rt+
yMcffRrw4bAiq/3tV1zGDcdP/CNBnkEkWdbidhYYM9XIEk13WmJpOSrbVZhmnAC8RqmWZUggsmm9
zUixYpd2KdKWYc2/j4N35IrrAXaN+VymrgGxLsOYLM1EAREnr7FX4fONeyzXvLqzw7wUaOSg0XIP
rVZma3AL9PuYiHY9zKGXvwXzi2vKzFdIqXyboRsUpfRxK0twwyFszwfUvO4XboOog7rh0EFPjlu8
lbz03SFTHibifpnXnSAyqK5TQ+N7YJ6jh2GsQtqEbrFnzDIpSqei6N8Paba4eoyhWVbnEIlO6zLj
+lPUpt1jnEzpb+NNhal0O8qjNxAca1C3oR5PUQJnOIeVumLl6nRthhLymZ0ceYugHi2/cQGUsmGT
nb8nMgw4PoAlGPcaVt6LTUgSACoqfsp0NvMxFZVWO7xT2J/kJI8/tKuMo9r7NRF1ICHyfkw4EoIa
73j6MYb9YOve5dbXQGTIj0UpzU0GhoCsB2yH+0n2/EsH3bXfHc3aE9LZYIYcreiRgOj8zOZVfZ0d
mCH1qCp0CoZECXTK4XiKmW1hAoGskUVXpuNdd0xETNBVm9DcrmHi6KGZVRHEun6e5u6cw6V8bDAR
UnQvTYhyIBQyvjOiWODuQ62b8OBpdMLLGAi8epJ03OPfcA+wrsPwrReJYjuyzBJbv6KTRy5gxkd0
XYoQCQnxH3pk8AM8hCBFVPdzHv7KMNQmNR17XoKixPWjAAUsr8dpQuHqJ1/eTdMkIRwr+ughCcLo
e8XpHDXeTPFPwyv5vseuX5tMxe6qXMhYNIFBGnLOLeSH0ZXM5BUM6aqyCXqTHuiC4hbmrmEx1ywq
fb4vxnYOkKXNYkGEGruvkOvhX1QVsa+6D9F/0OFCsoNpx/lROyo/VL1E51JXuY532Zjl31rqOV4a
Ok4rRspJ+NilLLmZAX6bm5AG8MRaC0d+lbNEUmhRQCEYxFn4LU/oiGYWcQT506z0TQ6ttgDVOltv
YvBiaeOqFWisuJL5x0j36Tlmjn0dMihw7anO8t/IuRacxkDlD7qADOGOhgv7guZt/xjxbLGgf0n3
IwKtNUZvYUUilMN3noKHYYHtgmO5fFwi4LJrYyr/GbBNhAkIseTYpTANivdklBFSqFaggBu1d0fR
wjMXEn1ZelJFR8KaM7mgMVLagO5YO21hG56594pHnqBhlpU/PVX6twMVTNdDWcLkJTFokzcFZIk+
gLVa8GbRSv0MNULvHtsq+70gNn8GOFx+7jIdowXRZUgj2kAiinKuxqkpOhbM+zWJYBUlix6/mk06
LNGJwJwO4oGVC3a+ytV2H5bjeXQzQsFsk+6+CgiEK/PCzDvmIBPZuLTDTTSjKvodGWRSoHEO2VlY
AX9f1DrpZ9MDsnOXMVSHDW5tU+B4GAG5dEO5h1Ir5CjPYdf5+N2QFthDq4O7ZEPnObvHwBPCU4ml
XXma0OdFiSfzlF4l6DTyvaE9vxoT79xBhIGp6kiEmW9s7saoKWGCgZmFT3NXxzovfgB2MaEX4l2E
vBO/CZLxaC4fqz6ak4ZgogHVHEbZNYcbWnCb9Cj1dy6pgrEuTYLmTUWyFDgHlkRIzV0p0Q3XvXqY
Xci6nZWpN7URlaX36NqT7yaGNDeIM8y8MyKLDLgRQ34vhpGTM8dV/0FK6sBRoKgA9uCyS1tr0NY0
6OseOesQyXRq4BUQHY22Pd+rxYmHyRSoV60vkNG3SD0mYHTy6lZC7hriocbMd2DwoVlUgWC81rHN
cbllPAN0igXJymqhZzXWEVqOD/EwB/RU6b7/hqQIxWDQjgXUwyt0ZkDpFPohD9ouPU00k5/7sZdn
MiTyW1em7Se7+DnfOsnQgzeYTZTN3KPAaVats6tiYKNrBFEYjFUQypa1R74mjl5kpT9LNO6+wR4p
fU+CgnWNwuVf1QRRgO/COYosHKRbe0sSX0D0Cr2YqIbUCBpuQ5kF3zyqjXu6Zuajcgt7J9mIXGso
ZfkRBwyfayxbdi3nFsU+buoy/hBWQdCdWUwS4HPNOGxlRu7wdwJ3rQlmLkvEodKgTYoSMUVN0Tsk
dUuGInPXlg6wPfgCj32DWVF2TImL4e00sFTisszle8SR4Z0cuO9xP4BBtZvaLNonmRoStLVcdIts
zuFQgVGVlTfTiJbpzYQSDlKAUPI6ZbN377M5Wr7bwZruqjIaAZFYHZ+0yGnRzJvjSSPbrPwdqCy6
Jwg6OMwjMWzPC199gr5OhLZsNxTfllYBaThXpsRWa23xwPQ09DCfyEHOG8Q0FnVXQaamLmGkRo/d
HNvoEJZoD+CeUwSoy4GLFu29jLA6mQqrt6y2PHKJbt7O9yr6aNOUf8qITe/gQrvAUGuCYnYjiV+O
wCakmEUlQz9CBDSoIKhVUfp1MrbVJ+BhCcxwKv5z6UCKqNUKbCk6+EUoDuXU8nCfD1V2PxiLY0J9
j0FOTlKPPidSz3Dncjq+LzAa+5PGyvUQHkZKhBiPtmtdEgFwAl9J9shT0z/Cvw54xxX6OCcC60Z2
IweLwjPGZYBKJi/8FTpxENieSKG790OyMdyyYZJvIE2fgygABt5AFJgtAuB66dzdhmpSUPLGSNqm
SMIqGh7GUEfwlKTZx55o/+n1SfQLOEksmMK3odzUNSE59nRwqrmB3gDcN+CfOSx3Sat9wzSCKNEw
02ojhu4aaoyz4Hre0cBVByv6tzSV/yOzXYA54KoEBiEA65ve2gVABZvdgNpPBdDd7XSN8WSSb82k
5E7TfnY76KkjqaQE6ti1WymuIm1wEexQdsX3UFNBx/b1t/IcMIMpK1BV8C9DhxDc3KcvxcSRFFTB
4xPc6uEGJb38qBLRvQG9fWFmDe42FCg3Egn0pC9f/ZJqzElWsQ8JJOQwupwRAfLsmgwrPf7rAwH+
A4Z/CoQOEuLLbUUxIVWcVMO+4q6qLR3na0w9wjeG8M+H0/CXrUpoEwCRA8vFbXP/hYCTAh+u9AIP
pCcEAVHw33JV08eszcFFXeFnNwXKP7z+aC+9RQw8sghI382DYPvzvxZFf3oGeKoU+5WquZGlT05p
JduDpnJ4A1b44mEB5m4joQO+8YyFEMAIbQWEftinlHwerXTHxDndYLI33MCAoz3FEEo8QOxSf5bJ
OjWcx/ItJdHnexOb8q/fcLE3SRyQZDYVntdDOAiZFR9uaMDjf0c5bB7sUGkG2gACKpdozQJWyAt6
I3usldcoCCypsxY9crO69BHTGaQGPXP0G5A1b2knvxQE8YY36T44PkOB9uknBS1yRUTqh/3AU3vT
FQpIyoVOwBZAxs8EmCi/voVeXA8aPDnQ0/+PuvPcjRw71/WtDOb34WzmcLBtYDNUUs7d/YdQS2rm
nHn156GmbatKssptYAM+DjPTU1KRXFzhC29AW0VeEB9vplBUQswX0hr5WTGdPEr3gLWFRF/1Gt25
btHj/fx6H7BSeYca4AvgKgab7/KO31wQjmYgTlqae36WluE2mbiSU8iafzoNenxej0p73TT063JM
bTBsHmgjK4kw67as9qYXFJm2y7pEfvj8vj6cWsiaoeeJCrn+Cj55c1tdrimRj8Ckh7Ny8k3oYJUL
aDzbn1/lw9HGXRsMN/AZ8vP9hw+7sSUblMGWzdQDIksoLhJpoFVNxneGbfsx9OgHuxIWL+y0KDxR
MT6Exod6VWk96YGHG6q1lbuuXdHn1CijgfwS/Va7mo266H/1KRfDA2T9EOtBQFk+1Cidq0RSiVtz
r8lL/8XQ4uQeWtR0XkrjvJ1UKLlHzqz3m9PrFaFVY4MEPPCQNxpmo1VHU1h4htbGKPBq6q2aWtTS
zNlwIpDeTp4yvaeppY4nGWAqMlAxn7/bd9io5R6QStXB0IKOPARet3WvxvEkMLFFQ0fHajZ3ibpw
3XoK8HkayCtTLE0nrtLuV/XkuDLMHIYckQdu4GBW0VdTWj9uECXHbnvTtVXggUxp7HIaMIXq1WPa
4O9m8XI9KFv40bNPvYubOEKnYJqzAtMbOX40Q71MXYOU6vuM0GrlyHN9zE7j3Tzmigv5ePFGAdV1
qLMwZhZdQbDeUKt6jOgMvbnoQ9AqEf47J2AdjHMAFcaRLeHd6bpcFDC8gSgTaNtDI+6o63MTJbjC
60ozty1rhh1JKxO0YHosRvno+Zbzm6ssAIb3auuCrNI2yb3IENPK1oSsyjZohkmmrcxiuyZ1SL7l
DO768zn7ujD2ok+eES1hgPQsVDSDDqZO0YMsAR9UegLMseuWlJb6mIUVeBoPCgppCNXeU/eLvaoM
zAdQyTllgN4PTkPgWfQoAnKgEIDHTRhKvmmnMh3Qf2M3gTC1BIn0Jd7Rfwk+lT7U/cIzyyLfCBTW
PNDH5dq0qAOF89RffD4mH81uaqsg7onnlmN4f48OrKrNVDJ+rxyqCeZSGq5GIVRPEKxLEL6KjzFj
36ua8A44DRfeG7QG/rZ/wVLPaI1mben5g0oJWvTnS4KLYDzxca66MCZ9br16CpWvrSAb57GYZ5e6
3Ne+ndWzelU2QN9/fciR2GT75qSCfXB4GPZtWfVN7pce9reZZzVFuaEGE3qockkrA/jDkf37g5Um
ocBhIYiBCb1yqJpAvULJA3FgyGMl2nR1+12b9MAzkctZff5y3x3zxHMw40m0UHWDEHAQ2s2qH6qB
TPskJlpubF2MlBdk8o6pG74/C5b5gwQXr1Rd0oL9VxoMGLZg+lV5SV6KKyA/qEorirAz53SwFQ3A
RuUbypaU4Zg01ft8ciGLANFlJ4Ekhubn/qWxPrcKY1AqT6E1SQKdANIwjNBtEbPqvbJT9W1bDJ0n
h8Q5amuVF2HVNV9IkY657b5/q7giKsDaJU1iJR2KaycDeaQIQAOJANPfCOMw/rDg7VwOrVZ1R2bs
h9ciriSNp/iPvOP+U5MNm6CguZZZia2djgpqu1I82+M0Jd7nU+ijS0GtJN1Dh3YRJdy/VN5pZTGb
WuWJU6O6TLF0K/vZXSJV8ZHd+f1kXVYhugeICKNWebgT0TZRgL5avMoxmRubCjEY0bAJyuDI6L0j
lDBnEJOXGD5swDgP9h8Jzlg1qF2MhVQ93TetfivAgXDnPm48Tcd4elYoQBkLGKESquTIkvxoPHlE
ih+LDA8H7v7Fm0JUpnDmKQchtVY13Zot6KRok9RzeeRS74/ZVztALMtZ/8QSB88J90AqgcvUnhFr
7SotRf1yInLyRMMvAdqQI2m03az6SLHjwzVp0EP723UPyACyXoVigrcqkDL2hKHqg22WmdJKzstm
lWND6aJyWG+z2LI4Ydr6ZlZr8zHHrPrYzv7BlCLRo9dKTEg15JBHM6sBasNJXuP90ekOuHRxl8Wl
cWScP7wKkaGBVrPOWz0Y5wxDhJDcvPYmeqsulab2pKC2/e2XF+IivbAwR7kQNZf9iYP2qMTRWNUe
Pl35uuyn0MOtTrbHXBqPHFA6X7UfJsEuJpkhcYNCxu66f6kCxbzArGQWSJXWnpniyxk0Sv4ysp5s
c0Qe58iK/PCC2D6LPIMM43iZyW/S0dAcJbAhRk2zCRnHATq1mybaM8gC6Adakh55YR+swWXfRFMM
7RggzgfHIg7MIb4vRYNAQqA4Ua6JFDxS0ZkY1COL4aO5oWHdCtWQgwHt3/0nAzptjKmFQ0bNaF9J
A65frqUjM3DklX10HQJqUgYkW3TzkC2CJ1wZJkmA9G5rmp7lt+cwQY55pX00bq/OmKwoA4bhchNv
XlNHLisE/lB7Q2ghE0unYBUY3exqOUv889n+wd6FfdfiU0FUwYMd7CGNpLV9PZY4wKnKYvWLxJ4f
NeBd+mg8Q29ed7qo/2VJSKY9xCJqi0v11Th0K8NeKyz7eGg8KSNpt+qh3izkinJqpCNn3QcjyT4g
mot9MqHToV6ABK0wH6y88cwYq48hwdYuhjfsDCa9t89H8oOZwTAiC2Qs4gQwCvdfWrNwvgmdGi/F
wOWSFpRhq63WH5nnH6xgTjSJmISKqaUd+nnqOYpf46wyz9Nk8uKwCDc5jTf8Fej5UUb+NyIgGKGU
glGTZTM8pKDKfqNI6dS1XhFC+e7E0bCrnAgwzsLxz3rDfz2N/zd4KS7/3Piav/43f34qyom2eNge
/PGvF+VLftPWLy/t2WP538uv/v1H93/xr2fRU100xY/28Kf2fonv/3l997F93PuDl7dRO111L/V0
/dJQc3y9AHe6/OS/+uFvL6/fcjuVL3/5/ano8nb5NpoL+e8/P9o+/+V3k1X1X2+//udn548Zv7Z6
rIuX37ZN+pg/N4e/9vLYtH/5XdD/kNltUI2WSepMlOV//214ef3E+IP9fFnAsKuhPS6Fz7yo2/Av
v+vyH/QMUABAWILNiljv99+aonv9SOIjFSFvgk1UxMmRfv/b7e29p3+8t9/yLrssorxt/vL7q87+
P84x0kVEiCnzUkNfCK6cK/tTH/M05LK6XHUiI2qumtiStmgy3YJIjjz0Mf0tZTQOgW6m7V0K2hos
SXQe+6m8i2KwdRKqb3j4hTeBmEB2isJzc4CLDooguRol4/LN4P68+7d3q+xveX/eLePCMoWcjYz6
QaQ9mKUfF0KuOKNPV8En+TSg/9TmbakUOtA9FetTqhVbGfULugEwAK5DUIr4BxixtIVfgn8nWgzZ
KgZAulFgX4HYTtuCWk4Xh7YWwWywKdm9oJXSnoug5M/jCkpgOalJSLk5nq9CXYbDVczaDV1yWHGq
BSQAuhIO6w6uZrNpg7lu70L0x2LowUJyCVpPdKLUKGUnp037zYI9dyw6kPbzy2Vk+L9MaIVLxEKj
PTgM2iGdAcdVsrOAaLS4nVYWNJCvcCeEZmPQpXVi0wfR2ofSeVlGrWEbRj7elqVBTybII0ASZWR4
qTiFkge6T76KKpiwgLM1cPmqckwA91U7eH/iwddEvIqGqmhQUDi4YbqwDTYEmuTUCoDdNvfTrVho
C5LKzGu7jrRwJ8qlfweqX2ttw5fNjeErtzJcvZJnmXvfHlXt1ICNDQskqAzBHhRxuhcrpb33M57R
6fxkAEHnN+F1D2joCgh4h737PIGAI44pHXoSsNUGZYy/zWji1ADaU2TxUe0zba0d4AswT8LnbtaT
3qFsihWUOOSm003tlLrNOJZX89C2ni+UXYVI8ZSMcCfCWyMf/C+dIsUOTffsuo2M8rETeYxYm+Gd
zlbZbfIxCEGlZabwNZS7ejNJZvPcED3Y4PaRyu6KrJ7cfgaXQp1QuIRlV14U2ZRGttVK0dXnK2vZ
1t7Es6/zhxhM0UksaXXwgPv7gAAds/ZFQXIoFETr2vBx1jJihkRJTT9yxqBGy2MA/W0LuW56uRRY
GOV06jVVwVRzBEG39QaLQrXuLyMjNuDQKKIEviRArDE1leoC9pVFdxB4r2abQxCfWVNJwbaafQSy
Bqmczjq/2JRhXg92jS65ZIsqMeDYdIEzSP3p5DcIUGhpp/JLQgvmZULuI4Rw8ZjnQnef9sXcrpIE
7dACrP5ZjsMpHEY9iW9a/BjgKPlT7SgiOhZQW4Mi4aEmCBHqIEyn0AxsqVRLSOf+VCDagBG1IjYY
aTZydoK2cHMGWVHTV1UvVOdT0kxuQbXlpAsmgBLR2KaJO6dqdRpmC26xgwp0Gcn6hdCYo5uDSwk3
VXIld5UIdGoOVyIF8xW9EONBnzKtAVathTe1OUL0MCLhRJB9HHWroHHrTDLv9SodT5FHS6/l2TKP
pTIfbB1Lg98i1Cfh1g+bM6k8Q6+VWhkAOpMrmmr4tsSA5xXOBDAjFB17MuCQBbnnkRb5awfkcBOg
vk0lg94mHmjLfv8mWgYJaII4imWnkUsMcIVy/Bovw1pr8klj9ukWnHq1xo8jY+GFDjbApQs/MDwT
LEQJrZKpMjTiMVu2V9OPg9tCfnxxuCdZJc07COKlUS1GM4XLiboL1gaq0a/jsoHUHRmdPceLwFqp
YI6ewTeohhrtfiFI74LCb50ihJynK7247pDpc0FMiTshQhkSdZrgFNj6mKH3rzwRFVRO1WjHbD6M
JVY9vHfunArj4vVBNrw/pFOnQqwOoTH4ghqf6nk8jTDN5Cnf+AloZZ/Azonj2voippnQOnFSXyRl
+QO6OTySRAup1htDZ8Q2rgsyf80y8UJdSlngpktwxlE9rsCXAtWSQIY6w4DQgO3n6AnBlO28KZqb
c6jFFWDtCUw64/gAcm5yJFRwvQExtxg0plieFPU0Pcsi5GSwSrAGm1q4iP3hYtZrAbSqbkS3cqvT
fBATq77g59JHZfJVAE9SaJzF/hi54BzSrRKr/rWGM+15lkfMXHECRF3DJQDEfgJ7AF6cMFjmCYVm
NXYIDKJVg/HOpk7YqVSQS1/k1gxvUj+WvmQRet12JId978yCnKznphftPA5nRlOB6GpAvXGlqdFd
//W8IBnms8+3Yul9kIMsDa0NRNoBHaC6uP8G45kDaJIkyVlO+1vwZSq0LMjcdZ72XtPiAQKtCZtm
0Nsn2H1EG0mkKjQK5rTO1L73aB4sPCNDtOexK73WKCUYUrq6/vw+lQ9mGnJyHNFLq0JEiXX/Ppug
n0CUihwZfZY8VJVinghAvJVAlVZ5rOsrZpCyBrqNZ0CoB05dVV+rPhl2ljnEa5k6JnNMVZxWAAib
IxK9hW5anVAbBm0exCsJztJdNc2a28yt4WFDN12WYSx4Vm1rXxM4pcDB9XANHTDbgKU5Jthx0Arj
TFw6pwAuKPMRHgOJ2H9AIYp8kzooDygl8mVQq8lO7NTOEeFLwNWgPlcgDHAqFdXIWeWCjeytEe1A
HUIsRWH47J3+LHKeHVvkB+XDP+/MopzP5oT0BjpG+3dWmpmfi3omOVKuxpdIovWeMNWdIxnIJphS
uonq3LJb84sOlo0Afzd2g/VLFaLXewArt8j+IFaz4An27yGKIBgieQoDqhyetEjVN73VSytQ/fOR
bvYr5GRvT1OZXQb4G44Ia0lU9i81NlMspCLKdk0wppd+VTYXE3varmgixYcioZWXjZw33wpDCe5p
GkMV9Ee5sXtNE07QHY8IIK1U+p4U3caa2yCyq1TtdXueaA0AfJjXMeIeOZG7ksRrYM/zlVmk8a1Y
xaXvJEX9mENfSG0JF6CdEVij6alKfKTLqC3T6eApabfSdKVbAavqsORGkgbJK69EZyC8cfMRWyM6
kvnpEJozWGFVxYADXgwHUBC3djOoF8WC5HDLbkB/AdzsTRNDp4H70McBPNawfAIHP91Ec30igni4
zWrELO207OEkTplZP1bqbN4TF2irXgiK1pbShGBag1U/0LuVPHgRqr1Qvl1TL3VH7SeS8sxQdn4Y
dvcBHqJfUgozJwptyO9DqxIwlyB9TpNK1gv4JRCtobUUqEqEyVaaWxrZWUXVEpmRW73txi8lUgLA
m4s78q5eWpdhU6xVKb5QMtFHtLqRoz8n7S8VKv5p+WGvZPFpOeM/sFCxtGj+eaFiHX2vH9P2sX5b
pFh+5WeRQvuDAtFrEVY06NC9LrGfVQo+IjwG9EWDgK4MONC/lykU/Q+sxNiGFHqVwAaWrOJnmWL5
iOMJsCpKsUjEU538lTLFn94Eb1YHwvmLZcFSJl6EzpBw298DcJIMY/psPyTJDrfztrzNrqUvS+be
Io9il67uPSe7bBc68ymSNpVdrId1sjFOrJPpRTvtn9stm8R5fptuhYv0OX6WXG2T3s6hZzwN961v
V4+NJzr5dnIqz9rITrkNNoSYJ/O2fw7hqcl25cBJc6uraqc/hpfqj2hTnGmn8iMsbyTHJOgR9/Vt
e9rshBVVhovWTVe5S9C6Te7lq/J08PyreKusimvZkb30cvKqqxqZQBbXbeZFGzVwrFV+UVwNdwNZ
KrDeq/nUXI+n3X27ra6FC+VJ3qlOuILVf6qvk3NtVa19t90knrgzVnBJfsSXxY67PFdOjI1/n10v
bIsn84dQAHtCutkJNp2OYZBd6XbauOau2vlcFEWFC2ulbcS7YLyodqV1+b07i3YAV3fBeXg57ayL
6Z4hPOUZfshevvK3sx3tdEf0tJP8gkqCXa7SG/9W3rJ6ndBpnFv4bF7mlafiTjkNXWR2VlSGbv1d
vkq8wlHd1s7Ww0vur+rOC79om2InrawVufemO/OvatgZwon/zdgka9Q3Une8WrjXmu2vIltonLJ1
It1dhJj4+fAMz5HgeyqdKLkznGjbztGdfDWeKNzXCIbQyRzza3sz0XdSHQgX2pf5NNtEV+VJtaZ5
Em+rjebqTsxz0ShmWOJtuDVW2aZYByfyLr9tvgnn2Zl5yRUesFPwbdELt8SZJsOerKO17hrXyqZq
7Pg5gNb5kJz0F8Pa/DGd1a3dP1jXUMsflJP2pr4wdVsK1wisqOLG4kY1W9iI59FK8kS3XHOAr7pH
czft2tyhB+JlJ9KFcMP87J0ozC+ibGOsJLs44/fdyJFt+LgnKSHyyuCNrFO3/EpgYldX5OCVjRqM
cs6gZbmD3O8mhAMrutLt6K8wlBOylRg55Wm/GpDusbPvmov7yBpUAJHl2WXm2KpTXMcrkveVsUmf
V+1tENj6vZy7pO4Dhuu7b2RsoW16KCc4lAg9Aal/7qL6lp3NJ/mqvSiwj0TpgK94jplGojNuqUGr
EkztAFWD0yUDt+tuJelfOtjjVvuDcwS6/o/UP9EyW9eQi9iMyllrXz41K4h8o5ee4EDp2D6+oPCZ
7vqr6Ua7y8jac7vMTvh3Gkoek1OkTvOEWrk93kHlkhxITyCEnUl2dOZieoqMU84pB9Uo1ygGIHi1
S+GeTRvxaVQbJ2Luip6/JtuYHqvd/JBD67d2gVe5EsnTzn8qbrtLsKCAn6HBOOOu2uZeYjymu+hC
u62wctI3k3HjnxvsS+1q2uWn6hrzKvFFu6toqbnNRXdTurnhSMoK5NrZZCNoAxH2Xl1JTuSkLuJQ
uL7mq4JYGgpwTG1KxSoS5TI1sWPIruE2SJ2h5YHP9PlWLQ0X/PVtvWMJ2/qdKKMSYffFVd+7BiIW
aWqbiCqdFZfqswnt1xtXKPbIuypahePWSM/Sx+hG2OprS17ltlCtxx+4Kzhi5T0UhWPZZG3JleCx
qLcoFGmN1yqPjK/4BbNFWX3QXct3speyfhC8RHWTdYmiCgSoeaPqHoI4Surl3wcBuu7GgGcCM6U+
IRFuvlIBs0FVX1cOPtOSq4cnikSI5sF2X/QEGL4eduQDNRLCsG8hRRoIWoOb+k9+lK6UlXLTzZss
vBwlQGg72Uvu4fNKX9UTQz7L75BXyx66h2jWbBAS5gYoM6zUYS2CrNWdb4a+XuRi7pNwpev3OH1Y
4gMU0GIzhLbYohLmNbCpcnf+0lmuNq8LkH7byXpkrKcbJeELh5vhxrhnTjk5s/u8vRZ7B0dPimH1
rr1K3BssdDSHmkEOFn81Dc+heRpYcLbc4aF5EK9Eze5Xoux1wgpu+roTnI3SufmdcGleN5tnXAhz
OxNd1OzKM0F9NM5EoXO6L9UFyi12s9L84UwKrvOVckGRbNTs/JvR3XXoskSVsZZBZRW94IxPmNGt
c8hWtrGla+y0bnQ9eJOn+0hlncUuta/wlu/5kjrhVWig+jCsWBySK4Q7GtzlmWyd6d8zm691Y69H
NzHcsm/YAYZI+oOy8M3Xld57UuUVEzJstgn1W3XZ3zKknXpXuE9hsHy1VKjQtpydRV/E/It0Ubff
YMcayN4Fp80PpR3tqnzS6jvrQktOul1mnari2q28zmZRdW4/One95w1PGZqfMToqTmyPla0+BPNz
fyYhT1aW0L7YKL3yDFkENncoB/ZosLEmfHDVrdpYhnIIqTeKxEtOrNzWnxrTns38Xo3UlZ5kD/g+
DWck28mNHztwFq3ey9ewnONdtx1cyLXfzWvznPJI5LZn6BY1KCp/5y/tWbqbTv0Lzcnc6jsUyC2X
4qWWDvJipyYlRyoXm3Krc7qo38Jt972sbLSSviuXw0Y90WCF9siF2LDxTs3KhUetXUob3e1cecWz
DjDgV8a45h9C1RapXmDyxUQrVnm4Ya5S7Y46CjcbzfQMTM/KbRzt/JlGxabVHgYEAJ+7rV+740yZ
2suznS/jqLMqjPUu3DHJmM39GT4VkNy6TeQ+mptwRPdgpZurQd/57aVY7NCxG1v3Wawd8Wct4ZfC
8tsi43+HLcG9mHz9Uix9t+bwh/4Dw3HE5z+Lx28e6cf9tnlJX/LH//Pb/zRPL3lD5/E3+oi/3dJR
ax/z354ff0NzKHx8G7K/fu3PmF39A1i7RgaugSjEcncpwPyM2SX1jyVjJu7W6e4ttaS/x+wCXUfa
h0vLEVOPRXCZPvXPoF1QxT+I1hePtQX6RVnhl2L2vXwWP2V6l0jiAx6hVEGr8qBZN4/ZiCcJbZwk
7NNVYxQiihpIEVT5ps6lPrsDQlEW35GDG1HZCZcC23dF6uTCi1FvgXT/ZoA/aB4eoGqRUqLfJINz
wihD1ijqHBRNUEiaEtPKifEQz4XuWlGhdfq4zJBU0pWpiJ5QETVRICy0rMemq5k1q9mMzawIqRsZ
hZ8L3qjPsm6TVhtHwAEHJR3qTCo4soWqoMI2oapycHfY0aSW0SvoerBLsUzLrKvkXdLCUUYJZuqF
zs7DWg3hosJYV2enRc+pQokDi7oVmEPBuJKCwBSP3dd+d4Dcn8m1yFiDxIOY9w7zLiuwURczReTb
0mLyZipg46mQWB1wiWpIBcKKWpdnEdUeEbXH+3FQVIpQEgbtpiP1sY/Sl0KLZTbs0Mor3C11TI1u
Myk1HtD6TcfeTeoYlVGn7jXYsqUvTeJPCuMv7S//Wtr/L+xC//SL/gO3oYWi8ElVAARF3rxMb3eY
5Td+bjAy2T04FZAxImYvMApZwT83GBnoAp4s/AcXY4Cay2/9xC6o1h+U6mBJqGT9TJ832AU+wgRH
BAhBdwVa1a/tL4ctSxTpDRUdZRSAaVuhWr1fEaCL2Y6zEXBO1aF1As0+uReqLj43CiE86SAJuG2k
GY4flMg5IVC5q6mw2YUWHQM3vqvYL3digmykbMJI4MSzfyetn+XIBeQjSUJSRG4fffN1JTq1qln6
EXUClUVTDr+ZkxbSSgHOaaMGq61rbUBesBE00tep1a7UuVE3bd8DHax0KboWymk+UmM8bC1wo5h1
A1QGir6AnQ4aW73eKP5AFdGu+i5eCbGgrGsqmlQBFmi2k5l+eaR2+66IvlxSpwwEgMugWP0KQHnT
4qOxbPa+TM+2oKedzeHGEIvwRpBEwRb1CSsKfVJcwe++RImOHBMNM4R8RnZfM0JWypxKPE2SaD0k
Wu2+zvX/hU3h/7taIEvhk1UPRuvpZW/N8/N/rnnZIjpYwPmg83lZ0Nb+tuQl6w9e4OJjBSLJ4Ec4
oP624qU/MNxYbEwgN1jaa4Xwb2VAgpSlAmgt3WUaWhzK/35IQSfGBBKFf5sB8JZLHtKbh7SPOIw0
wfbRk9n5nMYXKGyFUAmsFquYujtHia+/KgNFWLeoJG4iat2bN4P1QRyxHMT/KET+eQ+L8QY7I1VN
0IL7i33UI8rtdbXIPqI/VMxidW5IQn0CRsj8c4YS036Mzlq+6vBSrFM4Z+ykBtCMg0tlQqP1aG/Y
tUHO2coVWkF51eAQ+/kjvQIc9y6Exw5x4kJApT3CW9y/UNKiQW6KPFOBNhY6o8W4gckMECRte/18
QN5bBf5bxQoIwsgkNZ4yXdhWRjc9adoUn/VjINwFYqorrqLXAENNcCu3ySSN0mboc1A+1dACkwoK
ZK5B5PQNcBGjTyhdChWM6mlYssgq0cuvYyRrXlEaeeQlQz1VrkK3AymVXDe8ZhyC3O7jpCmc0DQi
0ZYnFCy92ez8HsE7vTyp81adV7VAO9vphtAIvVqcS3UHqqI5xqV993oAodH8ZCPljMS762DURkVO
fbxrAwdq1pNejeBveyE5Yop3sIGiVLj0vJj3mPe8wpYPrlJV3SBHAkpoRtBIGyFQh5PJH1WKWZJ5
Z/VK7UmCNrW2KRTxxgok6WIwM9LgGnP4RGo7N8PEzWnNUiLFZDYdmTsHqFZuD7IavWqYprBfZGv5
/M3+XstJi6Qvtzc3Mkp/Dfr4AAUxTK6qmjop5gC3n09WeXngt5OVK7JFAX5cvBQ0PMX2r0haodH2
QwZMLvroTsoQmXFCcc42QZFWT6QT5Yw2YJ89GHJYIktr9t13OJZ65ElxpPWOMYAtk1HoyVZ9klFl
TGtViJ04LadH05/lcF3KCfUrQgZUXcSyrMxfH7MlqF5o2PA7wTbvP0E353GbzDkTR8zu5jpt1xG6
5W7XqmelbD1/Pl6H+xXDZYHj10l4TJBih0xSgVZwOivA49AC8898dVbXsPZQsBV85Uiy8ArVP3g1
i92Evtj1LpYMBw8W5n4i6Ogg2XkfibCB09KKVj0r3NMSSZg2lYmmju1bUhPbk6YGL7NWW5fgsEzD
gU8oITecBiLix7oQm1sJcNddY43GpR4boUaps1JkKnN9ormiimKpK6Lkep738vgi9jisuTBpa2T4
smh0hqjvLwutrFW7V0aQYthvtIIDikyciHb6SrCLIJcvkSzyrQs+1K+GedK+j5qZFsC/hXJX5KAK
kCtr2K3QgJ2pjEeheA5Ibwo3fViFwxFIhbwEiofjtxykzAuV7VhbQt43i4n0tJIXAIythgUqX5JM
ckrsOFJzxQNAu8uLtP6SjqmwbiZlepqbVqeZgPy7VwHwuqDbGz+PaQNOEZnu+ntdWP6XJsv1S72K
9UtD79WcEs+QyKsUsexn/BTQXKpQtKcI8feA4vLPO34L1D2IiJdNiy3RWDzMcOghTF8m5ZsHadMa
TrSGbBZqmnG20qa8p0vsF25gAUUV89BIbQoQ5hrmX+s2qoR0MhYlUEAqH2HRPKZJFfQ6EFCzu1P0
UnEHgfPHzdpECo+sxsNt/PBeD3Yw36wlFZxuABZKGVwJcLOjNfhDHRmS99sWiT2k6gW9jfXzKwLz
zZDAvez7MC0Dp83C6XtFguBq8ObPVS0M7ooAdhTxsYK1wJAiByUoAggnsOHd5ef3sVRd9qcYt4Gw
ELs1t2IdwjZKVNwDvyoCRwJ96KRtPlzXcx1sy3EwTjMtGxy5zmlGKQGqobmp10eu//68IAwEw8dx
tmCHDmVxjMrXhA7QtC2Ec7cKkX47BSGARvmUJ8Brc+kXTZSZirAlFwEGxCBIzw6BxuOc9z1QzsCR
F71k3K/1TatXeAuMDTjg1jhm+P5+Oi3XQ0KKtjlD/Ap8fvOeW6ZOCECYlCqtereU+txBRPTYsfvh
VRaCJibKbLmHkTBFHwtZaJ4qrC110wxivWx+xpFY98OrUA/UofuAODuMCwczR5Da4llAK8J8F5LK
FVCVdT+fkh9d5ZUMyaqAhHgIfMl8tupeRYoxqQQcAkAEe1qL3tS/cRUozezkVAKlwxHTgozaxCJT
a5Rd2oPvVtLNAAjl+vPLkDodrC9QWbwVeaFvKO/QtKI8Rpqe8WIwdBhWhTIqq5IfXScABrcsp+ke
hWsavUmuHHnAgwLnsukqEgsLwQAiMmoiBwVXVrBS1T4bGaZDiie2c3GLenS3SsMp94rZoi+atLMz
t12+6tQnlHNvCYh8x/ejwvl8FJb9fX+XgXQECBWqIpkhJKT9/V8DfUVJr4uWwS4fsVyir4tE6wZv
2Z/co3+aJL1qD+xfC+Y+JQ04aUBEQKPsX0vHm2gUVYRmC8Tx7lntFgKfcdcbDmmEqjp6Hg3GKhpE
cafVSWTYZhr7p5mC+S05Qxfel+1g+BcZ33I9qh1sEeJwTVhlHdhyt6u7mU15jjCQsJQmzm1gUP0C
Q01AATYoCQYUoMSeNpZaMI5pbOnrRqwR3jJ71O1/dVwXhz0gYuBwTELgJYB4s7mMdRkOky8jNtgT
YueBIjlC0HYbNOKyI6vy/UatQYWhZM5UWjhrB6+QzCEdVQlkjJCV4stQTO2p0AZYE8jWj6LK2yOx
z/sZg62lumgkEKkooPz2n8zSQFNDpvDtCZ0cOwYKTlOtjSXwHlC4jwzjQbV9WSo8lIFX4QLtpENx
cOZnSJyrSRP76JPUs12KRr5rzabczegsr/w5F1dDqhj3WYr4ZddY9VZUEtFNJC3Zfv5C328XNEjk
11opGHhUvvYfW+nNqFcXlWQDQsoD7hTNOhprs7CRPqQZ0Cn+vE1TUcNzN9OOhOvvh3zZ17EoZG8n
fwWitTeZkkmVMqyCQFCWqOHGM0l+g82Gg/PUsQE/3OKXhUmVeFHNQTqH/+5fqvPhmDdCTEc47p4A
rQqub8jBL04hlWdRJQxgFZBiwGIPLgKYv5QqIMRObMzJeTDH/WoaQ+EULdLiyKVeU7S3mw6ESlCv
XAX1ITpH5jK2bxZinGgFFgtQkVA07yHFwCRaY9hIaaqfRiRwdSXRFOTaJzHaUgAeCO7oo0zu2I+S
BoTGtCIHEXF9sURJRDxV67w6rdr/R9mZNceJdFv0FxHBPLwCVaXSLFmyLL8QlmUzJlMyJb/+Lnxf
WiWFFF90RL+02xSQ5HDO3nuVQQvGZZm8O+Ydmt40XRw9Gmotf5qw9CL+7Ne5uU3HrkRz1QjgXZ+P
x/cvivtyOZ3y8aPpfndftt2mYtVgmEkxnC2aFsTNZFRfXOWfDfrk8YHBommJxh3/11ZM/O/jUxn1
nLHqka/UU/eM4akooKDMWsHRz5lvpsIRPp7Yafw2yJqY+3rSmAqyKpM/rAp2TaR6fw1Lwu73KgP0
LclcidrZbn0IA43WR1qWD1XU2bNwYq0WNb17GLMWZi+LDqDXAwmMRk2s1hcL32nwGGE11tb0oFjD
BM3ycnJnOEaGtcNgAfOteDBg5fyS86a6U7l3bkubhXhxzPulFflDkk3dpWu21hdV/vfvkM+Nz4zr
41rm4377cEdReVOVwKGbExqveUJsj5GvX+X2fXAVNoXbDgcasWedzlzpBFtobuohMjp6tS1O5OOU
TPru8/H4bqamwErUE/52ktQ22+fJ8yzXiQ28sfQRW4r5qfNE8HfMPRTuXeI/jLlVxr0pm2UX5EH2
kpCCHde6uVGKxnX8yid+GlXIy93WQtYM3ABEZAXbbP6frx6kJOCrmmxsy7wvkzACszHBPWDH9cUH
8sEwYhpjbSLJwqHMdRrD1SqSjlINtI8XNM54iblzRRFHDEMKxZ6gHjhLU1pHPRBctWvNEQCVizTb
vNXH1Hz4/B28e9PsMzZFOiObtAvG9Nu71i3YGQU40WgYkvySMPMhpoL7FZf5xHXl0caj7LHlXpE1
y6J4ejJVbGjBdzV15Jcmcj7sggSyqP7VEaYZUZYLruoFxdzak3oMN8G96pZ5zgHGCSRxVBA0HEpT
iqzFgJ2iD7Sf10RbL7I6yM6rypMHufjON9rP844cazf+/CFt4/DNjLb9epz9DpsXSqLuyf4lb0zp
13oHZslWNgVsLDlW0iCGdVAYfX6p98OQGhs1Vw4ZbGFosJ7sXhaZJYnaAFtQgiDxJQ5tETKK5yAg
8Tkf/0rPkcuB1ahq41zPzQt6JAZVNTZ7PuuNnn9H1W1brPva+MWe4v9xvW8eBK4lVmHX3UJ2mRlO
VuFRED+dpgICnFkAQjOT1aEeGFSrsV+q2QGXTlzTnVUnaBrhOs3PxVAPIFhKT3sWudIfh7Exn2xg
d99EqcilCerqsRpNZMCBNs5PsAaXBy6fPJCGJsrY6pVxZVaZ1YRsjIGzACDUHuwEvOBtI4ltDWeh
uQ1rgVX454SFO1fQgayfZW5of3HwVV00mc6Wsu4nyfeNUgMzpa29ozSG4DebYL9lTbEXjID+Cs4q
FY1lRX6QeXaYse2hkwES4mWzdZwnNDzgM5nY3GAaOtqf3Oxm8IGDnexsKG1gIDqnaWHBLsOPOZjT
FXVnVv/sHIn8S28NlOajXlHANt3em/ZGp5zfHd6VIVa+jw8DWmXv7mtHYeUum6BCSU1smc4oY1G8
XKA250dfKOenQ+7/VmLLkLbRlMiI6naJ0QhSoLPhZG4fDmkaSXswp8wvzgp4HXW4TCW4JmFy7I8T
SsmPsq4VEHuQUvej1fSPCWZrdKr03NCjZoS+h00yltflkg/fLWb/Np4gk/7B1zv89DNVXOKUyuaI
wHU/i12x1r/1xa13plBCHbHp5SnzdONicy26/iIAH0Q0ctNof7qBbOSoz+v1O13qygxBbWrmUTom
DY0SI1wSmrLy8z1oQRx+rPPeC7zD5U7NSXDneCM5l4T+mxMF33H8NSArWnEsFmsaWQNWQuHUrYIY
tq5XdSnkephGfbimLlT/yAidfQJTVsIPUr3RR+1IH26PCsLk2O5qTQbXhCrxBbEaRTR4ViKuyMsK
lnhZTHekJp1g0lGjENeB6KS/W2uLZV+vmrG/HtElKIJ7KpIDNJVA/nQ8bFRh4XfdEPWJ5FZ1dw2M
ndkQERU3VlDWsZCjR3i0o02R3ZizoKpa9gto9dF1AV5RT7+p6hlVsFtL3IITnDoXi7tGQrjT9eUQ
KQr+yDwLgxPrrEgIMP2EDdO42jX63bqxrre81O3h1Su4FWPQ48LRkezoKp/L2MY3dKE1gd2hGy+9
Zb+IZHgARDnRhBFF9qPpW3AU87pOP0VS9TCMvKXL9qPrJVdzwsHnMlmL7BGSXtZ/HyddwTmx2rnY
BaU9yqgTJeJyK/PrkUD+tqDL6XCMxjNrULSYFjfoLyhbt495Tj8IVZFp8U2uZnsHCYxTOJsr9WeZ
fO+ibKVZHfDfTw+lqHuJhJNtND9H1M/DZGQp7npPXqZQx0r+HqEdDTQiz1WajT+WFlBhuG2eQMQQ
ocCHbQzo0L01KB9GXbn2RancwQzbwa8vp7kNskNVjrQFcrgyI1gZW43RIHX03cYyLs94uhUpaeRQ
3eaLrYO99PrRPm/bytTPyXQWw4Wepg591GLEF7L4Firrqazvc15Pc5xhdbpIouvAuoAA4TWwOHyC
+5PeNo24k0NwGDSosqGA+jLvpbtUY5SBL+hjOgLNlaoWGh7LXASKQ/QI9CMvEv1AcJWBXaRoZxX5
UFJfl7Rb013tJ3KvuZ13DkVAuzQt6n6RgmbxwrkFvWtChfW2Sqc2wAzG3B1BZTV/pxkKnchqNQ2D
Sb0Zy8x2m2CLut9rqZNZUbdMBSHNqbEompd1kexH38vao54NAMMHfxLtma6L/HEYTDsjJ0nQsSHp
gZRCpvAZiEIwYPDAWUngs4KBBVs642AW2wNys70d9FjNErOz8t3SjvI1D/SNeGbOVh+Cfxj0s6Ur
0bF3llPfe2un/lS1h3bcGwbrhz0oZC9jarF4zDIPALwtJmnipVvKuGr6dYqFUA3u2skDjTSscGdj
Yrjs9RY8bfYyepU/XzoBi97Z4OtyIkBtpmWTBxwLMeIVYxJD223wqkw+UIYxX/+uJJV8W0zSDyE1
OWmA6peGk6HWONX8w1SM3bdVL5x91hlXFJSw6sEa9HpJSUDofKc5yazpi9Z6LwICZZ3S/MENHQs+
d4Tny661tVCU40Ode7fLUD/4E2OGliMi9Ju8gxpil0cOf7u5LP/oebFno3t0Jj2iTALRyr1OYBWO
Q4ARxhCxYCz7DlAVdwkOXuZ+KzrxJFnc7VZeKMzc3xryYGY1XThu9VJ4Ruj0zdVqPDfjQ5mSam39
BmYTCsM72vwNUuX7ash2QBT2rKzeHoZ6Ged2b/BUXTJIrN7Bt8JtwMtJrJ9pxspVtxSg20S/GTGB
Cigg2Xif1B4MITZjyxktgwsKovxZC7U50fjgYqQubtPEW2K96w65Jx9GckN1bKHGKJqrZK6YdsEV
BZ53Zy/VcYBbyx0K4o36J/YbD1IrKRMO2fxTr73+TFfeoVHrTzdzdp0MrlIT45Pf31umeHS05szJ
JxWWg3nvt+kdeIyjUz76Kbkd0HlGTmrksubpBaNs2LXz37JLkVxtrBXkaFCzH412AySbLWTReT1Y
a3aUi+XTbJy/CWK15kkzNqr8sdetx0QWv4y+jrrBdOKKeK96NvcJvaKwAcZG1+UHFMtbI6OEltFk
0Rv9m5kPcRAkYEB9hzK0hiGk7zfCr3kYkGJZGIMyUhdibUqLEJrhrtOqlJ9x6wrnx2TMT1r3w8IF
nWrF72KoXmUyi3CRNV/5cglxfBcQzeAH4iapljGqNONYpIb108958YuqI0ubl3MjwziUqIsZG062
FvFs6q8NA2jXVSug3Z8zbffZUTdz6jxVfE8hERox0KKzFEDq/Yz6b6Iu5WIpSsx5p/vNq22UZ2qZ
rr06PTikmmM8LzjlD/2zqclmi167rfL+rHEYFUWqR/o6vvDh3zQwLo+Nqklx9pjiQKffjyT4h4k1
/C7HEltQrhUlZlgBhwz7wAYHqq/modUvez3x9izM/lPG0LGP+uxcWZ59Blf1TE8wK/ltf1lO9Iw9
/7Jz7CYcIBOHlaVduwU+KFSBdEQBrCbsYw6ZLF/rgkwTKPJ/ClM8zL7x7PWkwkj5a5pc3AeybT39
OKcLh01nsPUEdGSTXJYgDb+7taX9NBF8vAqzSlVEao0aQ509COxZnMBaWBHSchf4LTEODidl9pBs
sIJ4kKq7B4rWBUfCV80GTqBSXoTb1iCfheSunEjRKrei0hzWH8UqjCTaYNp1PCUtES59NpXXno9G
caegPj9V1ra2SECT/Dzsm3+CGdFvbBXNPJEQ1+hQiFMEy2urof6VRn6TBPjFic/ogcxnSGi8aPQ3
WREc4fJloT39outNB3rckitBMmJS1Nubome72Rq46RWhVVo0o02eOFmI7pyzY6J2OjHjRkj1dmaO
9MvGCrlr45fQ7foONNRyb7vzVOxLkPB4i+qinyMczwl+PrniaOt633/NyIH6OdhEOIWL1XR33sTH
FWNa9uF1AP1m+ho0J5pbS/nhREEHq97SkYABjxb/nSrYNkKs7TGIeGvSsD8umy6SVZVw2um7Digt
i8v9xkteWQchB2qB3K1lPhshIXTkm4xYaVDzzCMUBAMaFobFxeh/t9LG5AS13r0PICMJYKsudpqe
5QT7q2oAIHtTayiQdtTBQoGg6C95GZbgU0NZHaZdNdkocwJvjK0ZqDXLCAlHPMUSVlhGtWq66LwV
iZcyJuveqhBwXHdMsCV2j1F6O7pL6UVQ9ABNLX2GwIgk3flb1B2vr+nG9MkmcdcKHa/KXowA2NzO
LYf+uzaQ3dMoieoVKZOii5iMHbe9Srz3QNWKK88XLO1uMWg9WOSNNtcUKTzIGX1sF7VeJxg7QStv
V3qR3S5fjPWxKtA4ISW3ku9eJ+sX8FemSVhVbfwiowiwpTbq7Y1NdfuqVJaBD2xaBdsyzv1OlHdb
fy6rx6DYs9kENQmbKVBQVtNgZIR2SAyIrtAvifwd/DMqPmUfpW6Q35ezQRpQVzVPXtlO11QBuHml
DTzljV++VWrn2Q9JsPUx3JnaJnxb6TA5Te2xzygT8yeTtxlEibGysvvjxPaNEByKnU2pN3XYJW16
xMCf/0iX2sI6VeQe3ErhIo9bTGt80e20udX7wuLDJmsyJG9ffJ/LqimI/NiatMhnCJWpEr5Gwthr
/0cRoL0JV+XjA63qdj5Ky6i2HZIuLvLBhaRtjeSJxU6R5HdaKvG6zYmi/Zq7Y3GTuHOwEjmgXOvM
WfvpureED9C8r+cXzhkgQXxrHYZ9O5XNleF1WRdaQsteWv6HHy6pioI12DdxNGESocwtGp89hMSS
7PG0h1sjqepfMK3o2U2jZoJcTpordAsj4TuTBplWY+P9W2PjfJcbkMvD2iMR6SCkXVScl0hMinqC
PUcCWcx/wVIcxfbDOhrYEmy9svZaQ+QemUuTIXftSiLEWdoiSbylG9m3sTev429qIfoQ+8IKvrnp
XN/y107PlUHADR5MAhQyEoI5aHOQxPMnu+Gv0dXJfdcU8nnoXSMFhLzNTQVFAw5BrZ1BJuEYOl0V
85Cd9X2dVXsQJ2m768FylnDFSHMnci6n7EEClWrjObc11OPmOhQ74m3zJwPY9FMSmCuzhrfw31Rb
9rSjXHGz4dBnvv6KDaXWptjIakoFeJ3F2qvQGsR8mfdaVu4mRWMW6D1H9gjNN9/LxDbg6KccajhK
tDgC6bXrr7On57hHHb1/alq7GSg5Eh4Tue6Yna9lQjbgos2DHxORzM8B0YkzsDSFS/CKc1FIQf2k
n4hwgZWiXeicUum/OP5VpY/5yIdrjL/zZarrsKZtXhF+xM5R6hpOs2rU4Oh0zKRtpFvkOvGny/6e
ZglHAJ8MNXa25TJ+Z0erEThKGhhw7NVZWFUyB2O6qtOHVHflYyNhPaDCFLO9o2LBmOiKgYU7gCgK
bkNT3rDPyGIk+NxYgiNjrlxCVywtBLO5VNCZHCczDk7j6+fGgLIphvmC1a5wM1/G8xqkt5mnGgyz
ZAPS4RlKFWAbdjiLyKAh7WW1teEC9YJl76C/MdrbbMKsaRdaujOMznvuauI/Q1Se+i/FfGbup7bX
n0e3X/+YampfkjSx5XFdOu9qmGHWhdacJncqywPzUKl++Kaxk+iiSuYMsaTf+BqF7aXdgUP0VuEi
1uyPUY0GgyHrchXPkupTCF1gfKmYuBB5Yd7JY3vpgjyW6SgJCRzG4WBVU0/giFxHclbdccUUCnCS
+qrmEvWG5am4oxxg6+eKpavnU05XeYCqvMaltNObAco6GAY9YXOTpZOlkWddVw7jivUrbgDT3jo9
7M0rsuG6LCyD3CKIUK2jGY7aCu89643qhxhG59XQWWRYn0YSUUerZQXXqOIvxAStB3t1m59FGQhr
5y2TiFSlrd3ZKFT5myK9e0Ua+nDdyA3RV7Indik09vMvfy67qykNKDIJ3f/X1rc18T8qZFhikI6S
WkzTjHL9Fo7x346AWaxGkxR5GQWyLvA0z8sVh+MvTBQfFOADhB0GSlGuQW/n7UWMKaAZXHM65eiZ
Ex/LgyJDMvuiFY2l510NGxEzGnCTBG2CSq2T0q3NjD+goRCRO9TiNSuM4IKAUIi1aac5NjjdctZQ
Tyy9CWSz1F/7IIUtL1ofR4lF+YN4vhSM4U5orf/kGgWOGC/pJZts4XEE9wlO0pinlMEprrA5kiZ9
lf32AI7gws9rEL6Nb0v3SHkN3KOjuvLZyiqNzIC8VMtVmScci6gO22zp8xaor5cMhH94QaF78Vi2
5OiWkJqvssEjHo6oKe+bMa5DFtEVBiVrqdrUL3ih24RoMRuFg6mzJw1cPf0+joH5d50TDnBFZj8B
Hs6nMBkL+VfWKzBgLjKe0YVZyPMr0cZHUFDdP6j/jSIkoHnpYptJN3ia+qGhmW4OWI+CLdEyXuox
geDizvnzYNbdM6vtcFuyGqqYeMzqKRsHDgGqwYkYBWwxzX0j6SJerpZiG2mmNtJXo6J4FUPzgRsO
96b60ecl6oWmd7yCvRRT/NnMaUZD8Q2cPcrXaSAz3w9ebWhO96lCBLFrjXp9XgpkYqE2rDXYSjWz
ATc92SVI6ydY7gmzV6h8Sq2hQsYPadyeH017c5HbTUGNq5tcoyOi0ABBONOYIr+B4DHozpqEQYto
37i2qzpPdqpelzRGaVQRgjlm9TcAU5J9JpviS+6u+Ju3E/vOQYlJ20nwjn+1UXQkgC09e/N0yeA7
WqsRlqDrL/KpkmHZ9pTv+sTmgD8Q/weMrPaqF0OSQpcPzvTwRZNlG+xv+hiI+BAsMEfyPfBxn3RR
m3IufOAjdMKXIXEi0JrJk49sJNmZU73ikigtY4zoai3y1ljHHB+aQ2sXVq2GbMgrF43FoJ26a3Ol
aBb2SM1vTOW7D5MspMYmQKxjSBky/b5Oujt/0Yf+15R78/PR0W3CfIyleDr800DPbGjynKc/RMJb
OHuk/szjH7yy/2bTzHj2ZjndEDgp71svB7vOQvvYLq41H/o2aOmAIFbByI+pLqVYrM9ncvLb9jCB
SPjbTWt/laxJ5e7LatXTfV9M4mfST+TWZJWZqzAgNpb6KvFxj8xoEyfPNmmv9VQnlWzqu+Qqz4zh
iYpFmodsNitJ92pZrtayt/0oX0C9RDREqudC0ig5Oou+iCipu+lFtNb6u2qWnIoZ3xFtjSmoH6uU
IjlLEdvFzwfBBxMvrXyUzOgU0Oufmhs4wNSaoVB+2QRO/pF1FbxkrTF88a7e97jZevyzDhLSTZTa
ZuT+7yIijG4Gfl02UbpQSN4big9oKfzxr9OWTXXMu4C2wHZACParIgsj9KkmjjvbSLSLdt56Xp/f
9jvPCfqP7X59dElICXi/b3+QqVlYjWvZRn2RtlcK+R1nAmk/1Qs9CTMja6ctAuvGqukn0nSud1ol
HkxYdpGiTnJOLJwTKykp+tkcrz//ce8brdtv42dhvgEPdNpfXOrGrwWFkUg5uRGadZ/tnSa5r/1i
+Up7cCrO2h7D1sNEzIskBtHY28eA5K0we/yjbCRn4t+U7L2/QWNzhhUNMGNramJnO+o3hTvsXQZS
NIxl+kyCIdl/kuZ+OHmDfglBQe3GpazP/UGn81FQfm56M3n8/MGcZHlvDXRISZvdH1EXY/VUKrGg
OKpYKJpIszMCjooOoYsXyP3SS/M45lm/ZzElwoOt57nLj4fWlo/nuZ48BQJWdslB9p5mRUqJy9Kv
fJmCMF+FndHN9iF5LcZXlL5TieG/H4yXh1+NntE+FRu1c2XMw4yZq10bb9/kaRqlQcObNd3fzUj+
yhcPaJuy38yJiES372tjWuCxOM0QG3WNAp+xNJHrJNN1wYZ919g2/BXh9EdUdyRqjat+P3tE+FI+
b2LLm/oDE6f4H0Xw3DgtciZmD2nHltb6dmDphhKLR/8qcoxx+KMVMsHDNtd7l7r7USy1+4Vc7YNv
Bpk4Ij8KwNy9fbJLXRLdyXpFTSUY+/rGtWX9Q7iTdznbZfHFXvWjSyGy5gPFAc5LPdFB+FpGrXGm
WUVrq7EJUyWdpEzYHIZ1HnyVQfl+fqbIRQbGFpvgMneePEcbbpZlMUXhdsMUCWLLjjPBhPD5uPng
lpgLDRohPDzu7eTpaW2eUxHMWhY0wkjNZdGu89qoLxNjdL9/fqn3XwQxo5SV0JBgmsU/83ZgdFPS
G8pfRdTO5XSW9eV61CBtHDuLJn9ptUX8v19vm9mwmGLdfXe9ImmSdqSwQla6cg7zmJL7g8RgpwfC
v8lXzHVfzN7vd1UOai52JSwrqGVOtf7TYMyeIVlRK3wLHK3N5Fth+t2V1xveoZQlteoxJazN8IkY
FnVZfaFP+eABIy8h+oQpYINVngzPNqlbmzOBiARMm2trLtK4Nrv+PLUIekotNrqfP+B3onziCtl9
EcnBvppb9k4uOKeNnvk2kxpxSvfrmfOj2otDcrb+rc7ngYbmF8/3g0Vgo03oLFhIc5BwnnwSTUGw
mTnWbRT/PN7/uT8eD+EuOpvD+G4Ov/jU/507386nb6516k9WKScyfbvWxf5hz4UOh8Pfbxd3X1zm
/Uf+9ionG3FaWELvJ66yyKcFcgLluC8e2jvf3b+XxLQIoYPPzjzdLDeznkrOKsQ77eTjctlF6nY6
cy6q/UJ4YBPJeDmgxTjSBk/j9VbbB8+fj5L3M8wmFyVkE1k6dtrTgFsKFz1uZkKcbMp0BNVP/jEw
83bfD6v/Pz9NLgVX0WKAIFk7RWi0yWhpfUd8vurM9EmySrL8Bf+rmp9pecuNAV8CqISJ7GQUmp2g
gwlHhsNTXj10ae3cK7ug21cS5Pj5s3svldy8LgQ0cxVzCxzZxs9/RJmrOy+2cjogBcodzxe0JFE/
UezvEGhUNGb09CdR53NcYHfYF7WZjXFutu4XWfYfvUJITERhwwPbQOEnv6LVmGV5kZSjjWFHK24+
2kX9Pegz/YvF/P33wFqOjw1HL8YXFqW3V8IZVTQujIWo0PL5iPqWNNTlayHz+82vazAmSR3Afo4c
/OQyyGB8c/I2BIKG1SeSk9ncdRzvzFgbO/HbWoBWm6PqvzdDmRqINoX+TLK7/02INvuWpbZ5SUdk
RTXqeBItT7VJNxw6TwS1JaRRp003fHWS+uDRUIzkUEAmFjbH00cjCxpMKHW2Qpmk8roZKb2m/YqR
u03Zb6c98hh4OIbPGQQzw8mrHvVAGorGC43sSVwmbu3dZdZEfKzhFo+9abkWYoBFfjHAPro3F+gt
czvJXhzK3r52v/O0oLIoAjrZ6ByDzmtj5SXii8H10ddkYmnAScEcwUJycnO5gZKMTl8ZFUSLkxu3
lMUSpXZXUKwQrgzYnLeZuUusVGCfalZEyH5RTRdBq3T5xaf9wTdlWgEOR+AQFjndJ7es5aUk2wex
M1vHIvZNyqyIONXBN/ss/nwW+eDpksC1vVGmYP45Ge3dYuaByDOsv84idygHzZ074zb//CofLDS8
ws1aQaw/93VayU2DSSAWRTImVNfHUnPLX4pyWB8KdEtHqv35blirdreAmo/qLu/jCXsQPowWYHnZ
exeFL5erAXV61KLTykNDpvolpnmUl33QxoPoh3P6AG3caU0Xi4luzOe38ME74XTJ4kHJkE3GKS3E
Qq+6GJlB+qz0vH3dI15EZAUihfLS51f6aCha5LQh3oGkZ/ChvR3xmHYnh1IuE7u1ssdfJzRemJbb
G42j4l0x2enRXLP+Di6oe0SxT8tSq4Prz3/Fe6vKP+G7B6qIiZ24qZMPonUXxDs+peVlKF0ZKtS5
V06jbEpUiWxjzc/+9ktmIXEr9YNmzvkdc5D9uvgLSBiGAP/qglg2AjNwU9nHngS5g4GKhfTmyWK5
R16yTDiI6FIXEFh2k75JBUVXfF+UUX/xUD+Yu/7ZCcjOwXxDbsfbZ5oYHYdSQ/EhNRZkVzIjvnFe
nEKL+snO0OfgkWiE7Itn+MGYwRGr4yb0t93AKY6+agbUyzMrNLEcSEBGo7iUY4cmz8++yqvDkvF+
dnapJ1Dx/CfDPy2m0cUuMwEmgnBQpDqhY0zEd5JXz4MuKpRr+tTQnJdYEYlZEGX5kJdrsNNTq7ur
MxmgNbBiFYzaZT/WOR9qThZ9XBtr8bC6OE/om1UIRMdNILzrirmSBK0SDhbpSWM55ymBMb/MsjF+
teBIXxrqWGKnDcq8nhDMazQDHBfzcULzEs+XFKR+GA0xsNmyiEeVC8EesAVGEHqWqd0OmTEXkTEG
1TUOV/eHVtbeRVO2pByvib5cl91K1XDyO+MapXk6xPZkalnkDV37Z3THpgkXYTZotZUne5TCWluF
7Vi4D+PgGE+wmdofFoVWyGWt16p7zfOJ5AZzZo6xJzrtfJhbupvMZMV5EGTqHxZR3Fd66trhBj5L
EAPNcFEom2jOTVMSMbJL7cEkTdRJ0axQhT6n0Uc7twNXcpVxkibQR65tEivlS74mf54DogB0fvV2
3PQp6xJluBeJQCYYCERYEc5+VIBuUFPzc0xw66GOgJy8YXScN37qOGkolYQ8EshZXY+uKq290iZ0
7lXpduCyqrT43icihdnU2v0vtxHkaYAdK4udV2EUC92q5m8N6mU1YzZ4/SXaK1+Lq7XXsxDUxgDR
SRuAEWiVTdOC0dUipLZbImn9ZViHAwEKaBTRya9NbOCWOZ8Dkai4bf3pkXQWdFsaBZMunpeiPVZO
4olLsUwkWAlazGFJQeaV9s+6QgTS8youBze7msbcJWEb99hV1QXKPEhUXqjpFh19NepW/09GE413
y61deq1utjuA9AFjdSmlgwaSJLkdfSmdDNxZa1BF2O1i7xTc4VeqREt53puqNyFqoehxxlZpMbL0
xdn52rw+t0s6LtGgT3Me59QV0SFApHBJvM5R45rLxvHh4E7xc3aC9EYfFKTkzE6sGv8isU1Ra9IQ
3TW6W/1mRqGu0DVlrYXrvD3qxjWm4aDl6SB2sFWWdr/ieiTqt5Vdd5ZgK/MRdUsoNzSsu3Uv3Nkm
CK5uJvdspcNAJ04aAJonEMoL3QZLUJ3NGutinTR7iDu9VD/73kimc8dshzHSSrfyduO/2j2kubYN
VyvIsDZ3tU3/sK8CJ+qytFwPalp6SCaoP9prf0ROfwiQaBdnpUhmlDKt5hGc2+defVzbCaVwyucL
zLP352+p16QwECcKY2He5/Ml/Av3aWLB+pVR3O93JYskmi4RdHqMthQsj5a6o3UTwIDOsf2aKT6M
PH3NB71+mBs4pLEH5bW5tOXMRNnrI4OlcOng7fzJHtGD90nyYis1fJdeacIdnmfvT8cGjc7NJMt5
VyNzvZyNvNGfJ5/afUjsnp1hTkiCZzSRCeKgqbh10Oo8amzo7zMxU57QCdvbhKl1HWl+taLZcAbj
vBgJSt2Vupu+Kuz1j0gsmi+qXx8USzxK7Vh4UVfpZCOdbPiQSVHSk3MVTVNf6Pd4l0QbydEwNkKj
k9ghjxBcPH3yZy2z3HNtwuF8COy027VYTdj3p2v+xeJ1AinbyupUb7A6kjdHcf098jbzxx7AW4Uc
RNqPisYIKhFHdy7cpibIXgrb/j2PVQtLEj2XjgXLqILQzGd0KKNuiV9OpqsfNkg4FSmV1b8+36B8
sHPFLU/Hnt49p8LT2oWDi9gRwBsjXBJ+VLE5vxaaXr5+fpX3SzimvO3lQH5jP3565slViopw4Sqa
R4Z3d5mSXgUT7POLfNAIe3uVkx1fQwd1zg2uIsKX+/D4HO3u7r64xFc3clJh7VtvhAzGJUq4FVX8
B/3d7g8y0vBbuc9j7FdfbLis9+/n7T1tO7L/lCdcH8rgOnBBYqd2azwQIl5dWUeiaGIrrvfdVXBt
HLT78gxEw56Aqn1waPbVztg1e2eHMyqsr9SZv0N888XA/uiH+TaVmi1Mka/uZCtoDNZAXZ4tTotv
ced1E7OwFXxlCPzgeSOYwlHHEA0oz5y80kIiU8yIV6KMUPVHZ3D0vVss4la2TRN//m7f15ZJZ0T2
yAF7y50+LbWWTs3Ji1gchMsN0q60R+fRTm7zMierey6mBTMPGRPyodP6lKj0ItW+eNkfKGi8LcnZ
psGpoyA5tcrSa1eeMaHPN0qnqC+RsyDzlHIzolU4GmVcev70mviJ14edksOrsyQ+cIRWc4ZoKKzp
FxbA/naa5Pp/nJ1Xc9zcuaX/ylffPTzI4dSxLxodmUVSpMQblAKFHDYy9q+fB7RnRh2qe3RcZVfJ
Eom8w/uu9axZRU5sHyvGtsIqrkm5yfSUpCe4a9jfHCGIaVA8kpVsN3CJ+6gIV1uKTlTNhft6RPNi
BKRhRfAW2EuL0fCgmldIGXa4LvGbpilu1rRNjdsiaPqf9VQPD6yqScnqcx3gv2lM1Y+i4XUHO1iZ
T0o02i1aMWNcGaTwKTtLS7vHyKb6vnAFsEC/wGphrs6/CCd2jgDvKKZSc6d57Xrzq//bN0eVUXSj
R1sjm7uusP7kk2vknS+cIn1q+o7sFspHP2Qq47eIksJ6Sns9vzSazR/Qfp2IlpRKQ0dn5wMm8uDV
7yp4PCFAGUopg6cQhUXFy89wGkZYAlh7+amXTW9jW86JBJUch1VOsepbI4v0+4UbclzMYzsEOcZk
F0Zj/5CZ2GfQ/lK0XL5Vt8ktbr1yoYNPvQ51c7xKjIqcCleoq7SIp4c2icbPvBGYfLRUuXeKIFgO
gAZWNK2mLTspgjK0wN4gizFvWxp8F163eQQ+vG3MttSf5jHjiISuKQjtBsBkfp8a5sy+aHcoWTBu
TjJ7NvXsUkVjfhkOjkeznFaUxiRK6/zgMfUdzsk8GDPfpgR0h/a32op2GrcXHsGJt4HNr0tgN9QE
OkL6/jspRZh7SRhnfhxnFHeCsUFmo4WWggR2VGSIaLKBFO3YLZa0TO2LiTzquP0aStW+MPIf32HS
QdmVQnulIawd6vykk40TzUDcq50HeFkrXZJO2unFkpZxhd4z/nzh2udbuH+L2QHT6v5QJaCnOJgD
RVCXBiTy1Hd6T3nPGkgOjNTaJ5Gwt6aobN4SPiYwGpg9AURWsgtcZyBQEYvpQpmU/EGSZL8Fd0RJ
RQbOhcqqfqwLgKXEhn/uH9CXPOxZe12BiM2gKlfUbhOs2Xmji2tTRf2VuAMRYXnt2T9soyrIz0bw
8WBhzvhFWkidLhV2Vfaice3wDm3VUCNJNOCVSDSxDPzlbDOjSyK+hVkdQvienO/1YKvjqsPP/D/o
hKDoZuDisVJvYaDef8WmpPb0MKKI2aQlSlcjiBSihcpwbIGrOMaveFKax6Ybwpeaui1a+lrRiWGu
y0sBlSeet86pkD8L7wc0+sEiq9HVJhknndr/6FnbFuMWfq7WvKZNcUkOdGJyInxuFrghOpin3IPv
SjfiCR8L0MZGJvZaHd32qpB29mQ5afykgZnpFiwWwg3TQbcgHLO5zwwrvG40u9o6Rd3vUBcUd6nX
eos0FuVOUUiH1dh3pRcqp8djsDvLhOe8PBQ69Cn2n04bITxtgWL6kzGoX42xabEkqu11mYDWchol
wp/bVzsPqswlhvCJD54lEasflzxZxrmDF6NTA6OWBknvlVP3EwM5dJx1imCIhC63dO4jbA7oyome
RVXpCO97n/TDZ0/tG3XVo8l28cQVzY3SuF20RL4APDXrJyS1RG1qxoXx/3g8Bg/JlotwkplAdDge
O00vZcQg6Rupm91QwAiXtlZP/4OnQQWU4c+ytFl/tP80PMHuvOtxN7lh2T+lhMiChdTsnyMrloe2
ESP74KAhIIxF5QU+zwl+B7Ma3VEwJ+C9mXz2j20jm8+UwU39wIPdZsEBum7spPdb3Fy/ECMlQC/K
YFxjap7uMw/5zCIJDPEZI4S9ifMm+CRSWV8qDZ86LQukOes7glbRuxx8SaHu1XQxyU4TlYvhcFAH
0BdmEVCGSD2yrCM9+W7WFt6hXGcgJsTluUvVdFwBa3J2gcgrTH1hc0lif2IwsTQ+G7olzB98Qft3
SxmRY6URdh+ZdPIpp/ayokZoEXRLYNH5ierEodgLQbqcxY+e9jHW/LZutCfNAKgSNH7pwbKoIT8Q
Nx6nt+VgX1p1fHBH9+dEjAPuR0Hho+1/cLejoGsCEZmtP1aZOd3jNsxXHj1X0ge1sLrDVE6mVxpV
+L+UsqW3U9sBPtTGM17TpKY2U5Km8CyQH2uLWO2iB8MtQ1TzDn+5NB2lx0SYSNIdnGR6lRATqKGw
zrGw9+Sqc+f2rWGvW1pQb0jgtFdgLc1rhsvzRVO0H7pXqS+t1qtvtd1c0QbN1rIXab+SXh/DQCmk
CkdSmEwspLqGmzJxGnUdxK3xqfEalcyzUkUi3go+AGycMQ4mbEzQWpQMJa2vVD3ty17JI0KvKi94
1wZ8lps080aNQDoKfIu572osyiInbqxUw36kkl+k0u8zvaXUi2TuJQ5qnQAwIkC+Dza3b5EMIyli
RdzLV2saoSloOVYvfjxWmIxbW6BuGozxV6YzoGxMxD8TBlU7ezZC2760Gz3utPARMRtDwUFXBRxo
/7XFNY/Ny6QSyv0MdhSxzKVZe8O6Si19C/8kxBo5NhdGtROSnDlGiOYiBFBTBQG2f9R0GDvZ1Kyl
vAlXnoWs/8bCbf8gE9WmKDs69rLBEIq5Qum3A42tJR3fbpMZuf6pVj25xgxg7kK8XmzmVOHdEMxt
XVh+nijzfQjqHRjXDlEShxRLwwpypaOG7jtY+leO6qVL6pDJqoAZ/BaHTn+HkN7FRkLHwWBNel+y
CLzJepsAtCjARnj+q/+AaR18ikBuSZQAmoau4vBRpdWg6nE0ezqspNSW1ND6Yuny7b13Q4UbSgjT
alfRqBqPExaf58ktY51cyUKjCYjf4VsqSmg7+P1jG39MDHfFq8rkOYqDSS468hRY22JAvDUIRHKA
V9WKstQsAB04qNl60uA0Bmtpii72trj9HdvH1TrFvht7xs9YDrhEZZom9/VkBz+atui6dejZ071p
6uKqiCMy4fTAUN7bFl32hcXDifeYfhqqR7YssL8Ou7C4U0JgMaLxTal0S1Ea7U+KsNqyzsNgkdBe
o48VXdIlHg3EDkVgRCes63giR9HrQUO8uABi4teZku8CJ2kI+8Yfgx/+0lr1eAHJAegVzg1K9oAM
+/ufDBMrjRQGF98tgFCtglERP2lVaM9xECVvitmxgrRCIPGA2oYnLFDkTlBrtW4jXWo/a137Zded
usgnQz5bwpneI7tpP9ESkK/n39PjSjTlXRZG1DXm5T0Sxv0zZdnfOk0lKp/AbdfZyLAVpLcO02Ct
TU1M8a2WgFBbVlpFrCkrvmCAljAONDZZt1HnA+co/ZKa/rTokrgr7/O+Mi5tpo7Wmg77Oza4ZDyh
IGEe3T/JgneQp2fgmJ7M9NtIherXZOWYrbxcD14dSwLmdUZ7+hFWSfLSSxVaEj5w1jggjFzTDzU8
f37mZAJ/kzbk4U7tK6TSQwcucQeLkrW797Era5GNb7g+wCehWWEBA0+T9ksgSm610s05MNVVEHdu
PKOU5oVV6nGtGtIybg087S5PAqnM/nWaTls4Q4rCqOlzc9cnGp0WQ5hrN3J6KiyZu8TO0q86DVpY
1NE58PDgYt6jvXzhtTjavs5nghSMb3MuNR9KPlumTiMrmGmiLv/q0v5c6FaziXTlKoxDbaP34xoZ
z86ZoGAKmdNIyy4NEh9D9t4Q+nEOTHWosVEVHD71gJGqbJz5HPRmuBtCBJXAkXX7qx2abrBowlzz
EYywdHBUWkwhfJlB1UhMQefwMAtKlk1UyN1QBM62CSP11jPpPAbUym7qwerWcREIiDzjuMkEVaEp
oJpHC02FAZBmK7s06zXinnCVixpHftOKtVsAUyjVFmR56erXbl23L+dv/PEgxYVS5sVTMIvOPqa5
31aLCdl7beNZLGcaL3iW6tiv2rJz1kBfxeOfH4qtLS8aOVqUqA52K2Bw0rqNMWB05kCLObPHddVi
IsePWG7PH+qDl73/KNl3UW+Zy5Zc2cds+dtltY4yhUIkTFmFBFgrhomVGra3vNb6FZ5mZ8mSTZgL
oxMu+YnRuBoziiSDNoPGlHFaqI5QExzm9ptaZd1OlhnW86EUr7qBZzN2eZJuqJkPeZQr95S6tYeQ
thvk7LjamqIP12OadxkIh0LdGfZEtjLBIjdiKqsLYvAPtcvBpWrzpDavlpCDH27JtQnOJoXB3E+d
yX5XoyIrllCblIc0QDyyRn/ZKxuVCBJjFWCgkTg6e2ifQ1bR+2IPgbUYnqAwfXZ72nZsuzAiodiy
quU4mOq20lzsomJwohxySWa96G1l/Dj/uI6mZ3oepOFQt5w/Pbb3+8OQ4THORzKFCJT08Z3WBeN9
1TnDzpN6igzVoyQi40tDzumDgkXALGzQFZi/jN9eEbI42tgkZAnJ7dA+sHErlk0QdssWzPQ3mY7y
2Wzdi1Fy847o8GmR+sWCk+UtZuiDHVNcAkykbEbKu5GWW+IPtG1Vs4jHW8uqJ0jN0pf8D1sKBYDh
NINwBjWCjNFpNS7UhMzz8/f+qFLx0W9iPuYlouh2uDM1TMiVQwaH04o5lqCxvyGFQr3wQR4vl5Fj
otaii2bTrKMovn+3ybVIU7pXKNGn2r1p4jz8POki8zFPRbvWa6xlkObmXQnc7GEykWXCchlv7Lpv
1uCepq/nL/rEqMd50MrDE0lf7xC338l4GICp5b4Wd8lXO8kBX4d28KaGHiuT88c6buTMStTfDnaw
Npuw8/Oa8YGGXjCuoti+woqzpo46gEohdlmZ4q88YfBKLhSHPNtcOP6JV47VFidg0D7xiEvZv/VG
liJABQBDpSb5mriK95pYIlqZ0GAQmTPBVDIZXieanPcj3YPH2qM0BlDSeG4Ga7qwtDrxujFYIXBn
ozK/cAdlI6XuhVYYEQnohKeuQluxthbw8Euv26kHjNfVY6XJRhIWwP41O6aM9IiUbz9ht0h8kNs8
6pNeA8ZEBbnoC2gYScnruirzvNjgoDQIAHc5rXFQm2jRGGnGD5ggitJCDRNKsnkmVucfzIlb8TEP
ovmfWyqHcoSoY1wqHJ5LaFGjayGhXtupsHbnj3LiTlDABsEM530ODT4YW7EDTY4ZE8wzuWCYZB8T
NZcl6L4JXr6wiDt1Qawk2e2YM4v/cAvqlh5NVo+hhOwB79oEYEdgPeSBp/NXpM2r0oMx9N/tcdOe
LUKH8m4rjKvCM0EBjYSEPIERzpOFGiSuvUxQrVxN0YDYKR+bqV9HpYxwY/fR4CxIDXSIyor6J8Mb
42IDeauLVkpXoa+ToTuxEyxMnYD3IWgBtUUVRdvzZ37qBqH0Q+aD+Ng4MreSRgH8rcW4VUo0sm5j
etcAbi4lcJ144lQ/KQljIMAldqg4L6NSd0mNLf1ECwtAcmqzMhSTGHvFkdqFz/nYZT2bRRCwYgHF
80di7v6HVltwgyKa54h2BjYKCtBW1ljFfZFDQ81KDcCgNOTSLUrnVjeIWUzLQiHP1vTu6SYqy07t
WRjXXvtpRPR1Ydt/6uywITLEQxEwqIUezLZaNXkRhrYCpGgddAv6buq7LkP7+5yF695OgerYuwTw
wV2VGGa5arOifyQ0mN6mw6cSwIFS82bhOiOrJDK582JRIz6+JLk48V64OsvDOcWDJIHDjUcZxtQM
0Uz4VC/qXadj35XGpYn+uDROc4k0H5dBEe42wVX7j4pkFw95aFf7hVqD9u9H+LqV7JY62YEoauN4
6UAEu0vKJrorQe5mS0jx0VeIu69SU4wl0qrq0jh9vO3DFkFIK7ZX3h223PvnBG21Rslqgl8qneFT
ZbYzyU6kv0BBy7U5TN0WLcxKSfL3lk32yhy9ajNoVJnPf5gnXhQaWiarE4dqNidzMF+M2LgbLBUC
yoqtoqHOshUdreShpij8WIQSBniRT5tQVcnoFImzsvNq8hUS6p5qVWBKRwyzskUpd1pqiAt2t+OV
Kk1nSDfYdlGvmdbBWwwg17OqgmemKChe26Z0b6GweteZMRKChOduo2SDe6HBc+KgPBBaV/MdoaJ0
sGqQVdE3VgevqQkksxPwrFsYPu1GjOXki0AplmUELODCc5h/6/7QTo+PgPsPk4LOynz/fegjO9Uh
9Ql/rPPma8Q781Qi7friVoN5ByMSOgbcOO+bbUdgaSmz6JpfWOCyYMwE2YsdtdH3BhrAnYaDd1ZK
OdPXTi/s1/PneeI02aew4UJMSHPv8ImUWdcorVqhOXfydt2VZnQtavCBQ9EYb0jWLyXsnKjvkciB
1xhtGMlJPI/9+yJQWIjE4oBmj6yaeYQcwUwz5RdsRGHOZK7n3yszmR40JRxfJ3B5M7DIzN1lULXW
KsYFoG9LFjvJqmZmu6qDJH2HG5lDYUpG8NPn78/xFDTPbkjI2JGqLAYOVvsZZjrEKhTrNUUdWOqG
0V3YUtToXBBMf34oIuoo6vJ9orQ5uDO9xQoeVSojCIiiFdBFb1G5Sb+YYOFeuKoTnwQDJ44hep48
BXsexn/bMUYphTxFpS/hlKBEUaeX7ndp6OGV4qkT1GCo2Yi9jVq9hHA5cTvRrbF8m9dVNgffPzD4
rww4ogrQQavFKmx6b1mYRbrwzD68sFw8Vv850F450LzmBX1gzzfht4t0iwQJjzkfK0gLF97uGL0X
NWbCOfK0bRfpaLBnhpAtvfXoBNawchiR5LbKbOj7igI0c8GCk9RZW3gKLNycVqSdu1HoQ9Cr9V1I
miFo7rATKy/URbBUYK2+VTa47UWPdt4jUYFtwoWR5cSzoyFMlxydMYbhQ89QJTxkEnlQ+eloRS8k
S3bXBhPCjUX+4CPyEXWZyyT5dP7dPJ7XWRNZqFJZrtI/OwSruSGFPOBCoB1EGawqCqALIxnUS2sw
g0dyMGjOuIVZG4fLjPCR/Uc2aqTLN5qHuTyedDwKk/3JHiVefdwochHTid0B4rSoQZvmnVJiekVK
A0GkYtmEEURxd6Mnm4tKnuO3ljBCOt4abxQFlsPPRSEzY2IbWft65DJtJuw4lqQwWB5ADU16fhIN
6Pgjol3VhRkazrrTOjEHIoksgwkaOOGiaDLnLVLz9D4Omg7EZJe9nH9ExyO5iZKNbhTtCELpDnuN
bmbSqqpUjEUENbzZWYQdojTN5WQDqF20mR1tzh/wxDKMt4t9BBUvtD6OM5/Rbx8YYy6xQwrhpXkp
jBX4IRt8OcKJBEjcGyvhKMFbXLsEPZviysrGYV03hC32oxE+omC1r2k7XxS3zaPk/iuEiYvvg8qM
Tcfq8KvPlUIDUayD9AJAVeGLdJ0faRUlXyOrku9lSq937ZkdkLW0wlyy6suue6JElZfrIHAJWcho
mOAABW35qtSt8RNVdmMu3UZqqj9KRMIabYYfF27l8eqRrhojImtnKiw8yP1bOQhEeGqtKjDuegJJ
+iajlTRZ406nI7kyjcnErhiNa622hzvhOa217NXK+Ak12V6fP5fjl90ybCQeFJzR3lHH3D+VCmov
62t4lU1YfcPlrF17nfEDP1B7YTF4PKZwIDSlTKoIxZCs7h9IiZw45/XiQPUQ+JqWJrRR6U6cv5xT
R5n3IyZKK5qmRyZ0PUgi0bLRSZuIl6Iv3NVYgog+f5Tjm8bYyDuHn3Aekg89lXpfgt6wtdSPo7L2
Z6XhGlhmeNXo1s/zRzq+HjriNm0qbs3cfzi4a4I98UynJwQ2LYprCoOU74fmIpzpxAWxFKH9zgqB
Bbs7n8Zv33ZLYJehiQCf7ZB6t3E1Du8hledl3QChGXg1X8OsTRZ4bckl7iSCeq3rlwBahR8WNX1N
gIjXWRiDjk8758LUfnxy7B009NPsJdgFHgZ/MUxrQZBlmEpN8TNIMx0yWmM8Jm7avp2/2yf6inOZ
g5mWdp7FF3rwYRoAGxlCUmVB5FbL5ye1dJFoenOFqDNZDclIJr3ClOEjI9WXgR01z11Thy+sW/U/
Rk0AUpidWC4y4Vkmd/BMkoLSwEA7iOkOZYOpynFn62G6vXDJ885kfwT1YPFYDJ68PbiYDi45VLop
SAUBY4Vep5895v5F7NKKgc6MPsVUE6oPUPXTtu9+Gk05LGHf9N/Pn8TxE0bxzN6J/+A2h3y3//ph
T8bHyByJkcGO19HEzpDCRQfGX1y6qyemsZnNQxYxS26iZA+NKqTzMebm5BO6UUlikFVmcxktzlrt
mgiVAp5vZFm/slI68YJilXk7TawH/EA1EUaZZNBCA1R7Gh+ycRPHP38jTp2dNw9eqB2JcDcOHf4y
G2CfkbKI1MqFH9kDaNvoeHqfWzz2z5Df66tE7dXYDw0MNshdwg0o70e3cPGGTOwfyHaRpIqeP63j
UYjSHx+FPmu0AQIdPB+yKbJIadPcb8YuQ7dm5jsbYvefTkWzyhCnC0VGdoxIqfbfAm1MWpUdauHT
gVK+V1lcXtMwlzT1LfVCge3ogjgUPVBXxSXE8Q5fApClZlWgIfK9gdDCPjHCDVv0P64rQ/O1cCQx
12Oq5A/7F1QECjjNAd47zoNqi3gJvHftOsvzD2e+LXsfMOV2ClGUo/iCUZAefMBx5sgxAIroZ24x
fhZpbHw2wMi+OEaj7tA324vQVuvtCMEd5J0s//ypURKeMy/5hlVOYv8i46D3ysJma4UkZS6kesWm
cjsyZEqyns5f6dFeiOflzqLhueE/f8L7h0JExqK/AUSi6yX0rnxR6BopVlcRS3Oj/fOkv5n2Mmv6
P9RpwJT2D9cAmPGqfkbNuHaxy5mdV8IeXDqc0l7qadJvUtGZPml61Ro/G3skF8GDRvN3wbwZr6B5
94/n7wCl/eOnzUnRPkAmQBfqcIZyByYeVxBlQpmAuIuhg93sU8lTEb8U+uD5VjoSfTHmRnjPCZC9
NyEn/5bVlOgWbmmYP+MQDeImssLhm2yN6ZoOdrcRkFN0P9dsHZ1+XjDthZU1ARpoulIiDvJkywSR
ISKVodY9IrqwW9wqQrWebLvtzAVGByRi1GEJDYu0qX6OAjDMvhkOAC6CdgCY7NTDlF+xCEUWWjAI
+zi/obyooUIMdDuQdrMqWjONl5Fd6neN4gUJ3JG+ue4AWUHuLyL3PY+mfmtXY6aQ0ZRIGP7oWDFm
93Z9R9PKTYBjD8QyenVnRD5CAuVb4sTDtRch7cN0Hxu8o2FIYHc3OMpbCWz7NXQCnSi/evrSOY3x
M0xK5a1SY6sgNt2KykWnp47HXNApd+TzKqS7m0MFeJpVkrjpZwTRsupbeMRIsiA7p6qErYTKJlF2
Uo3izWhCRdrkoR3JhdArKHtuWQEWIPpOXSqN7r3lxCRwgRjTvlRE7poLtVPJ4FImHGP3bWQyUGng
tpEB5iNpTl022faqswQRWVkigY4C1+QxjVT8kjUN6Oprn5e5Dqu9kfDT2mR8Rimsm0tnVOvPdTHk
xbLzWnJWUPvWzqJE/C6WGIVocVjaBFGq8RxAKMNUdS+SVMZnIO70o5JKtMU64y0JkSBWY7nyiH4s
r2Q1u+sqWeT0HzomN6IVKOYvezCx/YK3zLaWZJjSx6trm3Cusagg/rGD1selPVvjsGbK7Gcim5EP
Gxy/vghHAnkMrfSKRehZhCMh3upeOi+XKojqnpUmteeUxOFxKH9S6OzGJ0/txEsKHQw1IQIs3hB2
ojc0BFTNb7UGFXfMIipCi2X0D2oLudsvIqeejfm0H9AQRtUcuJ4CrOB7ihZhMDifoYkkpW9EnntX
ybq/Mbib/DonnLPwjN6UK4mhkgxegbnVL7M5W4EX0ZlVfqm7msrSGhcUhhmGzw8Fx1MYkyXLJQb+
WT9zuG4L5JjUSVohNg7B/atqyzTjIfU+f5RjTfPszkJjwbcDN5I9yP4gqFeOE+vlnAUzxHBtxyh9
ygbdJrYAQWoQmdmWwoD3SRsNsNCFhc1FV9oIAHFlPThalnweO0GYEiU579nIPJsedj1cOMnjGRCL
wgyVpYhkUeHU98/RpIMqu4y9iCbwIfnxjCX20GreiDg2P8nRmj6jGoIPQ17kIqf0vjt/k44fBdI7
dvH4N7BmUpPZPz6iLYmUwoRKrFbufVlk41PTqN6FqzxeGzIfucy1bFDseVlxMNFT6NFzNUpyXxno
8gxyHZgesc/qsxVaa6ewXhBP3SSuhG9FGO1ELCfkF/W+zvsLhbuj5TqkLtKIsZjRpGU/fzAxanrl
toOORyswpuC7R3rGsihlcy1sgqD+9Nby8VGMc4FdMfV7B32VwRRDxip8jnionE1lZMGvqnH+OOOB
Bua8wWQHgvcVwcH+AzS9yXIammdEjLbpejBD8zmOm/BCBeTEbWMlSPmD1hQKv8P2P7B6Ai0qqlR1
0KeEmtRyTQ7cjOt3Luxjj19IdP0zLgJ1JIDZQwJkbaBecIge9y2XpUoaO9M6qJAfn382x9oongg9
avQq8zKJquD+beusJmqSmLx6D8IKsVIF1Stfqql0V13AqmiBQXEgk4hdFBliyTS8ZlZSJURMGaig
g0p0u87osv7Ch3Li6tmm0JyF/kpl62OT/1sxo4lEZsLDB6BSF/YKy6W7SjW4Ruev/sRRqDi6M5eD
BSlSnf2LT3XREN1JldjJNALnvG64U7NMu3CPT7wzdNgpwVM5Y290KC+2utTuh0SbAWzgBoekqdZU
mHGn1c6lTd5x8WP23VPipdcwC8wOBZlVUJZMm4KNhNOrDxG5Mi+J9KbPXWxFW53IgYeu09JPYRDG
YM11+9XsU+tZ9GyUz9/aD93k/paGMzEYVOngerwkBwN6VIEvDmKEMja4sPhqCqT6JUq79jsCxRg9
Gjb4ZjGIoXCvAX0ZL9ogkuiqt+Mp83O3NZ8CejOftbQkHrBI8QdketntptYZo1UGrfQH9myEozr1
3evMm6pmLeWg/kzbYTTA2IRU8JMqz3+5wVDryzIsqSXGprQ/n7/O44er02Kh04J+ceaTHlxmm9hj
paEC8oH5JktKjSbYwUT/gmXSvXCo4ylyru+adC+xpaCZPNAJWFSPMfOAfp4MI9avpNp1K0eYTbio
ktK8EzkR1quSzNYvVCUqZOCDJS4R54+3b7AzmTRQ3sz1psNzsGsxQWMhhGgkovqlSAgtITm+WRuO
MN70KB3XZiDSl/P3+Hi/xEiAYYMnSpH7SLdHjEnDuwQa1pUNOtFgsKxXcF3WbRPEkpk0veQ0Pmbg
zcYZhh0eKF0S77Cxm7LJUDMT00SaauIpdyVhyprMiUMTodsZuyk0wpo8N0N5jHQPT6CbVtmT4xUd
0WVtFj3EQ8D2oqwUkF0aKq+nlDiWpdFiLEBeAFN3R79J/Cibon6M5FDSArSi+CvJTh7wU8JEHhq8
zeRBFrSviM1SOuTiSpKtqrBM05sxSG1lQWykwA3VVUS+CFfJtaVtopZZsu8xfynO1BTbhNxoE9VI
A01X1ASaxjKdvtRK7USz9DLotmPILLkoGLcu2cKOPg36gnz4NB+RSrDXmP/+tzG8tggvJeiQVDLZ
NDcUzDqcCQQtm5gSluffkKMWEnWLj6UFBh++w8MOa4irylXjvqOw7WS3qY45bgZw1VvyCsSWLW6I
W8LR74IyBf13/thHkwjHnmM0GAAom/Lf/cvE2qWEOCaBo9AxuUJ9IHx+wNh9HOV//Rj/K3wvH/49
cjb/+m/+/KOsIDuHUXvwx3/dV+/FU1u/v7e336r/nn/0//7T/R/81238g5zR8ld7+K/2fojf/5/j
L7+13/b+wC49bqdP3Xs9Pb43XdZ+HIAznf/l/+9f/vX+8Vuep+r9n38TOFG0828L47L4+z9/tfv5
z78Zz3674fPv/89f3n3L+bktaJJv9XT0E+/fmvaff+v6P9CUMZbCrqamwqv291/D+/w3mv0P1oP8
/wy5GDGY5P/+q2APHv3zb9P9B/pEJOHmbDuyaQH9/VdTdh9/Zf2DjvEs0MHDTDmbnuz/ufK9Z/T/
ntlfRZc/lHHRNhzz31b036ZBFX03Q4j9obOF5HBI7igJOewIjUXK5CpvAf5LkT1FqJq2TZlZW0Of
xbFtrq7B0i5VPbiD2KpunZytfOJExpqCpuWnRLYskzT/HOiTvaaobxK9m+QLZRjURUD6/HpM5IBT
KjRuK0Nvt5VlfzPcOHlwEqe6ssFFIvEt8TZn9lfMbj97Z5N3wbearPc5m6S7JuxSPtDjF1duHxi+
TuTitR4ryqqKyZuFcTB6Vxgcw4cxLEffgJ+7YfDYtdVI/pVmPViK95aQKruoKnkDuO1G0UbStPVW
2cCuqjB/aMq6VxTjdrTn4osiaoBLBbTHGeW0Jt0130Rqkz6OdqiOPsGi7nMYlWKltk26IrfbfRl7
N9gSu2oSn9rE/bCoAcLpSxJY1Gdc97Ap2lJ5rlyDxcVYi8I39bB/TZuxWmQxxSvSqi0ChrsaC5Xr
hEAdRadC/nY85bnjX8y3s2ICRaJhrDq1tdQVPMugWOTmEFzHCg4r9kZa5GsqkcROaIcgOOMhX4aN
BQNRiYryCxWqTeGUyioqp+oNH0e4Jv4IJxcB90pDK9NJn8ywNylRlJLEwI4IeLJ3k9ADcdqQwCGD
WLmhsUUebp/lE0LQOF4FLY+ObLlUpfyG0szvNCS8KI3gM02do7/209jtkmjKdyIV0xY//A9jMt7L
TIIXkvYqI3LnV0albpFGsMdZuyfidpDyWqs+aTATtTZfwrJgUS8yxMeENjGpdLRHnKibvkxa1FyP
1Py/kQl7rcEAkxVBRUwbxkZiY8rdyXyawrLYNb31QwgUgYrylXiWne4E38s0vIcvvClGdQuNFIG/
wwVkLU81nOyHDvn8e4PWblGXsr6q8Vr79pwWOrbqiBVYW9IuIwlX9Nd64mabTsu9BzMnbRRy4GjV
qynYerHT3YSVkW9cTRHLwqq/swHfysJQv42eYpKYGNWhXLALitdxrxY7rGjenS2LkaDXTp9eJr3j
1xlqSjKBXmQ32MOI8EjFp0Zkle8Olfs8iSb/NE6d7Re9BWW1H5Qthc7+zqudfIFucga3OpFf2NF0
nRbEn48gUxw0RxS3wlXCgmKVsVz6XIuQfqTVxjddhQsBSW+ws0GT7vQgc7/0SmncDn2pUA/tqt5X
2+oz4qSvDqU+FLMsf6Cc4RvueiKl6C4qvkBtl5jJl2rISzyrAuBmYrjL3IT7nFvlZ7LGxJ1ahCHa
XoxjIEozv2xxsI+GFd84ov8xZQRPkVfHeQXJFKFimMMDG7UnVNckxVLju25jdLpepkKZLTUirLLS
vg1YODzmljLcWI2ibrPOKm7SyLO/IiYDXKbDvC+TpzgqrpTKYKCiZnwFKip6HNE+Lx1MtrvBmGst
APsiLjht2VCmul+1t1AL+pWBfeLa7QZxm48hn+9TWefeKjFtIrSDcGGbSHVloi90ZaD42Ovq2oJF
ch8I9aZTB3uj6ua4Q4XpPMaGpi1mJ8RVxbDP62eGKwtkya1okR7FRBqnIeTAIl0NQ+Unvbulen1L
juxGuMWGJhaDg93v3MK4DVo+tWb4Mdd2fEpZ62lIIM3BzQx8GfRL8N43VvUpwvYMT7desaBLVzTV
HX90U/smqK2lMWnvwiUJksu5Ipqb1MJiwOEXZRV1XXq3amM/5lUef/LIyaNUm2ZXFUKX9QikAeBd
OCte0uEBt3yyhXNVPRM9i8xyXMapHftRTdW5y19wkEji3YgAtKyr4n+zdx47litZlv2VRs8ZRS2m
JK92eV37hPBQ1MoozMivr8WXLysrs1GJTqAHhUYN3uRFePgVRrNj56y991ztiCz8WAydXcL3LmOl
Ybncws2Y9hCcFPcb9Pdu/pzVqkpwbdHHU+/UZ0U4odMU/s6UsGR62SQMwHx7ic3Ze1FNwz/v59qO
Sx3fwWZ1305DxudPuj2+7NTPVXIk9dGNrOXnYBTyoE9dfeB5U8fcWt/meSLLVXOoz5Z+enOCOp6t
dib4Sw6S9RvMD4XAATSd0v3Sjt2umMfN4t1BPSTVOSPULvTIRViCjkTv1bxbFuM4Wqn2YBAM/JD0
TJrIbbyvV//JT7JLabS8ML2MvSF/0JLuQ1oKU/QxI7jV7PN3J20r9tqaN8nGE3mIC0wPKYk5sXis
YZzvXQ3BTLYQV7m2u5IP+w6nMOuwSGu9DQpDvc5pPx6raj35sigPDsYrLA99ikFAprOV6cQq6GE5
3eDf7KL66AsRZn5nHJIlMMOsH9qw4/RlgnHMmBeHRd29zwNsnTZ2TxBt/rlZPNJiDY7MVKjkJEU+
HNqpTti+hWSY0Dw2Q7OD4BlJ5WkOdTtUR+BG/Twuq/08GnfMw2QMAeLGTgVdntmFjtGwb98MxceK
7Dde9MTzwqIdrxZh7cdkYW2JUXvLhjKLWYTGEYVq8DCVkKjUkSB+tm8fK3aPqMUFZ683XZ5FvAX3
4EqZIPAVOpYZWlrw03NIVVbHqzPd6jVfDcOLF6vID5Y77rjNMg4weuSe2X2Q1rgDeDFgA0dGlvyo
+CzCyR8/sOvn7xZKRuQEJHt3zZP3XpvlNcVul/xY/FNcUlIPa5CpG1jpMdRnt/8E9MH4kZjnZOdR
g+W7gu0mXv38WK8pInPZyTBoWU14N+/Z0d9kP+6X0TgsuXZZu+JGle9pzVlZvAdjdec61T0elAgD
2oODdXUoMuvqMucZLHJ2lqemcB7T8ntQM1XE/yUNGBIJfCvK2yBB72CdynZ6NyfO1XmI57G9tyfr
2G8296WP43qv/B1DJ/ZFa7zKROnnvnHBzpUIc5QabpG+2XjEMBBxr/2cjcdMBi0ZXtZDq5iKEE+n
zYTTjEzfdnl3sIgMad3qbOfvS+/sJz0gma3GekNV9/pgYtphPtFxee/07OzY090w2vei7R9GFswq
cxKzRdDGg7UOu8HLxQ6TacnUxTlpVKzAwaQjJ3MS4DJjpHdVlh5XTAdIaOA7whEwqurm08ffPMxy
/1MrpbnDnXqJ/JGTAUN5P+x51hR54V695xBrw7kk1I2UDOdU9K55lGVzQA73sfYdE39m4BgAJg+9
p+VH222MeNISJnPKfpoqvspSX+iNWHl/7QT/ltt36Y9cE59ZNhc706w4rEXpXJypbQ7BxNjZa5bI
zUSCHCi7rRftVxZ4t8KRLC7UBlYvfi5ZcItqNAxUFgdjti+3RgxS+p2ViyGytpfl9eKdWo1/Q4/S
ro9zn2JJU9nyXhkj3yMpn+8stDqstO6tKuXd5Ls/mkl/qrnB3Gl69YvCrDsTpm2+W8J6rPWRV0V0
pWQ86mpPdm08+oCG+9Sck3tjkNc+M660aQ9YmB+Gdtk+RGs/Oao5LPyio66n7dcC+vGEh7s65cUv
5AK4T/n7ZBmb27Wi4BGViyh+WD51Qg9v/blk8t11wX1dlSXPSt1feaYe/Lr6KQ38yG24PLzx9NO8
YFwFm4ML30z0SCyYv91YyYADMHrxHVfuSzsM5FpX6ChGUh5IzC6X5cXPO+87QJ4fZa0sbxK6fjGh
x8h/F4/5ae+PMe4xbOZtP8UGzbwQqqUKKaWaMCjzPGpd915fSNomWpXqIs1Oc2t2NwgfTCIJ6wkP
gfJjSpIrAr78IxHZjcdJP3ZzsMMMqnxys6q/1AZdWE5kEdklr9FomTS3crK/rLYzjzV2VSQvm9qp
9TW2XsZGbIfpzP8sZH9hRvesMSsiucOw64sZEN+Sg8/tDG+bnQlnOreyE08qW4f7OYH8QpJaP2uL
USJk6usxTGs+joYB5InTsr/oBEHvc88zQmPRgp0FhTcBRQSffpen+zE1idBiTz+sEon2XBcMkQd/
DlOJBXAZtNMZ0KYKe9v8Mogz/YkEw5jDMi2uTYUpadEjuVQEaW5q7o/Mx95fw2P7hC1Hc67biZTg
FFPnk8DX+UUZ7hpPNtn2GE2JH2Yy9/tyWC5Nl4oqbEojeBET5zA+lC4GR6N3tlYzi1u/Xna+vy6h
V89LNPGqXjXcjNsILsy7xxQujUxpeMfSG+zj5Moa3p741SPGMkkkx+VNLsqIU6+z4a9xVLovgm45
pqX6yOi7NXEf+AVmcj0pCNitJ/eiLE3MQLzlsLBT7kZGI7flNASxsZJXtAyr9RnI1txjmyjPRkEx
EGF3ZpMubOqQBeTmbnmx5uzKmCzneY9VfX8egkA74yE2XcxhffGMUn+Ts2lEDgOI15VKm0QRButy
nXCVLpz6YBClevTSZoraLK+uunJwGsL9Qb8k/TTERtOoHV3+4bYC0IvVVBj3PSaw2zoSv2drlFEf
lOatsMZDbjRXFbxVTUZ49Fi/el7bYmZcQz1jF8hJnphHU6uacG36H0Ez2Ae5pEEXJgsuNV2adQdP
V9ZNAekWuQPuEHnufKCCcF7a2RBw0GBx5EKnb9jbc6dxXPIX01odkgyDpk0LfYvp73MhnDkU0nZO
pG7WrNb6Y6xZX4lQMWnaw9mtcJYgmsCP0C34F3N7IlUZvJZGVz5Olq72SOiMuLPzBysdfjdqpLSz
aqycPUfdcjFXD/1sBDvS4t5nZ0gOpNBkN91c4udtMg8VVSovns65XcikmHd16SR52K7Fi94u6121
kH4gMmr9QevkgRNkzQJSJGbTvttcLN99TIKPmIy6u3xOnD1ps2WoS887wuvhm+NlRihd9CEONpea
wXtJZiiYGUXKiYme+2ilwXLsvbk+tCQ9NHHTr867SX7EIxCBeaVQc75bvhjvlD7lE0WgJe979nR2
osz+qTUicq16PqVWRzxLktSPtfsj64/Ihh9gmn+kMoiJ6Tb7a9aOke8erbH5vnCmn0mzzqKg7epj
QKD4PsBFkrJTMg4OUGA9Mv3Akbss51fL5qjViIT7wYrECNUX2rH25/RGm3Iy1Iv1WgAOvfPBFxdl
eeUvO7EVxiLCOfgYJj9XzsLGWoBf9fr6bI4N1wUMdV+z2gjeGzlyb5Fm/0GeeXNaEqv4FPbkU0ol
BtvOLDDl17y6PS6TEZctU5Z56qufbVCwEEDy9IFtyVjLSEwkie20rMWpO8EcNvuorQIG1k3HC1ae
KflQvqYbhxGFAWk6ytauiqKWe90s0nfbTrE8r51q+khVj/Q101V7bdymfSh5j4eqpWyMnHQpbxaL
KfnOaXrjvqP0O+VWTcLG4vf1Zh2bGbem6qw3Ny/qO1WZmHADb2pBSAp8hhxVJvJpUo1cY4tfSVRv
797pWLq9ap1hn2pDW6/1MHAzNbyqOzGVbYNYZX3ynEnGwwywWu/BXkvnVzJlKq4oiTnEfNKN5bCl
Hc1O4V3wJMgPrTkt5CP2mR9zETW/OxUwl64SbV8y4T+yL3U7p0fquhirx2Wh5cpUBCIkCnY8693E
hI5mRl+i05ethtTLCb6nwfpQA0i9EGkzneumHy7kLdOt4WoVcswFXgyHkxIe57sizvsly/G+WUnc
SXxSFdrTPAWAR3gNsts3pHTTAzhnyKIjq2q7Wwym1MmZ5rMquDAV2qXJrGdiQSK7NxfEBv1+5Doy
pfhpTqR0HG1qr6hv2iECqObmvipeshDx4q8HYd92tQ5tDxdrJuYj7+JkOiOxDoR9LPaumPwsntz+
5GP+XrTbMnjvJcoUzzjUAdKKxMXNDS9EeZdSul4X3xtiB82Dw3wzzKEL0O5cULWQ75ZXHDEyb8wY
Rxoso+Yi0tVrWbmP3bLGZi33+eI/23q9y/tkjqQ6yupXiZNjNNsydHP36qxD+8zNcD7oyv9NxHkD
vM3ldvad0Q4nC3tjY+7Xi5u57pn4EXfLrtn7evpDptkvy1iWGzsvj87iyAjsEoDPXGbGj9Ur3Ysy
7Ogp4kiKAinwl4OzGQIQq3lpdIKV6sy5+JbzAyNlaro5z5Db+QEVvB5V29XT5kx4LDPyCqHLfy0m
xbfX5vWVE3hHBpGKjIIeoAfjqDkd/Q6TZmVmm3uKqPt62/CcqtiMU4sFYbyB44BLnQez+WV1JQa6
5p7G3q4mdjH0QfOUQA/VmmhiiRyaSi7aqXN1mjkuaKHUEjwvH36ayrtffeMWxiueuuClYegUaYWd
XQVXwD0L9KsVmFFu67E1jIFft9y16cLdxMe2W19YFQ3Mj8Uk4lEzlz1sXkr9Ar/l+mpXWTBqrv5k
O+3OR6FkDs5FBemn5x/7nOlSP4eVFzyv2tYW8y+GTMJgImWmppL1usvqz0XsZP5L0jnXXjNSALac
kkO7JzLvMLXqS8/K27TgHY+m4irg7uxFfTKkDqkb9qryONzruyK5Qb2qwiFPzrISVyrVu9KmP9xW
Ls6Lif/R546M12Xb09MritA+3OwHEVSZp2Vps7D1kziX5BSY9hpXvXZoCmsIS2EEGCzTSGlFb584
9V8LqI+EpmM8q+EG6eVVrXFamSfik0PuiJhyOXBacxtEOcON0FEr3W3bYjUiIJu9M60aqE/hsf0I
Rk9aUx7HdDy7QL70DBOHagkcTsO+3Jmx5miP0mtuXL0+LtYDTUfKfok9VstpkkjCbmQD68lHQw+M
bDyckgZ36MJxwGUR1F0dxdKFS8eIbVa4UNH3e5B+tR/KkWfN8RD7B3NIDyKkUXaaUzul0X5dLf3A
4CxO3S8pfS56IuEwD356bXWwinIkeupXJxJ69fY63uqNqT8KPDViL4M9kQQ1RKqAj8YSz45b28yP
5LI2rGUs67gHfVUEcDV2xuputVu3ZsOrFMjmPMci3SVEQ+hTc876nqAy+0OIV8NPozkI7qFkoj4P
9ozVu2jGqH+tYmGAv4Aj5DdB7sftLPJQ2knsdudAGrHs3zrjl58bXxTnMhyMXuyweX4oGys5pY66
oE3ggSfg66Jm4M1Ef6jH/rZw6LayyX9vdHXPDeRUS/k2KHGjL2+BOVybHsyODpO3k9g2HvGEeSvy
4pBxTXE7vpQuG6IqEed8GjlwlfaCETkUD+MMFQl9uui1Q9zkGq/Y/pr6GDv1zVI2Jy33j2h90ovg
78npZBkqKjlD0mXfzgdN3Nj0qSiC7LMPA55UL/QdwjJ56SXxa+wo3vpkmBNN/nGfB4eZvmg3MoEG
jBQ0WZSOB3bt3zJNCbPpUvRvbEUhNUdIDyJMMsH84oqV7IuyJSLHBXjDenCdF38aIsP8cJbv5fDC
pIXLHtdBzoOBfbdd1UUALnvdfvDfB12Lxs6IDPod+lYsjM3dqNFzm0r4RPY07pNvShvIU22rC4iE
F3YYXDwP9mLFE7PzncmgJqpM/3nOAnvfKPNqe9Ny2w+Ce4iZYIE1/rKVd67Ldmeb0z1K93ofkI9+
tjvGDNQvsZb5xqVLqmfS+O56EGFB6hSruuEry4KaSyOYb+a1642diHi1mPwXk3fMdK6hJnp3ffEf
i9V2d662yI73wP1ucdOLaUyfjWPlKf2yybu16vFZB2Q7+qOz3NDOsqtHqxp/cQTR/fCoZOxsusF9
SQ+LctvJx8W/T4pRHTA5hjYqaXyw/TLMeE/SFJFivQ6PUn/xNOzaocMrafEsZ5ZLUHngnhhK08Kd
nuyS7rDLtaZHVONtWt41Sd/H0V5uPIwyqa0Z1c3vXbeE6I+9/dC2N6b5sApOWvNQ5uUCeaKCPV6h
cmco7znDBQ/29aIX+n3XvUry7vShfi41LxzmMYaX8MNGN5gN2HtZM1xr1q1pOtZ9em5INDg6lZ/s
aYUXxwb/lDbMBvfO1pV7KsfuNtcdmrldnOnZtaORS5slncmiCx5rvIa4yziKn6UU0+i46xae9UlN
TwkrtKjlihTqJSOOYaDSWoKiuk2TS2E60xF79pR7SNIfg6kVj0bgvRd5mp+GAfcDQ+TB/UbnnXPC
VTM+hcjxOu826OtTnbf3WbbvLThq3FK/t/xYSLamfiDLt48dU14bgQU3FrbVVSWZfui87GL75c5C
qhzjx7Sb04Z7XdcUcdvap9muTnM/7To7S6LOHl7pZT+P4wJeIrP1deM8QkYKVaQCjCp7n3pJjvDt
1as/jXcpdfTzsvHtE1hJyIXuqorgq5b2wTDnG+n6+WG1m7el0u7oLrzARxw1Rx2Nzn9cEUTEoz7R
xApmGv7OGUOjR4tKbxqY3FaTFWZ4U+MZOb7UPVNyTFUjax1t+sE5+HzZy1tjGM2dY+PPg43m74yq
OlwLXxzXtvyeLQlFo8MRNpeUWpOefxX+l7f2j56Tl3Qh5HOnL7d5ar/4XB41OvIH7BZofEBJ7bne
n/oKz6pamQi6+XgiAWiTkNWXM6JYq/OA3OkQDNmPymewl9E+MDgcU/1p9bNTszKUbyH6I31hAQKw
h75iwSdtrKfljeZZC7uOZKyAQDk7u3NxpuuW7GU7L4e5T9w4qFDcpbZ1aAkezFzB31nayHVJrs7b
XotW5Pcvae0bmGa7d6SSUvC4XYCva3kzZ4mBzAFUfmbyiqfjNoDrHzl8yWdHLBgFU+8e+kb+wkOd
itMFYE9Ky9ivQ0pENlTSLkVZcFdW1n1eyBGGmGUsRr8+jaKrz2lvsQV1Cr57ErBDg+UdXWP8TLK1
29PDMGMpkgzlQr1XmvHE8/ggcro3tLbA69Aq7fp1ZNJLwk+YYFH/7uLywsO0SC5vor/ISi9+usJu
T36fifOKdCRUM0oaJt/mPjdyLXZKHfMP/I32ws3kqVfOcNJc1B1BU5eoTbEUzK3CCM2iIGBwDcbY
Uvh5QyH3EEz0Y6e86XcihelT+ZtWU+aJojgYMwSCaZFx5wotj7FJfE+ZIj2g2e9in/7U1Vd2s6OT
VESY/Gmx9Cft1lptRhjtDGdVKPTLQfG0TOKZAOiPatK1vS3W4IZqESX3yCA8F/A8wdBwX9Hd25Y7
cY7/KSG9mjgZFinV7TrjJDh1zklMtLhhymk6L/oDBF9wt3bVfeuazSEPxvbn6NlQVqbQb8w+Db4v
UPdvRDmq9xx/0IPdTgut0JSBQN1/GlrjcvtZ7zo3u18y86rN5tan5QX47do+qd6S9EMZYhQWJaAi
Axn68mfZWXEWzM3OM0Uf0ZmmHsrLAGCBKqKmPF/DtmAbsSsfhsCU7jXNbTOuve7FDShxCtOHNbCT
eTcofz2mTbA8j8T2HgklH15MbbitDT3/ZK6CBg2xcGgIdVu7fIatVRzmPO9OXg4Fh5rhdmrgWhIv
JxK3q/f0pXaM5qxdPTb1KRsXfK8tmZ/arNi3CcJkGmG3bVKJeymnr8QZqh0gBDvasJpDJDEAD6du
GOKgE+dAv1lS/WukoZBpxl4bsni0mq1dxdOT2asysQq3rJCp7NOgD9OhxbnkSJij9RcI/P8di/Xf
kbLazFb+7a8s0/9BWZ1/ieHX30NW2w/8BbLSzG/65iCyGZnhdwAqDQP3F8qKP8Lfz8e9CqErJqqb
r/FfKavg2wapAssz8vHwtIb/G/6krIJvgJw2LURvE8hiAfyvUFb/ED+0If9wdxvxzEvA8+cfBfZQ
jGVOrCQrAbNVM1y1djBpaLTdDgEF7h9V25QfPD7TEYcrugWM9FgxvQHhokupfpL0Sb9LQImwsMrn
RE71li43uu+J5JKRKCHwYQtq8SF77cvOvOTHvw73/ZfI3t9hfv8UAfxvuez41v/Jsvtq/tft1/Lr
74HALbHmz5XnffsjBAKSNACypi8G+fnnygu+ofk1oPsMn3AIqlwovj+XnmewvpCA4AIFd0rqKKj0
n0vP079hK8Y6/suK/OsD8X8B9/0hyv0b2rfFhWLrsKlOUB/DgP9jAk5upzgG4Qgf16BELrDLkp6K
2bD3g+uVx6xKPK6vc97O1HpiuutTZ8ovOnpBZh9pkVZHTctzjtwEIDEce8dKKadkvYYanUmkll6Q
v82ORo5cm3vyszKy3NtnY6JQCRbEHIfKILieFOEUOt5yyCtB56mHjF25Vem5+m1csLRhrFJRIG7p
JROD28OK5qKH9+2aL+KKVo/c7WJ64oYRj95CSnuZD/oLA4C0ZmMP6ovU9FXEVqYt+2HtGYDSTpDs
52LIztJ1ih907RkluQMxfaZKz2QkK7oKbje9IrMy6jjDDPswAAUyUteN6qAy+4kwqkSPCmIRn9Fx
ilg4SfNJb5+aWREvfVjZ4L9MOiOERU8+CtF+ML9UV4yfzRYv16IpCiHh/0zK+Zc29v9Pn0Mb1dV/
/RzefI1z/vV3jO32A38ytv43NE+4CGMeiqMaFP5fn0FT/7aZfaLv8HTTgPHgXPjzEXT8bxiCu/j6
gL9AVm7Coz8fQcf5RrQaShh2W4RUG//7LzyG9h/P2d+eQ49QO2RfHAH8Z3n8pn/QRZQKY34PH4cY
C47md00Q2UdT2/mK6GMLZtHSX2UzY6g0oUf9SBh6Tzt/mdSt3g/EDRhBZb+6Yi27UDPg4mHg3LTY
LVa3Hoq1g4dD7s8AhRuJB7vTmvQvW7tiJJmQgfWRoGCadgUPAI1gNXkGg4/Z7He1VwLgMbxaphCg
rt2T15GYF2ssXRmVMiuf+dQQDCOJVT+U3QrtUDs2Hmdr5w86yntDl0gbJGoYn0Y0AxAn75m/9znq
5MzWKQNVgodEUlfFu1X5tNVsd+u0DUsvup1lZRYRFrNmfVW56gn1Ua7dhis+//rRlKV2TgyLgMRB
rg9zkDS/Bx65cwnpBsXRqyvWYeIxcUovjXUqMcK8QJW/6In409tiTPi/WRAktDPq5c4xF4Ye3N4B
KRfw2Z2auuwUMKyvQSF8oLPGmZmLdfYc7Huaw+8iS7uMyXXTfZG1LtwtK9Ck42vpTP/ZuwHQ0HoL
Y8fM1/spSAxJactkKNAAi5xbb3JXGkRIxNIYoej0GyF8/pra/BruLv4Wijp4mhcVNOMJ39aldmvA
c6znAsjxZelsYRGmIaHPcsYc6NgzB30vflF1nKOMJ2N0HNLXkYZ/Gom6xZVczL4OaFa4KC06t5Xj
GfoVEs5eOSZ2TZVtnfHSgJBL1sY7yaUhND0l0+LnhKDjTOx57YfMJ0HK5rkErtliphHs83b4ei3a
uUDGytl36zydl9qcNoHhRH+rTHJp0xyr5ySm40qDvRFjJ454YBlASD6OdcoTGEhr5hxPxPx4O4Mb
o450tGdSpZvDdDPNFoNMqHxew+z1JPdOrrd8JwKsebfp0LNm/FZ9JwEEGZ9hj5rYgXAwKsITQCXR
OCUsJbHkjBzMqWnIUde4Omb50D/amkdj0lh10rQqp/wpE9JGI84p9wW7RzfblT79a76qtCh3yPnG
UCJGfR+55pb4rlUuJ4W3ffWtwscXTGrCY1C1k/ZG8FO55chP6W/dL+VyaKjKXEbJeEfcK73UGQrD
6oL7qm45ZL2sg8hITItroSmy1wQz6GHjYhMBJYf7XViM1vracYPMmTeB+kXjMqDJ04RgipHVpkd4
dMkEK6pRCXOUcqmGh6tkARsqBT5UfTB+IoS23hKugklsGSsdh44mNbFEfjkTlmWVXn0o17Koz23t
NcRApYwpT9jz1cV+qArbj7iM0T+rijEv7hcJUE3v3VjR6g8r37kBNcuQVSQEQ4gqgHJcci+VMYMB
3z2QO5N4URcEdP56AAV1xrg3efa4hJEZsdINivMunx994bfGOddsLmJK0Gt9Up1eGp95Y9nMiDRS
QCJVGaqLe7EO74KFYIfAOESEkVA/M58jCLOPKH2WAhNGt+CqHnYDX9B9XmZO8oj5BNPILNEGukJg
YfJmWkBsD/VMz/2utIL89+gqosmyMpgDth54vdDKS2s4zO6qv+LfGfjwLV3xAz7fG/cS6ZcJEdda
6Xdbm+1PYPD05zzh5SayWq92WUMz6CafZqz7ZlfXX5lH0Pjv2Ed2wjU0RtumXb6B8bhj6AB5BaEg
UvTNq82hv5m4vHpkRDvjW1Mn1UJnSdhLOM7TWu3U0NJtw3SBOEG7NQHTIS3c9NFc6h3y3K7Z1YhE
vwezgTBfQHlmlChymuLOd1YztJrcel5dO2XoqRtTG1e6p/Vct2dRMnXQk/PYYjof8muHt96uhu+W
LMdkB1o3eOGYtAjrE8MmWXjAmG8JgYd8jFMVigkgRbfN9xMGFLGYKqM4abrmoZ3u1TZvTCwDzwx2
8RMeVoG1c6TBfkXmUgt4PZSzHvp27+38YEau53ddLcM0U0HO5+PK8SgYK77nHACEp3Ov+i50IA82
j8LVY2GCJJ6zNRnXY5aXAol6240/BtFPNLPGfn0mki15HtC7DLAH/ofmtUkIXlOQsZ2l7nlNhPwO
XZdeJszXrBARTDLTBZ3JtVPts7D9kSS+of499UvgHxjTLsdRy0b2T37Fjw672d9KU8AElaF7HCay
mk26LCsnmQQDVWEP0PbJ9u25occSfacpbshnrTD86+q745vfGwOsVK6mB8+2hdyVpDm9lbnGaD5B
gcZGDAF48Gq+F5jEpTqtS0LTbtGzpYVAdF0sU7xCTSDpi2nG3DcIFzbG+WCLynlqp0qlcT2XeGtm
ToXrat9QqYe4WgYfeFNl3s4OkuyrHKbVRwdY6BUJZET87MkaB0GfO2VhfC2K9TfvZxaXRMMk4oDP
Cxhu0ugFo6kmk+gcGqHuM5EtG7FukJaUAv1UoS6aGWLNSPQ+yulTwShpWQb8LRnG/EW//D9V8f/G
aPafVcVPVTt/lf9YF/9HWwTtmbOlXdIWwaUQJ3H+5D+0Z5zafNcYlXi0QIy/1cV28A0rQA45VIoW
RgUOP/RnXWx7aM+4TVIX4xJLmI77r9TF/CD/1H92leIFoTvjJTjbPRWXtE25+J8EmMOwlIzvUZEk
ojazj21noIIK9BkuZ94YnY4rFuPDwIXdEZZT/fQLao4VssebJ8bCzHJEtPxB/miMzA7rhgMtGxiU
bIgQdRCN0Q0bwmhXvcIlWgwf12eno6CpN8wI9VXNYB70SM5gWsuGI1Vk7F1mu8zepTcDK4ki5lKX
3qCy1Y7AY2rniblBYAHmxHh5fu3mgWHmBkEl3ajddIUHGQX+0e8dT9ZHU6dGX3r678TJsI29zlvd
lH5WmbdHd/VDFs1DgFeD/dptPBad237nbIwWyv+IZr39s9v4LXvI1b38A+rCQHC88zbSK11m8zox
yXv0sJB9b/5AwjirUDBsnFhdSPexqFL3FGwUWaGDSBKNMJ47y4/IGSMhWlGH6lPhH5ONROtxKt7T
0nZ3TJX6o5RO8h5s7Fpi9wabQjzghQMS5+v7eiPd6HGsdw3w2+R1ZIdAfVXzzt3oOIBjeak3Yq7d
2Llpo+gwc0gOCf0Cd3B+GKVDnhBnwkPjMTyZNwYP3N1g9wPZbeHzEIkbdFA3ZA9w6hHXyFeT4yNS
G9g31QNvYYP93HQYzu0GAHYG/F9dd7EuQN183na+4YJIP541B4Aw2FDCqWUA6W14oTIBDR0LTl1u
8CHNAhH17uC+FBuZqKfOg4blfqT1nnXTbgBjkuds7z5ajtDfAMcF0jEpugYPo9o6ls6qnc0NiISN
br9QuIAhYK3oFOLR1SbzVm48JTbxv7s/EMuqm4z7euMuG7cdbxWva6dtVKZL+OoFRxlQzdYeq6u/
8Ztqnhl5lmlzQMrLLHDjPOdRja+G9CTiQz64mQb/mwUY6lAoXwDV08u8UaMdRlh7Ex0UkAbGxh0V
Zt1DmWKJyBaP/RODbuTyZ4h5c+9amf3ZWZKWSLYEcSY6/XbdCFYLqR4T9d6EPoFvJSGmv6VuBXod
+wKvJ61QH42plqOz0bFt4wHKIvwz4hl4VudHohW/xfRUW8xtBpxLkG2M3rHCgjmaNwZXBLRWonEj
cxt7XaKSaU7YbNyuuULwpsr0ztNG9WrdSlWV58lL/Qf0W4D/mtxp9+VGBI8bGzx2xkr1CC+MebI4
Jf/O3Zksx82kWfZV6gW8DJNj2EYgEBODk0RS4gZGSiLm2eEYnr4PlJXWlWXWbZbL7kWmpf0p/RwC
8OG7954bZ4a58zY/cV+25tk0ejviyP9z8nAd1wpzDxU2BOCwJFNojjnZ2HzKPD0fELYKhv3zeEk3
N7O9+ZpJkg57lG9cz/CojikBi/1gNPSare472l0+EozAJ80B2uQVydOo0h2e7s1PPSE7oZBsJut1
dUGdbc7rtaC/FrF0eEDQ66lAzvTF2Lza6ebatjKtrxKZ/xr/NXVPZvDdzfF5k/HfJGO83/VfG7i7
OcLHyRI7a3OJcyNxPgixsg/bRK2COelhquIrl1jvrr61BSoyyzokpXNnrc2Niqrsp+X6zwMGdZEN
SLqbZ91zRHuXbj52gaF93ZztLRZ3nGsc2zbXe8krjRMUJ/w86TEsBy6bcvPJ95tjXogJnyjYjzD5
66ffnPUGUcRPZ3Pbz8OcwdnGgl//NeP32PLjGAtQPk4THgs8+6TQHN4JlVS8Z6y+TauN8+Iaj4mZ
f2bWySG6elg8KxKj856Ik+tWhIAay91x34nmtvt0IE43UZVOdwtUj1Pawd/a1SITzxyn1wfbxyA0
teRdxHSQXoAipNEkDTxJcG10e0h7M450O2FBL62B2Nz0JoijHgyj2meocZtnSe7KlUtRkj8iLBAy
8URoW4W+ImXW59GV6W5UtXWCJf7N8bOHxSQJ10hNzMQuqvuxEPpxGrPkzYgxr4+WeOdQj2Mlkf7j
iJiGRllvjuEftfTOHWwLXE1WcJmc4MQg6wJIWH3z1jwyQZgcxeSdPRoSVSKMqxfwv+IlWdqDkbhZ
mCxdEyWTuMx28GXn+aO0ioKYJ+60ZU4+jIArizAn8z7PyHo4btah/Mlx1/f++ktp3AXkwujPcTHU
WGmHNVuiRhcGzgYrduWuwjMmu6X96q3iZ9rq5OCIyvqO8ziJjBIVUgH+ZTY946Ix0xNh4/K0WkL+
zNwMybLlZCq4/u+czrnqNvEPDQOfcjeyVuF3lNxc4/mc+14XJWvR3flQ7ualXy4eF+zeNp94ySIT
QReCI7fBnbfemz7NumNJJYCLxfnQWNo+L+vEjChOTA68mtzurDlzR26L/ZpDe/oV6Fi/SBM7RulM
09HDD3ZPBfA7yo1N00nikYmd7DORnC9ykSX80KBvcZM2/reijWGs0D+0H7DdXIU/iOOgiBXsDC8p
wljE8hnTtnOfBGP76G8G00TV5AT8tHpm5GYQewrcywhi9cbdxY26bmw5/ZfNFf/xgkcKa8g8DYrb
cC5eDJ1ae9lMU7QsObudWvFc7QxQMi/wbnMSV347/HH8ZaW0eOmssKfwce+xT3wWsfR2nlDOJagx
65XMRqDxjONjjmS6g78w/a5buylQrJzkyhUhuVUbcM5lhpJM+s4jqBQ5lXuSo2EQkje6s6GWNvJw
tzl5+k22jfO7mBx+sWzZ59KwqztCBdARB2c+xAaeQgZXJXHREtagYYv4YSYfcOo4ZIXEDHzmK37y
PoiVo55/hkF1na3l6np4vhwRuZ0Rgb7Z261EVOYmW2TjucvrUx/k1xEaw75bWbwnYadg+sqbbKd9
liz2pdGtg1lwHkK7tAmljuUd7lQn6oiwFON8wUvePi0kmLENuxgQqomqyGT5xfX2HBMCWymmM2a6
+NQ1UwnhHMKBLXCdPPnJuJCb7tzccAjc+9Q57AexXJXEzNjwIB9H2b+ZxXrTHo7dBhOca6DdLdQb
rZjI4kp9BFzn9qKgl9IacHjSLE2h6qkSzrlcVlqrPYOsSfArxfETpjkPMe9IlFVM0BBxgmPqJ4ex
mD478a7IaWa8o+Z889nKQhsL1K4Plmdow89+3EfuzG+SenkbnqNzl4/FSxGYZYRSz2jB48SVNFd/
KdtjVj8EC270ZpXHIcHZszRVv88HvFBqMaqwTvTv3rSm0J64IhuCgYVddqAtfRIznL+ZQlRnYcW/
Gh28SvdCnv1Wceze1TaZLWEQu8evQrHF1e7ynQbbwDxC2bwwLDKpx95YYott7dTaUSa/7hcnOzqJ
uVm0TiZ38RCAy/IQp+p3Os3XOVU6hMrvHijmfFWOfSiM8d2um2+NKn/j3v8CRn2YjPyU1kW3a3V/
7LE+MyDFg0fo/ClGYd2vwJnuhOG2ka05+I6aROyiyO8Y8EUTK0pHoAAdXUOHYfrrOx3snVtI/1vA
Z81tgNps1y4iGA8p49Udwe4OzGUS6TS7T2TCZomLxqNnj925fKkbMqVL270mnnXJ51DPrKfUKqun
mVBqbCZnhp3NxSRU+iDWZHojjX9ahd4H7adQ9ne91qIidJvdCd5kn4NOO/AxzeOp77vvraTO3FRE
patM4kwt83uKgXoCJrU8LWkCVpCnLvjRdngnhkpYX+Way/dyjnczXn7IDRdO+3yoDbHWhAQwMvy+
nNv7gseQuwWRQ1k6GOOYrdBZ23n9H23TNZ8QvSD1y1NuOU5kd956gCaB3pjVuLn6rA2Va37y011K
IW6VVi6EqkE/GLrwX5TvMvmtZuPeQ37jUATyrRNuz7xz7Ijz9eAiqnF4M4m7771Ab+5xM0rXsjlq
1YmrkD3W8zWobiRV3Be/MHCDum57tBqPNrP2ebFnvm3M+coPJRGkIbdo38CmlKsPrRjMBz7zXDy2
hrvcAVlAulB717Humzi7tNSWIJ/W2WXAobbo/OfSE5HNFZHoptAX/LWsTIsuomJKDmry7zP6a66D
Q14Ng5J540zi7uQ0mbwEc+SWzW3xxvfC0G7kzOuNxmE2PIoEaZ4uobGsU34eO/+RLYCo9Rpf1aQa
yBnd/ObEJveKbvpTjzlMCgglO7rCLoyzOej3YtrRqqo58vczHAP7xmD8WXUl/hZLubzOrcN7kv0o
NeO+tYK1VLl9/KAN7AXDMiRczgPWNuEMB/jcn2WWEXSwE36uklqSwE0igKrfnbJ6rQ2oEuA3v8hP
fbOa4pndMKzBY+54T8/wM+mnslzjpeQ53+Ea4z0uF6jnU8WmyzRqt058n22A+jGp9QnHMfabuvzA
VteyjC0iLHKXAwQFfgcjW61fVJYca27xDKvL/VTLo1HHl7poylCYLGGJ3yaHRLbVGyo9aVvHvAxS
4vsaW3Zhn4U1914tM6GMPJAXpKN9VwZ3qYV9GVFkPrcmorQHIGGTe5/1glywSnkrfe/AAhaTHU7d
3VLK7KBiD6GN2ePEjO3WN+5y0Jn1S1njKwejB/SO+NFb1ydLZldZOz+tvHNCknQnXUkr9P045lSS
m8fUNN6wt/pkUmvO5T7gxq4HMlj0zSsFkuNuTlPjZrs4NjnwlkeOnC3e7mq5DHa3eezHhQsdCRZP
yvE3aT7yGrymhFeHoPTPSy3yH2SZ1Q0U5Xj0mFESj1qJcOft4n3U1Wode9fRNbchmA4W1a8/xKrt
t5V44k66pMyJkUyw8QgS5MnY7BiIrwQcq+Dc92v7Yo28YzHtqNjB3LnAvuJxwFy0iRyTLwTxgkq+
VRSyOdEYZD/SXDEUWFmld+i3bsV/L8u929kLp+26fnE7532ch+pMUr+6dI0FB6NlEK8Xjsa1QLPz
E4vcJlbmO5E5zrkelRd6qvGeLANAtVE0xplVL/te0yAcccMT98G6sOt6ykOgByp6r2yrxnlviI8p
LtTTqIJ6rxwlv0TFna9YF2IjOQbtbkjqk5GUcgcAea0Js2JzID3VvWUadAyk3+LMy6gfeKEsyBVu
zLEOWAGWe6eKv5mSDvddCxPr4LZ19zxRnvc+Di6mu7Wn5jW1cp6yQTyj5q1Xn6sAPTPc6fu2lge7
AuDjFrEfgVwzjn4+CFjSWRl5pgfzGqZR+hQwyz9OPdpiMJvNlSjOTM5/cD/71vauJsnTC7/FDNC4
52HMBoVzIkTEi6htuzyM3co2PtcOSPHWJ1W3E3478xlbczQFdh914+Rfi2L2jX2lgRAPwsuIcM3e
SEijMB/8lDyh9nwhdnU86GuZSfenu1TGrU8gVS9alqEH/Qf+WCDgOpvD2apnj/2oiCPfsfIXJIqP
jtndE3L5hxRM/xrHE8cuSPuzjLGolwFE8illuSq62tk+QucACZCTXxO6dFPjaL5VnFAADjCii9dz
g2ih1UqenOu9u0Z0LPPNpt+JK6mdDykC+6n5W46ef+GQH4TCk+spE51/km3bHtF0DFRiaf+su5Ew
E2Ajo6bwUiQ2p0pmaeKxHlIVkA2s0gtNotmpF07wqzGaFlN2T70AslOkGms8un3apgcFCewF9c39
Zg6YaXLo45faQ9aq68R+Xg0mSZrxDIGvPgH+wXyB7R4gQ4UfufNm/TibE5qm1Xoow1b5FlDwBoYq
9u4NY05J8A32czwmLALllgvMwcKd1y0rWBMatP7GB9W8RQmrLVVY/A0YMuwnbEjJNaKd3DKI6G72
G0xy8zb7W0QRdzPXr2ZLLjpbhhFdgDijs5mEC9RDVOwt7+ih8j2CxmqeHUY2zAS2ZOTUOIQkMbEn
P6a/0UmHNeFb6uak4eTfcCXufoKW9pa5LLf05d9p+L8lDPw/Z0iTGFH+z0aYW0NWVf+rE2b7G/9w
wtjG5lv0tr5Q+iuA+P1z4G+5TPX5h4Ft4AaDGsdf+acN0v9PXC6BHwAnpgDI3Nwz/xz4y//k9slA
ZsNy/8NY828YYbBh/g9QJqQ5WAjUMjkbA5bG1f8x8O+8zhmz1MlCgqN3ApQbraUcqp7yohN6B52f
0Jnd8uzTfrkziFYeuJzpvccB+6EgD5mfmsw1hqgfM7/hIJAqi3GPZ7+ppAFR5uvfNvrkTqm8i6iq
5sbvJVxBhlm+GmSY903fXvGExz9yw0bMAv7/vKIJh2jhN+mK4Eg543AxBp9xRyW+rHaab6a7fGOQ
+5vZm7Yj1hYgLHWgmE6Zwwi9KO661bmkGfj41LHGlxXP/r0j4yH0EnsyHiXkhTo0E01iIDdiy4/8
bhKKq1BmpN+3/SaNJsOWJ+KvrHl9WX3XjQkLJvBJtNk5p+00mewqDLp48SJTB8YJHRdsXL2IcW8l
kititi5MP9xmuWmre1VLJfqjZS3xMztOsh70LONxnwrP2dXZnJ1NRmXxzs3dAdGuSx64yb1YVWq9
+cno3M3uwFRvCkz+z2RJdoldE5EyB5h1oz2mQBbQ2yf9URag9+GiGVzou9p7KHVVEqGaY/fAThE/
DGnVfoKwmJjvkXWcW9c5cROOHxJKzvWlh7n/IivUipNgHgqUzovn74Ew5dPglJy/lZTmLwO4U+gu
fDg7R3TDJeY+t6/7wsoPpRFwZh1HjNmy8so7tk9JUj5xCN12suco6uSHzm/1r1T2xTkfG876fV+/
M/cIdn4Ca2kne1KCFXSBq1YAV9K8Fw+qaN3xPAWxvqLfyB7h33mJt29+dN29gsc8chXgCtnDe3xe
gkfgvQkHr5rqyQJ3/ruF95DoYb5nFGrdCj0vnDho0savEWSnGWF3n282K3BHLIQUT4SUqVOhgmJx
0pDKUWk5Z3RDgbg7kPZT/TwQrGxwOFbjdW78t8RVKPlLMu6wbuEoqKdIUAAYyd4Jk265uVxlIZIR
4Wq8PIQbJI+BiOOwiGtO+aRgaq/c9ZyJnAVxyh8sQA/C5eJL8Bl+1x2PV2j3CONl4eVI05lJOhQr
O17LOJT1Suh9tbDs8DSQnlqOrWPLsHN0tLpkoSUdW5GOsSutzLlC3B3ZuU3yu4lbSVA8TWUtSe5z
4TUUZ1p7O5SD7VIXeMnJwbVHcVFYwHYkBL7JdOmPyE3dTo0lEKBgVic5l68I3XtHWeuOcuCNEelw
iREkZLNKLAwQhjYJZ3ebGZSErbC6bSeAhVlc8zAsTF/n+C5uSG82Wk0RlGq8UD1DNBByonwJjDp7
mZoyO09ODrjNfPEW0Gi6Q2Cv/YYXore2SC9J2dTOvtac0vLenz7X1iPNpvsXVEuivZ33tHjpjyTQ
5Y3qCp6Qam2xkvobJGqen1KObY8AQ5ZzQuWJXy5GlMEY/lQalwKKHyIicHE4ikKdOuEbr7BzeAPr
Wr5gWqtIGbUe5F2cQgOv2xcOVWO7u5nMBUc9A4lJDJq0qL6o95MsddQOmOemOLtfV151LvwyJuKZ
z06K3VCXLwtApAKQ2NCiZqLZPdS+HSqzuEOFju/cZcIhMVQSjCDjUpuIjD1aT6sW65NYBT3yU/Jn
nNrmUnI7OAkzc48l/D+cXpbbntrEW+7NrJw+bByJ1w5xsWzLFHhZC8gdcnZzy+j1RozhgX+Vrbul
PkRZfFMe9kA8vXNps/DYSZRXHN3tzjEPtAPkTzwoVrtblfWTnLZ/bni4D3SmOE9QETjtVqr1L6rs
29cWiAQLZcpSG6HwYPCp8OvufItBlQX+Z8CohpnjMPXck6eVWHnLuxEhXJhnZhucc9e55HFfcEA1
ZYOCrAb3I+H4FZGncbbcpjx5TZBCk8B3s+I4YcTH6Ds9DNIcScdXRLhUHFRHQ7f9odRzzMY3cgMr
POu+7YL2jjsHqSg0iedEC+eOW2h8QA4nI6qn5A4xpg8TaBctR2NhP2epx+YwT5kjQwUh/d1dVu+h
m0cAZ7IiMi6LGImUp43X8DYU/Y9pOeuS71y6/ck2azCgbnZjJvLYjF1z6A3+bFzq9YrbsXzwJ07Z
oo/p1rabuQhLHCroo04V+qNrhVaSuyqqeVYVWeS+A79Wx4m4gEltHsvElBHp9PhxHVjPMruGpmGH
1gidwHabu6yTPKsV3Ds9l4fewboFhDpi6hnaegqB3LPdCTJa0koOS6rtA3a7+S62ujyqxxEwRU4V
hzAJjYOmfI5d9h1Pfsvm5DPzF3uPYiZOgxf0RzljYzJXqRl9LnkAoDq1HgObR29J23so24+2EbQX
u3TUeZyF8y0vu6+hMBlimM1dK3Tza1lHquqAvu3H/N7zOWl3Dd4/yZP33Al+aMhx67dac+tdGdvd
JXUtIm+wUHvcvLrDNmY81m6VXwgJjmf4/fXBqpLuIa+r9lGUkOe8oTI/Tb9zd00d68hosOsEuXPL
wAYE9dL8tMwuPbmDw/M4Wq+9WAnaNy37V5aDfxocySuRxieQ9StrS9s9dWOffGOIl7wu8/A1Zmw0
1kQ32NxM8X3WFgyhuDHuumqcdsp1nzVt9/wrRyD8npEdXUUkKrBldbZyubWZ5zm3JdFfOjUZeyh4
w62W6Z1dTWTDDNre7TT9gIPXfveI0T0VxdReXdxuvPz1ekZM5cwEXPFmy5HRMqvhhYgpLlEtYqpU
FpM1e7b8u9hp211rzJeGwcEd9hV44PCTzy5XtzN4nfLXMFn0QCF0Y0qbXtrGe80T2oLIbF2gCJm8
akH96Ol4PmRqm/KltfcyTcH0gG7mP6Rl/WL6JBM8m+G5s3KZY19/FkvMRCnRzakxgubas6588xne
b0w92HRkByExMdKlD2D1sp9A1QTGBF4PecyWrL1yj4OLrcARy6WQTE8Yj15bM6uaUPXFxHW+LtvQ
dZvyo5C0NYVNH3ys4Op+mJOR3Xxr9aczVHZ9EHa5fkz4YfGDLsP4zjhOPtNXzNun5ua1woL9uIy4
Rd1UDhcpvZdFAUC02c6vJJy6rT3TeAo6c1E4IlPOl0x3f05uqr+A/daHMV8MjIEr+2kbiOJ+Havu
tPrz9AWEUj9rs/auRQfskHKD5UBpV/W78sbugsicfpFt/pPDZSZ16jJXxu4acQtUd0Yyuc/KlgpD
IDyRZcCuF2JVxx3a2XGyLxthnRZHE8ddufbdFLZBEbql9L7n5faB5xOroAHSBVdwTQ0tmKuoRmgD
BCH7jgVV5Pk5lj6jfSXtizek93M29id4thAqF7ZuBtNr1OrCvl/7zvpVuKA0lN1U32u1Dl+8JDh7
HXyKUdZhlOFkGTgXt5/BIHJ/peLoj5Iszk1pu6+qw+3G89dCiVCfuUeL+JxwXsg9uDHCcpuwEw0E
LOwrLy00xgg596e3cUAsMxhRE3WYAPNINMgCxziTKblIF1St33jxMbWG9tjSpVSvxV014llIFmP4
Xo/Jt45yJbdJb2x4XD4sByEzCwnx32lPg2lE/Ja/KQuGycTtGmhybMa/1jh1j3M9PELhHxkRrB/w
4O6zciAoVltD1ObCiBzOlfvJwIvfEZtljssZ2/IOgwPRqqKkrV2zcz3oW5/b7dH3xuTgs5ngPKp/
k2zEu9+doT43L9w+koNglPsqEH2gmsIyNhbrAjauDstpNR9incSY640yTL0lf4NKgqacBUOEcBWc
MiLKIfhCNCN7/rQ9kTP+Bt3ByYf5pCz5VlbzFwwhLF1mECJmoniPrjr6DpP0eTp0YFkig0MHg2Yc
Fl5aXGAwfpl5e+lSrBUxdwn6zPBKpWsXn5fJpEcvSPqwKnR5UQVgGzXFwWVspyQqKJVhXWOos641
7eAWM9jSmzLsK+IiZp5yuyD9rZn13SWNIL0gkXQKo/80UzrrTCbtEsPwod9gM9YKKbAbbb3vPC4u
c+XD1G4XtJ1FTR+Gaea3Crj4AwvyW626fkNvxkc6NzlwLUxavcU5rWszh/wh9vWSij/NKfmu5XeO
YqfISwOE8xFgIcbMj+PgB1vG6HuZWibPdYDiCbnGHvdEUc4Al1J61nKy9jimFKtKYAv3zsQhz0VM
IzpgHtr1SYK/A5Y4zCj6MaZVsIw240aiQW5tg/pTdABPDQCWoTfX/h3VH/GD7y8/fTAukBvnixdP
+IPsAzs/3k6wd/1wInaAXboCq4IfpDnGjrtfsRQdpDBhpzlGd5o5+WPgDfoTOsCLYxNkrjoxnQLK
cP0gTV9KUZTvQXIjc25uaYbJ5yvhgKmLBRaeO1h7+pfJQATxM1u9jkgS3DEXO81Dq9lv4G0nfCTE
sAkTiEOHT1Ca9Yvscna6JMMB2HWnxuPEZkwjHTMB7m7+nGVWZHGKJeoL+7XMyX2rfCrOSTeNVzHC
6IsVZX1uYbE3ctDwQPQU2M1mL4+o7ksPmC9q0sQMpisYZnUikDU57cdVfOr1gPk4Vnk41LU6UDl/
yaZ8CAUYGhIQfRF2i1VGQowp1PqR9JzDN8/Kf7aslOpHVRMMwVlBJauEGj50xOuAvFhm/Yg4S4fE
usE7KgXzLB/ikysDxfpNSsJaGo6dHkfm9cD4ejnn818SFOyDTOS/59R+HJyoGtz8MZHIoRPzvlMx
qB99a4q9XdnvHT9bCOCZYAOrw11QPYz6z8SVlcmEnPhtm+cgR5DGH8MZ+0fh6nnvVu9F3jaYOnBo
lhPDHPCqRu3+blT1LjxL81e4EFvVSPFdZ+0brhIFfeiLvE1jcJ/57ps9+59xEmSHZRjKsJTuVW1w
CJ3Pt2mJ532Apr1zCfUIjidcvPv1bLe8laLN+z37Or611JivuTmrSJcdQrLltxhFK24SI+6INSGM
C65pYTDdQyIZMVBzva2uqWHgvpfqScER3OdK35ur+ulZaBdBR04hrpk5+0BtSSsxXcqwERkIL0WT
DXupIVLgYor4LaDPMD4Z0yI5lP56Xl15KJzAOXmmUowRSC8MXQrp1E/NU9o0jFm9RXGZdfUP3oj7
DPx/g3arLAT6yQpWDpatjaDse0xtVHeIdQ16rBqupXr1g6IItR6mR4vxFSsecUhnkwBiOqS7FPHO
6Jb1jGQvdp1VNVezmhl2p4JDzdBzX2lFEWB9FRLPA15XY0Bm7qgVJFcRzqJ71OnwULXTQ1KOXP7Y
PX3AKxgmpn0ce9Mli7sk9Kb578TuqmGaVMEI3jBh+aWt8jstCLeUsc0OE9QYQkEWu3Xplr1KTf+Q
GmuG3yMLMIvNyzMyyUNJRSS/vlM6+O0nTZYQwLulvo2MfE5C5F+qobQ474z80q0M8QO5MpwQ/DQt
9ywsPcFXXayMgMr6l04nrhg5v6tMOeJiIudf8Ceh2w/il0lT8H516LT0GrIg9Ub2zBqss42JAyOT
K/QQ1xwOQLA4+WdqfohXIwiDiYwpl40CCDzyid3Z3/iaT74/RksRqxs6n2DkkehDLDAzVHPewlmx
vnttfJtK9u1G/oq7ASKzeAZfm546lT3LaWDkaJTPPcCSq1Uu56VKnvympjiyQnxXfYRn4BX19LdR
UR9nlo0d9ivF8KWmasJp+/pgOwCPY5w0m0UjbIY3qqqcCGHp2+y2Q7i61WPnL58lkiFovXofK9fY
p6lVo/6R5zFNtlI5EPqyySyt90013yUAUQejvnTO9OFX7ATrMunjksz6kBLx3et0rMLCWeuoqlkT
LC69u2DdOjVFfXQs8TikPrFZS/Ck50xkJtjhm+WJOFvOKrUHFco4aVy+dMdoA/RWjaQ/fSxlvJl8
CK/0mU2wHRr12HEssuZ4BRe+kKT07eWU+dRDjzr5KO0ymtKt6sPpLn1vH9vcIj/h4I2e48Hbj5tg
VxnJE9msjUAjfuI6eidQ+sjYGTKwV2ahBqld0U20+Mnma6MAMVdPQulXhg5kGclR0SgKcg2+Ei+r
izhPqpBdaC3iY7HUD0pjrPDelqb5Ih7FErNBgeO0egSdRpO25ZWPVuCKyDbLDscos5SVglNmwBgN
F/joLWFEd8C75i4mFwjulGlP9lr0VyNTt7HEtGsW3Z/ZUq9JP1CoYn0sVTHguQOZETsWQ8DMO6Gv
M7hjzAUsuupCMlHrXkNdImP5vgEZSXryc4zecwHYb6+9FgVuXtsQh4ACosO5sfSYTsYIcVTxAhdv
2Lr8XJ6xEs771eyfCX8SrTK65NBsXh2SYt8IXlFLWVvNYVnccSdUrplgopnNJmNfLPnImLEA9lR2
L2Iy3guHbpgYBuT30m5fuZMFYUviD7tmft814luzOu9K1b88qO6JCQXHtdHIAHhvzOCNMQRFBNnS
+020ftr5qsUmBa6jn6oHd1FlOG82RwbS2R5m7RMFJ2TpEisGW14dMZ1diGEyAHWhXWq+HBVW+bKb
nDnBtLuYmLfh3bhNYUAKEglPvJ/tBrHV4XXitxM3Hn22ssLgN4+46PAau1To7HXNsCS11FthOezw
Ntdubj5W2305goCkSskfDXA/9xVdvrvEEKeRQSmXRZa7wAqdRMEd8k1zi8/ZuNXIboIfx8GzBB3z
W/HlUbsOXfMPsizbhPkYz8W598aPxF+mjVP2mnlQuhwbLEte73qRnsYZUW3glVvNbqaoYwInxDb/
UGBEO0mfGhujzvHxa95hj87jKDXgOAYMqLCsN3IvFzqOvbl4ZiSBeZX1xmnPJFTd13Tsr1yxPrk7
T8fMuNOzPuJ/fNxASHOx4NvUyTYdji8zB+eh/LOY2S+SW5Ro6x8jPl6z+8is4M2vxnf8n+5rpfom
9LzVu5gGewytHmfVpTkyNcHNdBmLI8B0YprSscPBq08mwM5Zua/Scj6VMl+LfEhPyEfg8lBvV/Jt
ovnjc35qydcmdlmEVr+8Q3KFNpNbP7go4jWYLQmmlvQTM6wiVGBj9jz74eTal8Ftf7VseWFgFfPF
R7Q6FqYlqSibgJ3HgTy55kQYQ7cwCjjldVX/tIyC8Xv53Z/sJ78VP6SNj6MtRHOwDIUO0XLMwTnw
OzXA68Va8DmM737TaODA8BEMH7Qb1P/ikFKFyAdIk9K8+jAahdNfmZ5f5zK4OnZwRy7O3GfeCjEE
b4/VpMGu8dgDKw8TIDCo7o+3TjNVJTTU9q58oAybxuq4eJpHhfTiAPEek+9N7DxWo/M458kjB7z5
oAcDUXZaT3UlH1QDoLUm0b0bjNZhk3GXXTap6uRzlKBmc8BLmnEGI9P3pEecABUeDntK83DMwJ4C
3eThAo6Qt0ERpoOH282FiGT4Q/CcMo1gjD01D43RoXQihv5biu//p4AE4/8KKjn9+eh//8d5KD/q
3/+x/ef2K2zqj/Kf/2z4F3bC9u/6h2Ls2f/pBTjS6Wy0yPn+FYb/kRHzSI/5PE8uw6r/En//KRkL
aW1cBRtcmi1tRN2tPPO/NGMh7f+EtxAAV3BQjjfqwb+TEvvX4jxfOnjzATvYAdo0ySRvU5T/W0QM
UwiyQ1WJs2ByGOGNdw+9pyloqPvDFGP1G+WCVjO+/DdR/b9YKv+9GM3ZmAz/m9nA15UBMTg8ePxq
TA9Sy79+3UDhrGrQhy/UPPSPrTFQXQGLuXmTblB9bBD05wZ7GJYXhKuzcmY2TBAVJscOl1e4bqi3
cFrzmmP9T/aGY5pXioZKE3640fwgspGkyIocxexxZHw+tnN+W8ZMf6XuZHxfSNx8iXyEqPi/2DuP
XcmxLMv+SqFG3UAzQC0GPaE0s2fqaTEhnnCn1ppfX4ueysOzKqJy1g0UEIn0CHd/RjMj773nnL3X
xnniIC1bvFTKhpNeS9Fn2RaPrYqN3oG0J5j2msjCyyKUyTW3kqAsAY3mukLg2IhPgHOBiIoEcFAo
XjjopH/5pP7nift3SeNm/CMlRvn+Wf3usdr+wl8fq994csCRGHA1MEpKCuF+f32sfuNZE5EN4T3+
obf4BxVI5VnUJGy0BlSSHw/j35+q7bdklcdANNS/AoP+BSUGCKLf3d6bpAMqFvmBpK1boirLv0Re
GzGttHCEVNjItwxSwCLf3GousHo/dlJ33KFFdclIsqN7zDqHySvdIkgCKMqLv3LamRb75inC8VxU
TqAEvTfiSHuZW/sw+HHhpv70gg/sMHr9YYp2CL6JF6I+7M5PhLPYxQ4nm2f6a3uEKYis28NCIBdP
IoZFxPy9TXVJaWAXp1G7qxN75MIWZ/ZH15S82SdOIHrT3MG5HbiKWx4Pz3LzIN7rXhwkbmbjk7hV
JgfR7sBDZw/202DHR/Es3+Z7kbdDJ8WXD/VRD+SgdrXXG8HN+SHkkj6ru/aQe/JH4ofesHuCcHKv
2JjjeQVaOMYFgatyDH2Ykolhi3fjq3wanMG+DZ3Oky56Zmv20+H26cmyTzfbvyxOe8z3nfemOkhJ
7fbYHmlyHzL8LPYN5Eb7xX94iOwPvItHTJJecYcx1c6eGsJZkekxuroRA+Y0fB0kyZK4PjzFfklH
jp9t2G+J/cBnZaf73u35b7NrfFo2KAjwkvZH+6q42V3vsnAdCzs6gw91kkfsSHcoeJMgZWkYYDcY
pKcpt83nGoj7etffbCNvRiyKj61M4+8dtdvkGjl10O0GW7r0K4NnpMCFJ18Yig7dgX908zIZ1/Zl
9XPXdJMjWW5+/DR7iEZd/S0nGAjAE0WriyiGo/d0bdw8JwDCFjonu60/1ImJpj18qy8soOo3zW9u
hwA2jtt/Us+0mX2DzhpcjLZ/m4n7EhwJ+znfNWXB+m08aWRlBJuJP6An81xSlWPge8S7A7TSOGEv
lr32jTZ+7mbxfia6aX8t4/1rO+/j7wOl6EBWm536yLRvxD0WgGP7urxNDIQZrSGToKZtdoRQQcXi
mEjmS9AQD3fsRG8cn1cMnvnZuk1twaV9/lyf4qN8Uu7b4xQMj7pxFT6sj2oVXdFMMH/alBX8Qjxk
59gVLmhUnVQ4TZMnAs1kwgt63Ic6iEeOX7cy1ZmNYn06GnuKIXgbUoxvH+s9/cqT0mEsIx3OHr4j
E6AmwmgBALd+GN6hkGvH/kLHu62gvRzAQVTxTnHDQ3xN9+kRkdTwPbzlR7ofyFjt6/V44PobR7xv
XIEloJptDAjxC2Vb/YDwQ2GmStPqu/6mn2iTBXTbTQS1juAph8wXuMHoSJKzpn1CNeEekAKXnmjs
FE6I2wxTs92PNlkmAhrmF+66RrOTZ+ma0TZ7dZFshPfiZ+rbyHptTDI7FT+wM7r087VP3hiMDj/2
B/+67GTLdqLsBlwBnw7AHaYtZ+USPhJT4G5PsKg8Ls9x5sIo6j64LsrF0qlfNNYNwxlfGLlfo5v5
S8dL8E34gMrMsZuGTkdy8rzTgjJ6bqjblge6INJuOZW+6viLt+m57X6/uhfckzcfADpPPDbJTfqV
nfUDzmf9HY2XnX0LSYSnseyYr/kH/bZ2J79eo5P1DuJii2S5ynfKNbHIE9uP8uu67HtHulVO8qt5
rFtidyp7GuxPcS+tJ/PirY4RmC+EcZ7wTTl4dT/k6165CwxHOsfflbN5JQjBW+6Vw7nZo43zIYGL
0Z2R7Znjq08qCdBBe67hR+wyl2XZe3+Pd3RIrb1o38e76npIPcV59mo7ts+L62m3iBU+Ge27kQM1
/8ivbNFVX8r3V4XFnKkXjTm/9wZ38uN3hlg2xZMtObMHBH+nOas3Hc+yLzlnKtAn8JfqZT3wFuxk
dKBOH1Hqe+al2ov8ESzUdm2PDo6PyLb4M4jvdDs/a4fJ5YL45/koOcjXK4RxNnHFKjL4k/6a7VWQ
Jd/xW/LL/PurEfy4inP/RN+EfmhAnOqT4Q2si3geUKwcm+PkoxiA9oIh+XsqHzoXtzejBfwHvm7T
p9jeU7Hnl0eY4TnLDFsV6SuaTTOycBGiScGw+ISStDbTkyDXfCF3cXvO3J7iSf2MaKrUmk9o11UL
XoE58R7wrGLggZgXcFe6RoDv0H1X3h9TOz3cO7vvAmJ1V74hQNJ/xEFP98ZBj6S9I3Hft+ybxkk6
ZwxTr0zi3MFv3MZVgu1/vSfcGnCB3thjuXyScmU7eiAnrXA6K+iOXJT5wgnwPB1R0+iYKuwY8PPb
gpP9ayO8Q7AirVK9hN6t5TKvHeycALnLGO1UnK/shzmXDPVFoWo0/VrYKeMO21Mvgp+B0S/Y/3rJ
9sAktip+zYL+HVgy+FZtecvdr39oO6j+PWX6/5HAaB3d7R8cHN/z/vcC3u3P/+XcKKm/acyKFUvl
mCdvxLq/nRv5HTiSlCXUaJYMoeMfcdGKDsqOGs0yZE5zKFc57f21GlO030xRlzWYqJpsKKpi/ivF
GC/1y7lRBnykKLpqMHPVRPiovy+LxCkqhCgTKCpAeiVIreRJZV6CJEAfbktIHsny3ivKVcrfEbeZ
w+NQBT3tB32Jb6FMEJ3AqDU90sL2uu4exwXBCzuQGJxVdwrGeGAdXtRUTpvmbrjuTOl2lfFcaS9r
fSIhx9leeqof5DlAmOaMN0L9ibHcEjyJLK5Hfb4V88BouddA3xhOPJc0LunR1zYifFb6EGD5bm3y
gD1V35QJoKEr/pORiwQ1702yE1tgXxRMCEW/5UXqogWxxe5aR8yO1W9qdcVcbidMcEdkqVn9fZ1Y
JayXZetBFs0H/txLL+LRpfmrZviYol2rKSesZz7xfgyGX8zsw9AYL1SRY7B1w4XYAl1cQsaqyfJa
tEti9inX5MVp96iFg3h8Z5D6pGHrnMPJ1xZEK8pU7YrwCaCyL9WRX1TEcTZst6jjpFnaCxA9IxIQ
Jmn0q2ibz3IqBoo+VYsrzd/nCXImUx/jdkneVCIv4hnlz+sQ3cTMdTQDpACxc0t7LtjxFYs8CpqR
U/jJOlMstHzkXS5+k9ZPE8qS9S7pKOMYAksFAuPlY0NOMWW9whZ6IDGHbLCdRqQFaWiBSMTZbLzg
3NovQkPJOyFGEGymbbTDSIsgYbSKPbp+HdAIqwRdvmYBbfnLvG21asO0avZBjBO1SZzp2DAOG7y2
Hj0DI6JCsUJIpEQTWswnL0bONwkQmczGi5v3ktwf+vk2UjlHvJnG+JDEHfREfCxMvMclualF2YFf
rWyz1S86bDgvIkSyk4ssbDZJf27fRHS6cpU7pYa/gl0UFDbfrxLMGC11LfeIy6NTjTyaH0W0GAbx
QKhEdyaoAsfEUS+QE0eIGHGH1yWcU/NS95qjGKTvoo6S80OkP43jK3ALu8hPeRfyRrkGnoTtFSPt
TRqIcdtQFeVrtm122LpEZZ8mnwbiiLpdSKad3YanzWRWGDWrO7IvrajglxCHOIbprsGundDhi7cp
9eYLBFsoEcvbz26pfBZZQvMPWsNcLrjTSHKmKdzMEue22aWLyCj5qqMGFOj4Svd1Nl+K0P1pJfxP
+i4GjaOf+i4sYNsCg3UB+BDgTHFjMv/c76FnKgPCTwZbzr8nFCdd8ZhxEp9CpiOE18jXSIGNiPxq
bc2j2qT7xSg8aYy9ep19IZxgaofkENf+CIt+jBBV0+YMYx+eEX8NOp30Uc53K7Ar0+2/MRxDt8rA
r3EkC7Xmwjy+8ifCHdrMsuXxporv1savDAEwHopBUPnqZkpU3tBSyApmS/HJ2jq8PM06vKvR5Bmn
ZbsedfUrZmSTlsKN3t00KMHyjgj0d8VCOh4j+QTS8IB9D7QQkh5NtyFqdPFdAYtFm4M//lAltpM/
/FB/aaINBpMigDrIE/NHsc+uapW6cY2tfyZKp3xbyCspxRcmMKsZSAuZ5U3xJ9/rBjT+p0tQFeAh
W8+D7uAvDYdyFASTxLHBziQDvw+DjdjB5B911zx2U/2DYWvRkZVneGSmU/1oxJ7o+1J4aYz9TMQg
4bOsS/KTmBx56oVlP2s3kRnkKO71hIHIrhaZPA2XP/7kfvGrbHcj2CyRe3G7ctqjv78bJe4YXLs5
o1lGZ0yWBpGJsUFSzfonn8/v25w/bvuNz4VVRebjkaxfv6FogPI/0bLjKZOpoYnZihxzDojDiZo/
e60fTdN/NDd5NWjQFkMiUkx1VUO48/u3NTH7wYwfD3YjHM1SvzNCaZ900y4iNm/UyQgn/6lEGCCl
ystUg2vSlEDSiAP2NMid2XTKSV/uS1o02ZI+MhFkNEnoK3OnJS+exYjYJPb5WKAfQmhTjvE+jZCe
K08xD++U9F/o2j3Wf8dCW0bgvSNuq/mAEjA6T92nhLsf3vOVZJfOnE4z5Kz5ooq3jTl4CtVgtNy2
cDoA/7qYjRcNSY9CagUPJrRPppUUhQyLRFCMcBzexkLZV+J8nPMtm4ylZJoBeOU7OXrKqS+HuNnX
7ZaZI+yi3IN3VwjXKOsObRyYzI65K0hCmxFYn8ECyRU4soLZloRlmQ3RbFqnDx/EfJ+YQBr7nVHe
QrtkVa/9KelsyeiwWbBivI5R60/1s6A9bdswg6ZAo07FAq4ghQiLdYfPkZH1fW2QNgZmahFP00yx
vHxJ4jEzG1ffDvLCw5Ki48u/FrM4kA+Hle6wDMxFre+m9GXwEZCoLGAJmMp3oPOYPS+GdJcWl7Hf
4WbMemzMEksVUcTCc5SNSEN+7ABF9dwP5DGYmiNKTNuF2unkI/FRZF0hqaNnVwl2bg5AipZgVRZX
j2tGzPgAObT1Jq7O2e3Qr4kQIgWcLSpll0oQpm7hKQeGuCp7vOUPZk42DxNLG3uoqyL0zg11RxaL
2/UpsRK7hTevZPWGKoLyNnBLfcoNz30u3awUUJLi4J+JIabmspOGUmAsn2ncuCkHHoXnZGP+ROx9
A16O6JhHFtFb9Es4m/FyZQzUrFUhoIe21T5l4HYn/SB3QamAutLskoYLo0gSHr1xaHaGfoW4wFJu
7LYtVZl+SDmYIbNyo1wWhdKBWkLP/6wlX6Bwb+fMC3HtSGlPkA4K/Mwv5BdTWvELo50eop0yqwE4
H2fEa2RyeFzig5Zae6xLMMV0G6AQXhq0n9gGyu5ulbX7XHkctfGkqAO9R/0gQSCLHs0Y87GpoA9T
CEfyUjRkmYyyL7wDORCYwpXkFkcaUIB/IsHj9AUbQExtVTxgm3ZJ+yWx0Z/M7gBhgDNM6spQLied
84iOMlu+K1W8CfW0l2idyPX3Stzp/V3dQr1SEIGRlQnWc2KImKFRtqKXBPkJTAecOeQuV/I+tq4c
/ybzG3oTB1cFOj0gDGyR0lNjXgZNcjHZKpy4CoVNvLDYqIUHLXke5gdREfeCybczxZhTsVCMkSOV
vdPKl1AUPAOp29B9ChXfl/oC28qJrdhdpukQh9H9dqREVOcN1gZERd0Vj35cf5bdc53VEKXZM7KL
qot+P7yKSfyIFdVdGXnqKBk43yndTgiBLmC6fxoNdso2hhWDA5CjprY48FlxG8DVQFRY+pAvyWgQ
7WqT3Rc6UkeDW/WakyurEOOmLHh56UoMz4Z8ilhmu/EZ04utJtyXsDWJx/JUABpICNxFfqnEQycg
xeSZh55F6GVJvy0Uel+Rr9IuQzOFuUmOnxohPkSQZ5Yqe7LIK2L8ReIkETYcPgYpvxjIc/Vm8WF9
BU0BggutobLQTxtUt4hhIuQkdOaQeMPu0kimE+nzLrUI+9b3Ssu5RS84hPAY0yptFx+t3J5vC3vJ
05A+SuX3krOSQCKFpuPNENV9uHB2Sp86oONrJbnpfT5/aZQ9DTEWcwHhe7kTBD3ol/UQF7RNyAwU
4/ZW6O4a4uRCmTMvM2O9VR092SXrBMGURgbiPLlc7FWZPbO8Z2vopNjGDPggTjdxy11K1pR5Q8qF
NNEI5lL6qkdrfs0m/OXUKxGpjTrJPQLSKFPDNad9AjF0TInHViQmgLuVRsYy1x5ceAQFgs+NBJCj
dSIJcxX7UEZla7Y54Ag0isazttwXKtgdopQILDuk5peEUI8lbwilG7baIGLEENMoByfxYa6H0dpN
Kk0cDcCHfBP2j5m4GyY6T22QjbtRfJ0YzyGabxJ6Rka519QLdOAZP9Z02wpuMu4iErdCWJFHZb5H
4tiEO5JYeQdHo63BGRcO46VdRwu6E75180tI7cXZx8Jgj9uQteCmzjQ71YOpeVvLp3p7nSI/w4p6
E0I641rzppuWQxyhkz41VUcmEc4P8Gnd/NAa0TFZKCS4aS0RoUlKyy8SnYEMQAIYiMBxjDpylto4
C9TfSEr8NV6BOFVvZrLLRtkV5gYyCd7M1VepYTMvEucHqdpX+nnMXkfjTZLzR6klmlv6Tt6uvSDb
Tyt3ibEaztynDKBiQCAihUksu+sbZkkCAH3aqiEFUZzsFfSxQkiUd2cPyGtxIy0icxaDBTxjJcJC
b92SF+amK40zyXDR0trwop156FBcYTrDMYB8U2KTQflGULLfbMILWvuxdGhZTLU6KHplN0qPq6Xe
ypXmzWbMw4IGpR2JZLc258Rzw1JP0pa/UF7F9T05mMOALBC+fR7WRym/xxts9+gzzCn2yGajuD8r
Jn2S5jGcvwnCcu4UkEgMPmQMLUuXfUfcazc9VjaivyyPrgRfzKug4Ga2LK9MePDy2enF8mShqify
Be7vgNKCcv4BsKSDNYT2wgBOjnqF27rWiZuZ0aTx/s2F+igGVKWiYBZ7iDxRMJTpQ1LBaGLwQpDq
YW15rHusumPoAR3wdBHTHapYAichAxR8Plg/AffACilYR/h0Fd6hhjSoWcuTTDiwHpPMxRaTj8xj
iLRNwQBXFnAoEXFyeuhFODD1wggGWS9KUqWCTsnmS9hhRhwuPfMFNlEhzmeBZzmmr9KH35u5cDs5
B9SETtC4ztah1lvbVDZzKO9FcaDIBBh+XYOWTyZrQdFKJFFp9lqsR4WKXwjTb6OoQbU3kRbWQctU
SO1yvxDNc7ydUpTukiYzwyLRTdSdtBT+AjWcvHpHF+uTGlUuShmKdoLsh6c5RAnapZ4ecqcyDyIN
WU/nc05CrZkVp7q/FBnHj6L15q1qnct3/JnnoY32qLwJxYoBCgJiL4avjiVz1PMDDvJ9BEPHVCfK
VWLQm+u6gJQCyJ7q697iIIq+xwRkY+jFlwIEfmTZb0qJpstbN8++PBPRyvcI3t4NgYotheTgiPQB
F9kmOrVR8FmMe/FGEVfUvDOSwsRX9dfCvMeM54wR21/5wt2sho60iIEK4QIsi5sJuovazs3Dt07i
ZCIUO3WhVK5Wd6qeWnn1MXHDH3pcy0eKArnufHHVfAQLrGF+W79HOa35ccN8vUSEUw4qaS/pS2S+
FBlHSmSk03JS5gohUZdfhKk9T8yz1r4JEnkKaMJpan6Ar+IWZXL3o6r7lyQL/42O839PR/T/U196
KwT/6770+Vsff2s3AdHvxULb3/qbqkGWDQtJkKgZkmxSQv6tO638hkpI08StWAYQbWn0bf4WtKL8
pm2/w19UtS3q6B9aIU1E8KBYJHYpJs1tTFf/Unf6l96RiIZJRQFvmcig+XFb3tLPvSNEgd0MUZoO
S91QKHUaPd+ebiwIQATXrpH1SC8zteu9zojjIFXFtPAEo91kbLKCZHUeaD9O8sHUQ+t1TefyuZnn
HD97T7SBv5ZxttUXVvigKsQmWLWISJaSxf/pU/9PemDbZf5UnW9vQ+PDoLkOvl/5J22GqBINr5it
SSW7Kn6tjD0S4Uil7Rv1QKfyormrMG3vJsHK9uIqis4fv76y9WL+6QJMUdaZGfyAhP/+c8RPA91v
WhiChXl6bFMxO/VTQhXbN31qh+HGgOiiMTzUmSnsDCLlyVAS7nNAzPuyZlS6thi2rJXKDufAOmbN
RbbmLpjaxgpqsyNxgnxM1as6yEtxWQs47hXBSVTdek2HblVPaiuleKcMdn7tBzTgx0ddrOOfvFVp
m1f88lbh+zM8MZCO0nn5pd1YRgbu6qwhxC/J6rsMPsO5m0Wt89e1tnQ/Jtz3PJkWZBrQRyayxXrm
AEastuLkmJUg8Ez5uwG8sAUIqVgAGwnjoHSJtEEj2TFNueP++NuRxO2afn/Nukm7kvgdRDw0OXgI
f77NJ0Udc6knsqGHrneWpPkbwIqVXrqieuhVx5sCj++ht+Z7eVbXnVFMlOhRr30sxUgjQJnLHOkg
+6U0x00Qon6vz6AWhhs1k6bHNU7Mzwhwde9Va5ugvGmL5hGJP/U/obQHgjQGX9FL8WqSQ5BiiAn4
GhtfKID3lXVHPzzJmo9s7tuTBDkKQbSyfK8US7hrpAKrW4JJMgxrHO9CJzBSVKnsxjlzpDbrbmrc
2hdzKaG+DlN5b2ij9VWF62ObmesTJvUSU2FZPglGzlCUPBPg36CMk4jCLRyaBb9BmW/9k6pkVyzm
A7u0fq6XujtVa1leWrkhLimEaAbcIjxq0oqXyMru4Lx357BPpsytjKL2szaf7hVFSBGvCuEWDQrS
iCMFopxxmU6GQd9MZjIQdWtyntPuMuYWVjINiQ45R9YgvqL8jmkcwVpzOU3RzigFuffU3BJvpYTE
cs4GI9bNmcCcYjZTysQIhzB2AJLvUWpMekV8cdPSkzCz+tmEJu3TmeuvjdFlG87yAEsLMeFcVN6f
3F+/Lj/S1u5EEYpwk0kjFfHvb69aj5K50uCWQ7qeGHjPJMJqVTc2AVOpFr2MLO4IKGREnCYLGuis
PS268dwLssD0LBtxLcywRHAAq7iJdCVi2G5VyW7cnn7ZKDpE2oZ0/JOr/qW/TL6djFCVZia4H/BC
m97u54cCQL9iGBUt+KIWRDeFb08bgc6TLOIkwjbyaBTJ+E0KxymATaDg9l4I7SQI/PWPL+TXBWW7
DpXASTLHEJDqWxDlz9cxK0IVrwazAjTxzYMF+spNjSZx42GRfLlt9AdUof2ffWf//KpsFoahojRU
UavK26fzk0pWlPRIFgaMVcUi4/eMx6l5UY02+hwyhQpCL6JywnDEUS3LKgsTBHgIaMXDEL6ODb65
nqjx12bouqNg0YqqFcm80ZvZZW5JeffHnxCiV67m5wVMgjS1bW863mf669v54uerbScDJJ/QIl1i
gunAX7tw8YQt13SHMxmXtBUjIGobEDakaTFAHvUbIMdRRSoQpRhcD4nGlfwO9KUCr5STMiyTK6W3
chIIWk7mPbHmH6Ui7LAtJ4dx7LFJaeWzsjRoGCSCDJKyC+91XUb00RRigBn0sRUi2p2rGS6BCpjY
DaPavCeCmB7iFBGFTL8BK0JvDGdT5F8czDwyTCRBDawoP85YP2xBpZU3L7Q312YcnjGw4wFTaYhp
EmSWdgjFkDBFHeGjuMZviWUsh0o3zSCt0tbrrCj0syhrVyeigAHn0+j3HQbOndDEWIwgAaAR0Vt4
ICU7M+7BV40iKSbFmR++ppL+AqqVwVZTpXT7lmw6lgLzVQeg6qGd5PaqaU132wvl+KVGhLSxnGVn
sZajkCp6XA9FPEA0TGvZANQuICUky/cUa/Jt1aVTUMtK/aKHjOajMNLOWjckVyFV5EMUlhSMHP72
YGVxf1cIaOZqA8lkUPE6gutA7utjUDBJxkU4IknTxYiWLGkDiLhqQ6t2jEXUj67RJa+PdAwZwsDU
WkuVsfIHpUbSXGPBahEmAP4VOoy+5uKZSZaEbllSaUhRBUiWGtgU13RfRMlwXpJJd80knI9pb+7h
2vd+EWovUCEVEMPxkx6lQPJx3tCbA8AAzhMUxkYTmsrunAtadQQO0QdEOljIuIw8KPVm6/3lEITx
F9UEAYxg9latMk+92T5C56Z7CHzmYo5bBFRW5idjJJ45lGotoEd2FTvhLe6S+W7Btrc5KJCx1iMd
k7jBFNiFacstLwdklRGykYYvUaZUt9OEsjLXl4aebbY+YsuSnjhGy/sqSsmrj7K9ovyY2eGHjs1s
ecBhJDgRUIW7fpmzG3zbi0Ni0nNJTe3otBuurV4v19ESkoNQmrjOC46zeWUGcF8mZjDgc9zRBMdQ
YwuS7Hg0S+4wq3PTpCQ/opv7N77D6T7XyOqmSj5Y/SxfxzHRjlrRVQe2OeOlyQjsSkEl+LD4KZUj
IXWVARuQsJAiWA2zAaRSAWuTlrl8WBsIAUVMkpue0p0G+PCtAu2ELbEwEn/OaIzWo/QQlvi4kmht
ToPI6dRv5Uq47XlgbieiYj7KKjpJJljxVm2rT85i8A6IG+QOMnXzQLAYA0UwYM5qtgM8RPk+rSP1
QPyW2Ni5QtEsa9zIa1KltP1qCvUCZ8Eu5ws4l0Ksvkss+s8CXJRdxdrzaOZrfak7uXrhqAoXVkmX
I0xHgPMdhIQ0oC2Abgz7c+lBNIoRbgCeiPCUSwywMisGrAp2BQpBmnxrCcgr3D4uylMCUxYTqjrt
84jeIvdY80FL7dNoSmRdrQzfwACZm8eWHkjA2VAUgE5M8mS9dHKr3RjaTKyWsT4rif694omni9AF
bI0W6FC5cCRwrHI+FE5h4QEOc0kPBstQ38dE31UWUxWxnsGy5FZmPBnWpgcZLbpRnI+S6Qmse6Og
Z6DTSHEuNUhaoERNTRV9LpiZPEJwkZV0U4blrBzXYIgaelBkvnhW3WPLTxfYDxwFznFMOC4f1AQE
uhnLezDmEDUxqSZBztmB87UY7cJ1KGAFYRUcpZ58SXOZP5YhovlbV+VJSLSsdszcTL0ehNBXoteZ
07Vr8WyWEZ5pMLYfA9mW9zFZfcqyqF7YCea7NarTKdWbdscDjcDOqi3gxxbfzIjwRWfeWJf6YQSE
isjUGFInghyLLEmd2zAwps1fzf5fveJfHhR30af2ILGOpTg8ZIEnYHv26xrFpYzjcgestbgk+caq
qzUptLwxVOTFS2ZyUh4Tpqp+DVG0d2dtwI1H0o30NQ000y8jBiuQx9srpVOqnxA9RKodbo/BApjm
UDRb03MYpJg2prFM8m0LOqz6GiyaQxVXfB6rUCkQVStEJka6uJLZpeJs51nzug7eNb0aNuAU0H9A
PMx8ncqFPJ2GPLcgnVcJzFFtorHY9CUaiy+sl6JgzvEjraeSWYhxl2leTf5K7XftrCr+NCbNRm7i
jHJTJUPO/doXfLpilgRTguAFKoZ5ZB+3nnjxvLkTM6hCH+EM+/Sq6o0MvYLDSMYpWKpzgjlDsaMp
b9YDgu2i/xprceIk00lnAmzgoW6XmlmRyvS2B8AtT9JDLRZIXnHZnIuB21gi/wUyKn/NktiMKd5a
0wXhrhBItwK0KEr8gNX27pMZ7VVBIMkdeHyM/SZ5JY8VRm5UHtHCEUipxvnaa3xaQm/o490sFEhw
14qkIo6T6nsKEYr+6gwiBeaXFkp+SkHJsDmbkqALtx8klnm76+BNHDWtw1cKdve1Di2ug7BJPOhi
W79aQ9s3TluZ9Z1cWwaqlDzqTccaU27YKlb3QzLwRrpy5dvoCJrqXVkwmLd2dU1XOE2xsyLqm695
S0U05ESvQM+a2l3byRp2O0lnailZ5KOUJaCjfBbJuzc0wXqyooqPbs7S1a5buftSK8N6WtYlRhKO
L5XhFcmp73koic+SNUKDrqR5rn0CHsYrJr/wO06k9KRC/CZFOTJIlLO4QePZNeXiQAYlc/Ih1qxr
aa2CB4tJcydDnSov0/vctxIBSNq4bBbU8lZsV/U9R7awEUX2k1BCdSJxAarRzABMWKdzPMR4Pbtx
RSA8G+EDBs929tRUQwzYS0gMqKYgeuXLzmrz7GKgOryFHqieVkvED5HTPSVdoD2QKpB4k2VtlRrM
IagJUeWT/Gx8SF2Ts/rUCO02qtWN1C/kP4ZJ/tUZnDoaOchi0UqPymJyUqmHYidJBjOypZpPRdiL
D3UcD5kTwz5Zbb1vpcQvm3p4XXtAUL1SM9Sa8I9d6jCj7Z8UDcDAVSEEpG0IksLyyY1n1F3rlNWa
M4CNw4UdVElu5IZtGsK1tE9zFcmSXkstn7YUwvGqdSncifOGcOqE+ZsKJ9pVcxAdrQKtRUpHlABq
K5METuW/q9Q1OqkZTzb2zuUJvOkzZ8x7I45QVxBNIDR1e9MtohTkQ3+nKgbdfsDcNH/aj6iibQ9f
SwOHZ0SXeuYgtWiFcCtMC6d00iaCZRVu40lEgxFTSwq6tjCaAEKag71zelmbL1E/DjdVlYJkLNZ5
RxfBfFPAFl2L3qqIV8qUSxqZpadCi/YkLUHUQDzuqcuz8Kwzzrkt4yZ9pAf/XFekSSmExJ6VcngX
xpAGtVbjchHiGuRnmiSwMvtkZ4XdU1Q1+iugN8vp1Kj9ahPUB+tqdtwHPWakVZ/Ab7amGshC7a8m
gkEm+v0tIDERKQfxwl4sKUYAhk3l21e+EnCMxHmdVizeNOFb7/8wj62mFMiBrXXmmeIFq/ykIi3p
zceSY2eyiBcRKKhdzlRsitR+dEzYzQGnQyY9E5uI0VmsScQY7jMhfYhjxH+EAMqx+PijEvufPvjD
Un/7v//+WQ1l3y533yLaPT/79HBXbp3r/7oTfv+elP2/nd7ZOMp/+19++15+fvvf/8lP+EtXXNA3
NyzKRGTZmmjy/xS8fzH7CTpmWE1RFIuOAJUzjtm/98Ul8zeUV5gERbIWdQ1F1t9V2/zWf1B3Jst1
I2mWfpW23iMNcAwOLLoXd76cZ1LcwEiRwjw7HMPT9wepKkpkKKUO6021pVlYZkSG7iUIONz/c853
TMdzIb0GUpquKf+Ra/vjvJDQrLdkDZnmWsJlpPt5XphRSaNGbOObabbEgZ4RjBP2bG5phh3/cLYX
H0fHPz4r4JMs/Au0jrufBhE25yVrTAN7k1JYcZDdtmg7wvcUgi8MSTxakko3HaWwioNys5S7TCPl
SS3fBOnA2atvCb17BwiYwcZ3KIrDqrFx2vJMZgSjfvqdXv0YOHzI+H60RX7/suSdPdQMjKbC+pzx
Fb6SHfR7kAKVfIjoRV6NcEHOfD8+r3DHjrU2V03t30OqQ2BsYF5NJbsjCkLoHqTEzYD3VfeZtWps
/zVLmjugUDhMFWZR2ZgrdnUQL32aUtOZ6ooqs3djotXeLvAT4ZFhG15Qilv6m/RCqK5clzRvRT5s
oGHmz3ELunUtATXSTE9B9W7sJHkrwpou6mBg69uEJy4smR+jpH+0JvwWmf5z3OJ/X+r3FlrRO89K
3f2PHUS4F8XD9v9DRmN5SP/9CsDtgw728yPPQ/qfMpggiuHwwPqM96T946H+8bwvIQ3hmPDUfY81
Bk3hr8fddf7l8/iz9Eimqx4R378edypXEc5s32cv6vCk+tY/kcGsj8+gJK5O7wm3s2P7ps38aJHJ
fh4GwoJogVmaa2Ou53lrz6mpdqkVlSFeDgPnZiE7ekDrDP7N3OCKs7PMHvei57X3B6vpx6Xn+1ex
Wb9sHjAS9fbnpUfDy2ioesRAkrcTPYOSVG3b3sDYEX9Yef70SZ/mvxKQ2NTXlFoWI4hi0OLg2bI2
vfQSYf54RLixo/fqF+vGry4wKiZLusWIPGBh/XiB6VbMO3al5rqcqVueGYdAunHqTZAMpABiTFxI
aGqVBqm9okBD7IJeT88/3Y6/+BK/+nl//g6fZqizgw0BFRSAk4yTS9tuOM0zVL2hcf1PitPyR30Y
16LRsp4TZGfsazG8/fjjupOmLoK1cO3PUw9GMKBFd4QzRWaAB8HADzsO3f73P97fBtp8Jq9Ul8fB
Qon0P/14S/2HQwUF4Vh+izG9sjQzCsNg+Ft1xgVtg3CFYpIMv//UT6+vH/erT46K07rHe1nyjP78
6EwRoLGsZ7xcCF09+lbfn+Hfm1MOJ4MX7ip7RPhrZQnf1PVbDgyct81jO7W+fp5oUAEKHPFS3Bam
12JHLcvZWcGQNW47NdMWsgw+L2uyMASfp7jSVxL+qfyDpvmrOyOgXoGwmA9WYlm2fv4Z8gz2hO8T
k5EOY3E4j7HeB3mRmGR4++rL768Y6vrf7w7EWi4XHF6WL/vTbwqEfcCUEUMZw2ei4Z1HRo0VJkmu
AcbH/orzQh1utJMbVDRFQp5JtxFYo2qXN1kyh6QOIqMKmT2OS2GDFSvsU4bjSQ6ICqBt75a2OqDu
2OWmaZUDn2BW4x1tdFiwue7VvabFrrif2cjH6yDqaSVNXcWMXAL50wekxgYbZ0lKAPZCSfC7IHcA
EVJDmpVJOm0m2yftKGvk1gNnB0hEvLNpfDN7phZXbcU59VA3+LioHWisHOkhm59LCPm4iFIYC+et
3+MWlSCybqkbZu5UuHG9C/FhuljyQs4hdjMwGglreIGcf/2vVmQCPqVSuSVJ7Df+jTX6eg/OCUOp
srqYPHLcqH7jUTnfb4UYjGwz9lb2pMwmuOptjph4mJ363hW8b86pzaquKXJwi/0ESZ0VPp/lfaDq
aKTTJReXsu2aL1wmoNv+IPo3nyPMtOvRAYCjzmEOm0pG7vuAWEEPsqVDsnV53n31nEk+JkXvQSzx
CALRE++d1K6av3YinZeamcp+crNyvmhT8O9w84ZrXbWSw2wTZs+Z7dMA1pacrzAM0POhspEm36Kq
3YcJ+zEDdaqybtO2rPp1PVfm7WwYiyEprPQtuqd/MzNEJ8uqxcR+LPWBCOIGA0/qcohnxlb0ONJN
fw5Wk89Ua1W2sgGAEMglSK21/OqVY0ixUmYk31Tq4GxPaaQ5c+geoCLTsUkY2Vk56Es36sQJ3GNK
3goWxxvemTLfeiIRkvGTDJwZ71dk6r1njI53At/FcU4SX4sQV2ExaAa+tp/el2ErJKVUTtcT9h4y
jSVatvedQOGghSBwMJ+BgQQkxbG72kndUZfn+DHR716H7mivdGFZ/L2Utm9xMdDIxTzJ6iLgE63r
2Vu0+PE6Ms1SMASK9UJxZt+8tkKb5bgYq/yrHWfJuJ1bRKVVG5uwDYJJM7SnHQKR3jBmc620ZLQ9
dTOZ49SRaYDhS6p7mzfZtA7wZttrXmyKKW4yZ4A6PNm95A1dqXj6GewPdQbrjNowJAUdCOMiKuLQ
PdAFi6zdepE3nGdAsXADiBorl6N7oll+UeMPAAfNraD8yTQt3o8yKE/dwXXT+6phO4VfUuNVLj2m
lPsJw8V0HjLcNM5F20/T4+jbgd5Cd2CqXZdqHN/DjvqCYzTE/Gcl5UAUcYKYmb8KHjJnHQx5d1FR
rdE/dF4Y60uhOIlcoh4gKRCgrU5pMYq7TRJGvXmNZ8h+dE1FCnv2pqrdhwNaCuiutozXg8ApzxJV
MstA1GzVBbdA8GhiLfCOacMIeSVLsOFrwZh3Po4jR0tG9Sl3sBfCncC459yWlojBBg6JHdNhHZh0
tXTw0eLMhI+hkokcYdUERn/A1MC4RFsmKwiLZuVajxw24iu8t8Or5fYzHIOiTqRaZWUYNs+Vh8yG
rXPos9I8j4VuaCkWVuvSGG2HjTyA+ffIw6KEegDr6rYRtcVA0pIOhkWjnwjSmHD0IfEDyGVgFBqF
qTdJlHh3ee/i8wzGmR6QrnQdcuGxJ4Zz0WdFsR+cmpuwF65RbUIa4fz1AHP1rsGnFdM+b9FSk5u+
VvAz+ZOxGY/Z4+TiJAXnV0MpNBSVKkQA+mhfQbQrzp2uzsSBTqCuukWAKYCXpKX3kPWevvN0GZwZ
VkucXXoz2ZjMCsmsuXTTVm0/7rBnUfwc2dl6NFFL41nX911lh7dOPALURY1g6jgTWMVqXJQvYbxE
BYfGon61nG66uO7ukemrMx1MZOQHXz+ExtTzOC8SqQQ8JbCODcZ4nsfNeJGm+QugOnoiGuw/W4q7
Z2IsLd7wLsfASYnqzhGDxIEKCy9WBqjCqC3yuy7RnCvd3jJPJ0AqTeZnWxNkCQWPX6LUizbM7Dld
9rFyD1XRJzujDYKnjOZzmJLM5rRy8cvX7lkRBOF5MpOOo15h52oMvsNoeqdG6xPhrGa9YwHKTrye
oPM8zbewpIHcShomShwoKDWmt8X/n6HbaDhWHX1IcgFcalz/pg+BlghFt0uyPN4psz6Esnls5oVj
6NSj/9JxBt7JKi8OTGH6Y9aG+ZdgFCMpYwe1V7Fw4W7xF3WcVUVaS2u4M35l7PyYZXSXtmR9J7vh
FSBQbjI/1PQGu2N6ju2uXiXS7phi1jZeDit8dgicIBwOFPj0zGdfrWA4ou+Hh6wUX/2hpk+Mgfwz
wQJjrSDyr2SXZnt8uGa8qlL8TzXkrnAcvMewm+s7m1WP3p3Zvzam2d4WmlSXLftvaQxezAji065r
vjJYbjc0T19XtNUwHk/3wIYfpSWvhiAd93nBWzpbrlWW52obZQ529RY2/zo0SVNYeamPYdzS6eIi
gyfWHV3J1EIz9AWV2TSETDt5SJ2Q/FYmCA0nDYQVA3Bwz96AuQdej6cwsRUe9zaa9lYp7IvULx2a
IaaZXDq9J8QSNWwg/HXPTtnEt6UAxUckVTXupg1HX2xlVF8hH3s71ejwyE72jg4w62JIXN44oikv
fQ/TexIcilowUuiq13gQFym1dKIFoYta2R19Vc0nVSQvE/iy66DvaMgkAxDKwFi75bKsDDGVwBu2
v2e1LuNv7BT91+8U3CKgMST2AkiThjOfprPXkZjqBXkaElCsBiSmnZLe2qkaCGfzOj2LJ+JZU+6E
jH3jY53M86072Jd9Kt/Nnn9HlZM4uF261pX5bSi9HZs0dYnnR6116e+1sLt1bRRfQ2KAG2fhJ7a2
cxnDN30a3c44OlQlZpx6yVWkqNxCQIE3a6O6nk1CVFY7lgTt8p3dyRamLRAsH8+87Jpt741EDPp5
zWGHmlhDbdkNhscE6yiKgq+31FhcVw4l57EsnqNO+7d2aZ1kPjFHw+z3RUw2MQj989BFGJb1ixNo
DjFGd4tX/qiCad1F8ZOyw7uJoifIpEAfK1Ns8O2/FCnvN+YRMMmb8KLIcecn1C1CAo+pmeB4FLLr
6ZX1lc54/PgDTaayscx9nLFdtsPc35CxMDmfYgcJOsH/WUdOuI/S1F6ufeI9wdRVwPynbyb9rpuY
/HfXg45N2te6sBHEQ1FuuqWxvsbUn8jp2TFjJuFEcWcjIKniL6STqTp32BCjFiYRFaa0FN/7I3Wx
WzUZ7b5sbU1A0BuG9cAMXrNdaY2S2x0HwRoYMJlaxd7xaelG5g9z4ukVvZkw/Kgmlr0mTFEUszY5
FD2VQwn4htsJJfUxHjwRriSsSq5aERXktm28ECs9CPNdApnG1OL1RIMs7rlmnSceWjPdVApyjdtz
6ct8cDfsT7zyaMWdAMJiuHP/FFCnkOxJZTTBsZ6lukj1FDo7i1rGK2oAarpwwsA+FGYXnwjewJz0
Qo+IVduK8WhmeXAwRioK1vPcYykouzKTKwRy+zWyvDwHHJN3CWxpuwX51+fUkaiSSE88BW8tOXOE
87B3IIs31EAsvPIh3nWDks9BPzpo5+Xk6mONs/qiY9bDZTTM8C41l5xGHktx40/U2K9tw0ovTEW8
BMix7b9gYrJ4ESzwOW5qt0uwQ3l4Fvgp03CL8Nf4G5wTiqS9H7LzFe4MuQm6sNVtNH7nB46+t4BR
IzRJhjiImkOTY/Up4xTiVlTz37WjidrX2oi/1aGFD6hHZwFv1hm12iO+YLfweoMKOtw9z+ja03Zw
Q/GgAleJXdob3eMQyBbw+FRylaRoGVsN2BHmde1H3lmS28qEA6Bb/nZcttzpvLokZ7u+ePDklDwk
UcGNCuZM3ln+yGvMVxkI39iLNNCeMGyfO6qxuVZTMa+S0OiJHk+yvIqnJnC2UR/GvBuibOTDpcqf
Zdr4HqE/qz4QXZr6oxJO8x4K6paKodTXmOUHMK5wNPK+ht4xVGVjbyWNwo+qxVK6zstm3medVQEt
d2Y5ruuBkdlKpIEHhn/urVcawQNKnAPWo9xdjEkqM6J5Y4Pave9qg7B8y41JssjOhxtHNtVbBhKT
ZSlqkPv7sQF0V3EoWDtzqzmu9NQBbYOgc0oAFFb13vqT82zif7qzvQJRuqKMu6Iiya3DVeYHbb+R
PUrxLh6pE+BRLIc3yj9svDL0m3YrhSB/4+RSXUehWyQnHR9ykw9sDlYMhgy9d1yV8bocvBxiRIcQ
mdj+/BoWbnU9GVi91pQ95Q9hJZqvOjfny8x2luY9w60pBsckcgeTV3HwpdMGMBhxJ0oo8CtBocIM
nrKV8dizqHmmAzYIXefZK0NsTRhRk69Gh72QN25YOECm3A7uFfQIcGijfY11jDOQw5C/27BFmJ/8
uWqQ5H1Zcr5WmmF+J+r8fuxCUHdWWZRvlANQhd5FbXOjKT+HzjaXFaQqVlpA/nlpvjVhTW91OJmD
JCEdedTOJWRituNES9RqngeY4DMFG2eJrY1hU7uj8SUHCwF0dzZqwDZ5GAJc88cuw9pkjOD+stzn
IquJQ5Ubtgb00AH3wlrlvk2bnOB1EQ9phKNe5O6NjQkZgxw7fGq0JTFci7JKTmqqJhGPjb5QB8w1
ZbM1RFsfNYPHaDepyBo443nWscDYa+0wXqiRqj6VYnHTIpjOaWsF94alMX2gPx4bo0yd+FqybbVW
hktZ8dadh67eNI0Pja+yixKbM1WKHGTabH737a6HCUfjGXt8Sp1u/NiE92h2ksY0gcU827l1O9x7
uD4J2wX8mGywy+bampOILNcwZd3BZ5RBNxq45utWjYGznsfOJHKWxRqAdyyYINNKRwJBDh3LOeyg
huMalYN4mSi4oRzhMcQuSl1oxRtqF+Wh6HedFWYvv595fcZpoNfZgG05nboMJ5cZ8McJm1c5Xo27
hmxUOZo3s1tjOmQoBDY7qMgZ2z2lLYrYC7sVtJtuw/m5uqA9CzqPVxt3osuac1o5Y2v3+y/2t0Et
34vwy0J7gvdke5+ml0ngUgS4ZLZw3H/RSdqzPydfVfVRQj3JbF79449zXEhUFglFbMfWpzF4FjWt
14+g1gPcxBsRYiXRDB8O4K2+oYbafxgJf0JkLFedIbTFBFI4Epv1J2e1I8pIJKabbNQch91LU4Wt
/4CxGc5uHBvTsxyIpL40eqxoaVfeHwadv5iqMphhd8yUxUHY/HRtS7OomDKiL0ys4SsK2wGeKs+E
BYAt8h9eV0lcSgiPuDt0VoApH28v7aUUuiwfNbakY5vCzqAwICVayhsODSij7e8/7xc/2vJDwQLB
B4h9/tPvUfZdbrrLfF+gX5IOj8dTnntWYsP4E4nmbx9FKovZom1x91P/+z3a8pM0ZduDbOM456Mi
upGkyaamdDke2LPlnn7/qf6RkPl/l+D7rdy5fN5/N7xcgALzO+kSSZbOi4/iJf/Kf7oV4MhBswFG
7UmKUwlV/eVWsK1/CQn1mvweHBqW27/US0cskic3CCYCYS4pvr/USzqnuVMJ8WEucHC90x/9T9DE
3Nz/JTbxCRbfDpqdoOaAAMVnThC7p3wmlyfXUZfJi5gU9zXtSQ21alFyQhS0Qrh06C5uyiw5N3sv
vv3pWv1CV/skAS0PgrUIsZgYTFhTLG8fn76hjpIyZtpNZ4tl3BudYjuG14dPLcejZv66qquJ7bmj
uuQCy5PkgMKEZjv7ml0mPTTz6eh69UMxeV/CpGZH0oz2cEdbJo5Yo85dwrGl3JYjvtzff/VPuuTy
1XkbodFx3VDOmBN//OoNU0ukYQ6PnjeNxWEyE8vbYSTlGDExF32a8FhithsNRDsVziI5ImhZ2ek0
CrL1v/8yH1drvosnYBl5S9M4SQ+WlY/fhUahLm/EOK5H1+WAH5W95R0oQIS4U1cZU4yM5TxdW1ES
DETCTbZGv/8Cn6J9368GK0xAKChYONefl1F6dbsiiuFAV9k4zNtA92yzHLokzB0iafqKmuDupOWk
/ibMirmicVBryrqCQpn7sS6S+ISSV1r8BH5OLNeGmebbfIiYTTtJl3SnwhyG5g9rv7W8xT7c/9gJ
Ah5LEpDucvU+3X5M1TPPonmMPXMcFvjvZzhs9DWNqwwrL9PipgrS+MQMHW1cFc4UUFqkaQOPUBAq
DwaMyIduq5Db0PWtnHOwQUOwevjDxf3F1+R28wS/3UUr8pZ//tNC7geJl5g4tNc8SRlONjahtyZp
tV3dm7AbTNEoSl9EX4kD5hcRX4Bni9M9yQnOHMKcmxFPZ2sRny8bH+B3Zw/ixwvg38r09kcfxHIL
SrR5SYnBUmCPBerjd+Q2F1NbUYoSVG7UXlIDVrdrmuOWIeI0eDOkBxKMhQ4ctkdT4dMz41OT7Bi+
kIeyrzlKRfj4TuYq7F+7GNYFg0/aPBs3f02bdCm0GbP2pnIV7Ume7dJdW/LOpE/IGEJzO7WYkxkb
pYW+RHEIQfHy0g/vcS4O95IpkLsy++Vs4vXUBf7pPlpMHh/uIwaRbFBBgnKWl+JzDk3OORiVXqLQ
gOKiSMUXUb8qTJNd82AWdNVXYYPdf6DhejtMwnyMfQ33WrXMuhHlSqYbIiUK9Pv7Bgn/0/eSrKy2
zVaDNgcsFJ/3zg2ICUZqRLJJaeTyaFVDcxzIqqT0alVN+ZqKgpM9TtuyP80LdSyTvkq36WAzFVT+
VVCaREQsPQ5HWcPD4Kyx69K2fejNfrib7OApKF37mIfJgN5bYJBfq6Km7JJS57NAlZxNS6h9UpSX
iYWHYpUI2vWo5MaWZbYpACTfvKt0+VaWIEdsmd/n0exdTO0CvmA+lm6NsFqGNwNg62bYTqZcV5aj
wHbZA90OS5OVhyBSl8+j2WJmp2+tPh2MlhBEUTvmQbSQeNhoFaetT/DcN0wTZ7CaszW3S/yWfa/2
1Q3fl1tV+tvOHGMGfPQlnwdTvjRpLgqU7PuTaRzBDAXuPrJxv871WN8SA7xlvm2tIu6IQz6m87kz
5g1AwrAERxU1dI+Onv9iNLm1TiM7Pg+LxKIbJ/SeWUpPOpv6eOpCggO5M7j9pShPRhAxjAvl0iyn
LIlz2o00UORIuI+Nh8CcSeN2Tpkpdqkqj7k1RXtYwcWuoCORYkNq9KQahpu6EvdB2GSXokbVtxJO
xCCb4OMX7d5IyrMJa9JTW4zGc6sdKrYKM0UVM1M1A+wfvME9Cbysfx/7pnkryGC7Y7fl2Jntu3zM
rwxfjdvGD4tbojvPCXHzndmX7/Yomm6LcTzyN9ggmWROpjdfoyGlr2Zr1UxzUTpdRjJh+q1TnXxr
OANcBU7vPbZj6L/X7QyAiqEl8HIVGxdO6hGY6M7Zdwin6I+enMulwG+gZaM8JTjOrJDRE2dQfg9b
uk1s5uLSDggBx8jyZGuvqeQYjtHchkf6aYtqP6RVe6E1p3pLei1TxACVWQ/VEUOzBxq9LvdCe/GD
PTGxLWf7NI3CgfHO4JwQN6L+YyhyZ9/rGNatjvLDPFFvxKEdZ0Td6K86i1pc127ZvviW276KwRbc
oIMz7/xElLeuYtyiGC0AM2Vnw7ySxvOXoERz6OMljKQwLfhdrR6xjoERNRYniSCHymBNGGa15rwy
XPlknkGZW8Rumz4n3edlTp/yJGUlfYijJ9tj3I3Jvk8dOP9F8hTRI3PrMyHbGpqMEwtrdhgc0TzH
Q5VfYXIHoW5yyLImaD1cdJJIBUaKjAX2DjSrIGcpl6IV34nJsoi0pQoyE/fugiOL24i13Bt5ZAMk
wmPR9BnMxmY+jxik4SgxKcOOk3NsnajjsRMclpDPKYG0cp2MprNvhv61Nuf+3hLcsdQdiPFkIHu5
0z7KQ1FAJsnD4Qrd/wuMOKBApg8OYvJjd8350d3OwhpoZ8qS60CHITp0Zl37mCtukAWMo9BDSXSI
8VNbSEhOQ9zejYwyuk0hIeGwqbnifyUPKfVch0xCgMMya8gjAmp0B3lxfNXMBJ8UkUMYYpBisNvU
1cWkrflgZYq/jDH+vjac2jeryqhqkmlaflHZpA8Txe7ESPV0CNuRSY7K6fBa2WWb32fzeG3noAJH
w5tegzlS62ZSr4XjvgdNA1mwto341Kak8LZom+yiF6n+NiaNyd7XTqszw4lIFqcUj3X+TJ/HbPPr
s7PBHzYob/CbeM/dF92M5T7pnxxDVTeFVdBdmNv+CXHgkbTEchEI0MZfi3SYj7IogIRimQwoqbCK
7ZgyXIvckAip0zrTPrLiaGs5DOEtYeAgnnUyNNuuUeWDyHwbZBXJHVfSY2hXnXewTAqDRUheVIX6
GgNBesLAcNyjOMud59KG3Y6eua2HluFi2XYPYVmHZ/nQiuPkpxMGkCV/n3fZZaf4tIH/N6hAaGGU
k1PYpcdpK5GD91GHSYgd2PAIo0hdZG2h3b1HvsbdhXnnzdREJs2lj1ljlbSDaleFG0XvZlIrjSbL
up8VyYXXcZAYPBVsKZsmAEIj9jjn77gR9XnhlzQjF1571ae6WJPR9Nd0uGIqbqYHnBHlxq1UCFl7
9J4cm3+T2TLzOjAXMLNCcrfrzkxtA3inay191ddRK7JzBOT4xhpEe0yrkAgfsAZmdahUyRHjkPnQ
cDA7CyuahBniw9YOCYkwyPTFPschRA8y9YNWNRpfW6nfkwAUYJgI/4Qd/0SHheYvMmRFW3rb201Q
JikqP+eAljjfFod6Cz/BF3f1aBk0j/XOm9HRdebHBbARR/X6kuTTbpF2U6Pu77uitPauNr27unLF
To11fwTPJp5lUOw6XzJ0jtVsvbt1wO1PCf1VSNpjzyZ0/DL29XyBNtFfkM7HwxQl3dGrke9XTU3r
H1Xt46mdzIC826k5aNUslhTyOawA9mmCwoLjrH7UcxCcGHaEdQxTe0VVswOFLc5ReYgmE8nk1DVz
n+xxRpUnTmnrQzFqg0RwXrVsO8R77TkD4t9Ag/iytvi6SHF1j/6da9letG51DsNtFNau8J3qlic7
P51xwHXrts2Aw7IDh9lkQ4kwZmc7wfx6AJpqXiRVJr+MdiEhx4bkm+wwDIjrjcyKdcZBqEEHuzPD
qn1oItN+MoaRVZ6I1PBucTC98soZmbUrqAF3RgVakKf5RWjntvApdat5CY1SBbdhNrbPvc6jW814
8NswV9l7FNTxdZKE2c5Thnfwwcf4Kzw6BF5rtN01w97x6HkKeb+O35QH6SzLwP3aIXzKJAnqTdXG
sGaW35lwIlpBdMm7Kkvq5JB6GJezlEfEnszmtkqqjpOFw+5idHz7e2Zxjb4I1s3WSXQtRFvBuHaz
BHxqIE6F6Bj616Xhfq0BkN+GtlbOljbw6WHQNUmlmg3+xsDKhXYVTPDmhxQYGdzkW227GB+qZHK5
Kv5bLMiAbDBfsgKAt8GFUprTlVvBv+qSorZPJuwblwa2CYxOZcxkmgcLtFrAU7/rxyk+K3RW3fR4
WKGcm9NbX7m0t4zF1IodIqb8IqJhKReymGKv2P759w42FzKodpCGG27WnoKKNlW7wCjG8QRtIPUf
aK+HBZ/3AW9Mxos87QPjzIBFuy0gi3EcD5iY426FQzBiMrrWST3BV5iVV8eHJsKfuQpxBXkHNMzp
irsji86CZIqGXdp4XrAZzEm7O4GNqKDM1K8OfaeCe4v+1zdhK3rSOex9ixoYcOwtCnU+9nN0VcwW
WUq9kPFa7II9605AsXosqcxc9WV5HsueItrYCt5KU/kLYlSz5Ylk84U3b3xWMwc+mEkaROt0TLCV
9KZDEM7sFO8NRCyPmusEjjWBuvgsDSyiw20KFzRT7G82vHmqL0UTyXFLNi+891q/63e4BeeabtO8
GjYECEFQSsNrxC4KdP6mBtu/zykHvhiHlj+4X4Rq/szKeAl5bQFew5qYgXWR0V02OuEL2Ugamifb
KPYYYEZYdrg574ckG8o9c1X5pczA2qxHw1ZqbwVT0G4StuUtQNFYvgQp9g4sQewI6dXB/YH7UCoz
XptVl11QB44QPhluiXyMb9LfETeubkY22+xJfLS8lWkQmNwMDdIJqAwRn+WVNsj+unG+Xl7X+Xoa
EgCpWVj691Zjjy5eyMC1ThG6anLWfRakzyUW3TMe5dI4MU2qzvdsD/p5T0d3JbacsgH7KwCZ+ekQ
z2B6sbIC4eiJ5z74XYYnASEOOTmPDO5XUeJLZu/euNUashGVB05Z42e02bckIOgK+YABhSZ0Y+Q3
uiXc6w472fhsjsuhgIAcVipgV27m8hpQSnIB3hUfZpDy28pzE6sicEtapfCunBv96H+JW+g6m7An
hll6oKwBNsHRj72rhvKEE9qjDYJzFkw7oKtcsDRPgQ6hFQGrxTVIvUA23qK68WooPIsEb+sEj/Ui
2PsVaJBtNU7taQ+O4mVk8b6o8lp/C5hFUggwGhWeR0ex5MUtdK60KDhz9hhz6j2p1l6tCQ4j5s4+
/rodX932dqOjaSOCe1RSthQDTPjDKP8TZp2JEbZ5DhWSqccizTifZIoGrazTodWtZAOlEoYmp58k
wuyTpUG9D4oUVS7HskENQZ96LxrCGH7QgXQGr2gRqLXMQUVdglwynC2JKbpabQs5BZFe4EGZE9V/
6cUI+NjIhuLUnCL86yrWwA4rbn86vsEcibU2m5x0be4Ye5aWAFoH+AfaCuI5UKtG4WJZ9gv07CZF
juvx90OGv83QKFBhtM3QkfvO9cR3/sxPw6mmTGRlcoZezVUafaWOryjXOuyq92nAQMdXGdYmEdxr
rP1s+HmhZ6vMmy21Vm5mneOXSi+tPHG4a8n9X/zhy32eSvHlKMUkIMfgLHCdz1/OxEiu6oZdX1eQ
Xo1Ci4Nfa84BLuWiKfTZEPnpPndGM9mqOYV+I/OGdgzDIRr/hxHpR71wGS8iMxFXRE5Dv/MXWeHn
IV5UC4FvQ9NcMk1Iu7o9pbh93EaerXZzlv5HtOzfDuQ+ij8/Po4YJFNDhC0LmMHHj3PKoBuSxIT8
MjkvyhjrB+V187pSXvAHhfaXnxQsdHuL/lGOpR8/qYgqI62iqWBuEoBxngLzpCniYa3APxy//z7/
kcz0/8KS/G+oL4lFdPn3+tJNVbyUCb+R91Ilajq+/a//+f3f+CEviYCiSio8AgQkXiTWcu1/ZOOE
+S/BwJjb33eElAy4/0td8vlHPAoS4ZoQrb9IkP9RYETxpbcIMoRJmRt+z9b+A3UJEfzD/JEOTb7D
MhYmhkLKx/pMN/MrkCWzpKGlDqO5OcXi1VebunYs++CBq56vNBw6tnrMb6LixpjdgLY4iisgrNZx
0cFGn/sqs97w2rfWfjDMuT4qS1vBuqks8pxBlIRqM0RpHG7yFtvjtvI7N3jBWgNLzwMW0VzK2Y6t
s8kcZ+Og0mLM2QxF5HTusjzsjXNMv04Qrewir6ozN+PcgmFXWgcNscZjFldVljw2g1C3fj+Q9cdr
fWVTuzwfkz5zHqtWGfVmLGoX50dEJzrHLmxdPfughsNCaVXFKwkOCwy1sqm0PQtl1g7mBtFrNO9N
tq/hReNTt72Pi6D0thPGdEjZYcgD5GMac9i1xuUXJ6bJfCdyrcf/w915bMmNpEn3iVAHcOjNLEKr
1JobnGQmCS0ccId6+v+C1dXN4rT468xqpjfVVWRmZEYADnf7zK4dKmB4gP6zEADUxP4eC4y2FXz1
UeKHzjDaEoewKi9fU1eLDaL0htjYxbEPt6nquiG+KjjgXpX2iH4HDIMRmeyoLysGKufydKFR8yuk
X5Sa1T3QFQCLU9qNUMD6yt5NbUabX4nI6uycLCcwzA7cgnNux4sflpRcXwDjrodX0isNhQtp66fb
Im5TCxu2YdPogO3nWzqp6TmHPBZH4QTJLu0cXjb27oqxrS9sHnwe+sqLUcZTK/6swIVgCY6M+5Lx
OX05Tte9k6QpGDfEMLq5Cy4Jm46XCTO3L6GDu7hxT6KMBLscxhDnzOjA6eDTKZ4SO8fN1wTFFfgb
CCAY5+wT6Hv9NbbnCeMmbjR6LIoP063YpciyKhFeeabf+LlLDXc0DTkYdEu7ZzMbsy9F13LV+GSV
sZuVc8OvM4zBd8hYgqZxIx4ljAOjSPauwfh/Y8+ie8AFnZjbNuybPaBW6g5kbkNRjLlOr2Zj7FGV
5wTUGLQcHa7czDWtnWZGhJ4koJwwsAW9PssmoTPQUdD4K46sh9bVNvKjKNU9p0n0NisN6hetJG0W
eQrTymHz0a+H1AL+rJyeNPXoe9V1nRrLjzoGGp0y6dvHShJ/DkTqKgjtWf8yJCnND6qxp0fdeT4m
KVRsmgmkVMZhSpVbgi9t40/oHslTa80+tphoFPU+GhM6n8Zhar7LLsYbW0ZtdlexJ6J/EZvinazc
zIeB7RAuCDqvMHl7++Jt6KmCXrET5QMQ+OrOpaJ1fonU0v9QCzVdVJJTDx+mtndnZXn8xDbAodMD
qtU+wY3Dpl1F9qvghooWg73Rb01DZjcFszq6YlXpfi8TI0bJ1PwZzaP+yNjZ74dL7Dv2Y1pk9X2r
fQj5jt+JY16FpObIm3UvBo93dfGlng49wSQDM1sUXrG3YhdedLQ/b8xSt+bWkQQC1k7pmTdE3qJw
l6mcjBLhqkafhKQSYYUTsPtsBmP4VtstsP1Kwdi5dRtJKelsmRMsJ9xk8uscuVzHIHarLzE/A5KN
p+35wgnaiNYjfl8LyECZfwRx6Yw7pPbGIwNi+E9q7Et/LTgoaEDsdVtuZW/lT5ZnTNFGlbp8GUO7
Z3iIz+2jrabqNgDTkq0KV5IMI2ZsM7PTydKzyXmPF4/Ye09h0Tz6CgULR2pgFjRBieQ7USCMcFC/
61cPTFZ34ojJ5IBjUHSp4noMdlCZZoylHiLFtpsiM9gp7LDdqutsZnpBNvBJISQHT7YwKN+Ni6ns
dq7Vl9fLHRvuErcXh2jM8AfEcA9uZeMjyNhpEd1FhVG2a8eu5K1UMn71hKo52DlhGB940X5cTxxm
o2OX2PjhXT42RX9XCPtbCptOOwdv53tpDra/bgfWto3kRqY5LAmyYucPEI0XQLk7big+6e7Yvi4M
q6j2cM4mLo8jJzMdXI1NYZwap27w2FTd/OFHcfBEF576NpfBTI+PYJAFejD/0mU90Bmr9upozRvO
z+4Nxhxv2jLOHzoC75rMgdO0GwgPPS3IeTM9kDdys/2AdFqsMjy07QYHcrZ4AuHBrURY0dpl1wE1
enkSVs98atD83biOPoM+I4NVuDMVH63NgkqvgANySVYct9JgKZwZZzZwagiyhIFLbt7HM30Z26C0
W/pcM0cf2c2LeuOJqb8nXjUOmKKdDsG3k9ZDYer4xp9aImpTucizJYIRVdbEYm6cbghNFJx44MFq
DfNnEcfDKfURFhkMw8ZZw3FSRMnwiN+xJyAZwXPVf5XVaL9ZnqJ3haFJN2HLJAMMPD90XnQxWfeG
WQF6FYQ9Fk5s4x8Gq0K9bCBoyY1JRxhAYcOjNHcIAfyszco2303fYRLWOUOlsZmW3i1AaR40s5ZO
x0ysaKifhtx1a+T8OOsW8wxNvrHonrWTiDtG6IGx48llpogQqfXE46nOT26vBc+2tp+3aZLaBr03
edSsqrLTtOLy1G3oBWynZIOPUPMXBQUF+Fd0uUWTNK5DchslY6WAq6aUzUBdUekF3xkuMedKZE0y
xJ41CrNrdPqD7xEVWyxC4i12kvQWB0BqY5RoBPdXMluncsyhSAVNAjkpCtz0IYSVEy1M2TbYOmwU
2o3AaXyOoskjMN+FHCmTqVjKri0z/zoTCrqWowAJ79TS4ZTm8CmSaKjUnUUeZjqVudXvs4IgLcUe
nqS8Opg8HrqRyGog2mIZLcRR/mrZERV+huXKS6FJ6qwiH4V2XWJ2W/BFIWUfNdk6nkud/VTnoTXv
bV/MqC/KmLGSDuMyVpm6xNk68PDg3Da80ho3LVqjdqZqPtRV45drj5um27Bhch+9dK7tFXkT6k/G
DBYoOkDab/1Gp85lFAxQty4HWU3tmRFMq8FjX0w6oRdftTHCqQqDiKxVHsdfFAFgecpd3O480wvY
KHnQGfdEcFsoxQH+diy+U6p3Vp45MIxAkN5hjGxjAIvYlI4lQ83+0s7BcitNVrNpeCRkF2tykDJ1
2rvmug7aiUAyk6T7AXXw3gvt/Mvgo0mtKL7K9q7W9BI0ZVB067SpuVoL383ZXJjEGxj4Bglb2WFh
TV8BSgqcnY1DwrvMaV9NNwCYuB79gXqs7wPT+urbbBnYRuYwFRAx09Ey/UvMhCx5Zk+cFVBqo2q4
CBJa4cmZjbq+71rogrtUm4PFBjiIul2SWVb04aaYhHdlpxzzgf2ELy6uzSHznpGpLdbKYkD4H4rh
Fn/LP+wVHCMcnC98Li7HHJyvv/pfokwYXpNRG1byx1dOm+OChRz98dPB6p+Y0X5xdP14GUjCvgko
l9UaPePPB9mwbaqO/WC+aRzyEGwtivHB8hVLJ7vKjMoUS1Bjj809W082u0GzxZEU+Wn7+NdPuf83
zZQhB8R/fdbd6/fPb0Wtm28/H3eXr/nDTGmBbrFwPWIHNxdb5N+PuxCuf1TvQoZCZXE8qP5/P+9a
3m8MCRx8GcAmfnQi/P28a1HYa/8QZYSFVXYhyPyF8+6fT7swlqHR2J7vYbflhSCW/Pn68Rrcn5MN
kGQsrRey6fMKsmq6GcZuXCXib03O/1LgWU7wP90Vv78cZ/6Qrb8fYhVd/vwn4a11qEkpc6FIH1Js
t/jn1ZaT4fAlLid9IkAg8d8EpIJXbuwnn7XG3HBoWtsiLzXTp+VZKYHN1NfirRVFcUgrjlcZe1aT
sIG9wyTMvFCr4VMy0F7XEBDWAPYZkxm5UxzdyW73YAzMXRFJFGk8AyfcMtWpKIR4RG1tWIJVuIY6
LRQDF8rGuo6JcJiDXpLGnkRLfe34kQE9eGyqjUqN4qPETgFdIOrzuyFZYmVk0LO7n66pf3KbO79o
gj8+Jg/Pn4VgGfBp/aJXGVE0WtXM+2YhZn+NUGWDTW907kdntvaaUBaJWG/s/Xo1VcYX/p8T74RT
RCCnK3YiiLuJyfacgjbivTSP+bmXVZuwq+OnjNV6HeYpsztVpMi8czVT6OqCjweMxyOfIH8PXq/2
rE/8j1m20zr0ToPMpmMhM5dYTuUdRnM5T/leFpzNtKNJmInHpe5LvZv9eflONuqqObePvVfhG+jR
/ecopW/r379RCyPp1wuMmJoPeAnnIRriL9b4mZKihmKEboN2Eqz6vmDzEsQ8Co04YHw0WVlzgXJt
7K0BmgDHYTZS8RayLo7z1BLnCmjlgyJ/tTcmEos9qRXKjs1nIy/jfdmNxfY//MCLpvmP58SPOwJ8
LhYELNfIYQvj7ec7ooh9aAmiUPA2I5JMpOoO/Ri+AjdlHO64Hbm1Pl3ZowmRM52BVM8YuqBZ9lf/
/gf5J3cmhHgsuTb/ADX3yxWm2Gkjt8dqMysFsNIAY1NZ3X+y9y2r3X//dckMsxy6Aary8nb8tABk
GfmggiktzUEE7zq3hf85thZuMYeqZWWPhxBI1Jb3DTDMHEcnGjfwFNWMu60i+o9VBv99+UNlDi3P
cpYmFedXxdkto4ojAhVnhTPJi2B6c4ztWgxrgmYDSbGhvDNtDrJbILzNeybm02S54qzztrrxBZbA
PpirHbspJlhDX0VXg27lf+og+cURyc3PHsIVDiW/DhqQ+OWaHpUk5AjrdjMPntgUYXo1W9WJrId5
0sENipf4/aL8S5L1/ye47efww3/9b8tJhKGF9Mkd96+f7+e6q/v6T8/2P77ob3K29RuaM1EEJGib
afPyEP+7nI3JTSyrNpI1LDg+t781HqFZL3caLldEPloOPG6TP+RsNgXsG5HHITSxiXT+GuqN2f2f
7jhf8KAFReealE4I5vC/5pKKLMrK2eMJJkzZ3rtZM58M3cVH2Wa0xM0Ef2vK1CqcrjGezh3EkeLZ
d5vPuC6+9JN9Qgp4x2gWbmFtzFtwJmpFjYa9ql1GpEA/7LuxRy3UYdhvCtG9Uw4y7Ca/BTlLT2Aw
IlQbcriJ8WlSPBk9D36/gTe9VJiW+Cxt6lopL1kPUtAaGIdrM7ZuBMTl0oTmDrZoWJFRvgIAKR7a
4VQH1mlkW31qjeRpTNU3kTWSKc6grysOAjzues6QmryvZ7mYHNOWcovkBw+C2KO8rkb3Mvr5KymX
k0MY/Bw7SKyoSkerKTFrhfklEq5ea6+5F/DQ97SrL+nXsTgMc3E9dxLXklGcqRK5kKA++7D+rtLU
vdMT+JYZNIw5YYqawrreyTy7yYyp2EIvYZxZd7elYRsnJxgZjk+HrKfWkbFCtQ9pmQrybu/XuGfx
o+Lyiu0VZ79nRXPy3IYoIJg6Mr9ZZyEyxmjbD3E8Xsump06mvjeZn0rdHFJM8+3cHlNSFTQiHAMz
vvSmTROCvgwYnkaJ2waE77rMsMdmzSOgXP6mhASFXWqdRvbz5EPWtQx6F5iaMg5unwR4OneKGETM
orriLAinlq5Vo2vTbWTzwwzxB3BlPBvznk4gf5NXCSWvEjo4iM9jlUS4AS2kBZcSyXymdz7J0fRt
TX9bu82SbMvxsVxPutgQRjgibR5EJQ/S9a7SIoAuku0rEs2b2OEIFS8NQDI+D8Qr6RqlK91oSwwa
fv1qWagC2OnY8tDR2RJsEZ3/LeUMuHIauP19TvBZgjPQqY8LUX/0joUlZIFyd1O2olaEQ3O+dySj
iNoq9qZQiJ1zcgD1Bb3dnt4Lc/oSDvGe9i1s1rq6zEX5bHT5belp+lJpw+v6xyVnHDk07o7V1hIU
gQqltl1m7dMGcnaaNeNmcIKvwKP3Y5A7O68SMIQsqkMyZp+rTNenwTcPkYUc3oujaXt4EzFFMU1f
0cyMJ0+btJ44drbj+sGB6F+bcyE3gfbuoZfxiww4LVPSyNAnDvloN4Sfq+004wjDzYuQSItzqdz1
nAnUHCd+aHB+01ex9afoZZigsrA//yrTadXMyYcjjOepquQJvPxm6p2P2fff206dY5F8+JAN1sbo
Pgoqoj60lz64mJZHuntsd7rYtEDm+OPIFfjraZKbwQUd71k3bdXs/Xy8Cw1XAe0PLxgDniA138VS
0FVrP0gR3zWWcZ9WXC0YlsQy2Q696lFkVAtHOZ7EYtrDrCe2UIQvdi03OGGunS56n1Hs17Mt79qA
qV2k8Io1hznDd4C/Am+yeYByjV02dA9RU3+S3z9S2CqK2COLXD8MlnHqIk4TKnZQNlvd72gLOMc5
Zg0io4q6B8RFr3Q+Ar/tj3gMyl0zPttmfI4oguzKkjcYZxQ2F/HIv8Ct0f526jTEVvHGJRrRZSmu
mRSVW7ZClEGz4OBYPlkenVfkt29kZlVHDyeoV+tHOXdPggFdb8XNuqUgLa8tuVamKjdw1t39EOL/
mZvkKSCN6cG/lnn4krLLB09/1RMe2gQ9OIwzrVWh9xxWT0nwVAbjjBZQ7+CCTBtjsHF6KRb/ub8y
6eosR/Gc43ZRIU1ywfRRTwTNnZi5xiSdXdqFuDIp9NhaODzg2a3cMb1mokTZqFPpNaUSZ46bV2Vd
kSpmYGNz666w6m442Dy5fnULWIxh5pxxl1CiwblJeQii9hHl6C31XTACM94raOm2dysc/aIpktlE
Nr0cUYyWWrYsa6VznaBmAITrqcm0m70dl6igdXanx/5LiYy6H5Cs+fyCp3aAC49jl1eq3bXnlu/M
hcigl+0dLlW202i6wmXJ9af+ZdD8GzQKYv0VhVTKCL8OtAVgYLJPg1ndshQsiYzhxcuhZPRj8gxC
4StAswvEno/JEbdxWbyynB/Zrx2LPpxXBVOdzNLPZqsPQlMnHVEM6NfkTPqUtzubxK5oJqafc0RE
gNY0WME9cPNpPHky/WoA+OMBxmxt9oEFFOpqEsEHiPRq0w+a4tjWfq6YPG4SD8ZQlDU34+DwZCpa
knPh9wEM7W4SGLQqaS1OxDSmigeVj4LXL+NgvjIrOM0O3rQ6JZ8hoXHEof8xj/0ZzeMmRaDgPAjn
vMHRileeY7EfVy+VRZ8bUYXb1J6eS9P41lsM9cJBHR1UbjVhPG09/xCF/h21NFdOrW7LQr7XMw9V
HHUrjmLXjsU4z071RnXjOQhwRgU5HLLB8pbHOVzoMTwomFqJZlrM9A9fry0+/Uzc8nE+sXC1l5ze
7hwTG96doFk3jb7nMEWZLTN3bneWDCbBa8pkvo2x9aCiDCK90Z9V2Fzz6MhXRQMQkJnOtkUdKxVV
D1LUVJZMd0WbYd5ELt45dX4LSPdUNsEdvlkaC2b0cJyAxWp2JHUzQ/y1GwMidqFxYzs52MOAPtYI
W141Z1fsaHIWGzIFHuLx4LgZmIqOKuhh2tYJYeomre/TpkR5ltA/wuLQ92Dk6G1stjPMMDAv1+Wy
7VL6gt7xVNTdd+aQh3qWzDMr+3tZj1twXuc+SOZj2WD11wMVrSAWGPvA0NBCW1dp8+YRDNQzVhdP
biZGyco1r3MV7hOFHhiqmcOmNbM8dLuhnHaAI1DYQ3V0F1aaBc0yhdg0WSX2LxBuS0DiZqLDJmzm
tzric/Isqr69mh6egUSCnb93wiEKMBEUZwS6FiETGIF/GjPD3m6QXrKp43Ku7EvaQRt3DKYYIY7D
9ViX/R5UVboOS/ed7iL6u9PhqqjAkfeei/Rud/sy8Lq10w/MuefsyQ3K4ySrD9l7DAU5HcmYwT/B
AXrhQfp7WBh2lkqcTebmj0ZqXoQL8ZGFTG+jHh08JqKwjeEgrBOzpdg3LrIdJj/SK0xG18p1LnSl
axqYWTUy6zQBlsHbHr8Mo0TdmKS9tyHTbKRYenuVCSXFLVgXY0YGNWON3HEoYsww4Ff1NafNd6tB
rIFNSi3KpK5Z58693V9YySeWxPSK6rN3v+DjSg3HXA0o+PiT2G9hidQmmEdDKQp7c/pu8mx0t5RP
3HgTxY6FGzwpMd1DMnob5ulKlOml67J3XyPOt77ip3Hznpp4vKGu6oC9hzAyPNmwFYioRDQr+H1W
7H9rbO1tWRdBYebU9/HEdWR20I68kk3EdKgfbgxhZ5hK7Ts1sjBblXk9EFVTjq3Owaj8rTaMh3IY
99OoziVGhbie6lWk7c8GIMnZH4eHGWp65wRbZhpYw51wDTzLXRfNTtXRLqGqZzODN9+BfODWMvxt
UfIIBxYKPqfKSfXVPmXmJuaPcBrewJesNbrcKgmHy9RSosZi2kKQhVDoTRFFGBHjir5gk5xhd2yz
93yEU2x1Cu8i6ZNZDNf4BSl8yDJnbSfdTBSuOhAs4fkt9R1XX7IaI/GpZP0URdUxm/QmK+1t09Mp
5kzzI5YmylUK+Vh1INrzyT53Yno1fDh7hp2D5xmnRygnlzGzH3HF3NCoft8RYOQaLvlYh0fGdnKd
We7XLuyvlEm8NzbGk50Vh8kdzk5i0wEN1alXy/DUd7dTxobKqfVtX2BQbkvjm6jlFa6PhP1AgS8e
rT/GMUB+pz8PVU2eaV5mWF2xMTXUWYN6Lvwh0YFql1vRhEfVxd8jO9F712c2x1MlM6wKb37t4owb
XvIgxnQYl1+wpTOJCo+GUwUXkwIfSH65PuWJd+2E5J9591asRbs4z64a6R7Ydm0xX78Cx2DVMUlh
mKQ2D07g9zsP7NkBGyqDKTNxj4nLck37kz5MWrEbZ1k9TYkytyoqhhNT3ROTPirOnPNkd85KpuF7
r9m4doVig4vm5/vuqdGEyauiY+ipjYJtiokZOKXjCH4UdgQVnkbbzHdEgtONOUyvdLcIjsbubYKZ
h+Futl1IBmsz715sVSIJpc+BrM5phH84qm2fAWj+bjfcjRTgwJaCijS24cBXtWwDexeaXNXuMoY/
1F/CTpNtcUs3FuOwxZFgDTKlPCX7CuhzPjvaPZWuHa/7RY0ebWPvMHXdg2SNCENxHPVj89pOytsk
cd+V29oo39m1MrDiU/y5M9Be6+UVB/fOJzKZz8G1wy6WKR/fBHdqa8itGdSvgm4UDn4x5vHEzlYZ
ACd2z9MXr6cevUyfuF0/kJ1vknQ5X7SlYFfefoZN2kCITx686gPP14tnt+WOHrKdw96aE6ycVzTI
DVtlFOUuz2frS2Lh1Q+SJtmShkFIbgxqoPKmuEAhe6eJij2cxVcR0zPRXZIHEJCUrSoyWDMuGy8v
zI03GRwgwq20MhjbNK803mUKjNcsuWM2vVGFdcbgRNAirR5nrBocQzBwUXBjx3gZBGGUtP8MALxM
2Trq2YJQ5eSo2yXwiIK3sqLYOSR9fu/ZNyGltGuJfrMS5FDLqcNfNZ2YIJ88XAArI3B3KTBIiGve
OTSNgW/fvlZxgmoiXBZF7U1bzMyQh2bnTpmvgEKjo2icHRHM9VzaR69anDiBfBl7OLqRnJ+lT6OW
DbSW1Tsapuu6s9td5Ns3onSZVvj7sCqPYz3cVXnkroVKr8lantPOvDJd+4oME5CyCmJp+4h57yHM
62drsA5dkihk4u6giflQBvOIjIAvKOxu/QYHGwRedkECl3wh3nDP48fvyBc0pX7Nsuuyk09t6Zqb
OOnyg/Cmz3Z2TrLjaOqwA4uG5RifMEpuICmbENfX0eyhyDL5L1pMXaZdnfoww/ndUTYUcx+v7Cg9
KSB/RvRhi5eBBbGf5R2ZgcVNX7yeSy+8qpvyqu+tk4m3cW320U1CmunoBtGp4nXaEk6a6yXfOl9e
GpPwvFmCxuA0bTKa92mnc3xjxTbzdS7fpcZ99E6PCrObvNr4Rr8jIHRgEaVVoEt5kC4JT3XdYY2C
n0U+QmvcSGlZbtwxeZhs3zibg1YbwlH5TvY9e33fvJ5857HOMfZ0FA1is2EH0LbWIZ+XLeW2sOtP
d8Zx4C9oa8o4ZqGHvW6bA5bj66YLIS73B6/tHtOkbnfV9I4f7t2Xvn/Mx+9ZMR7BYe/Lyryh9Gm+
dkEG6dr4tPiJXqCbrEwzeAULR4pG5fQb81sE/dRfTxOAbmIta+GRRvKlS4QozcSW1mBsJCGtYj7T
dpjFqHULBQzoILw5zbgDnc8eK352QJ0rwnXiewvzchl3gXEVKtoLp86uejcwyDz62dlTtrUdaSJe
DSLPN05kzOtOuw8/xNS/pDT/3xwbi2W2+a915Yf3aqkPSqs/acs/vuh3XdkSv7mww/DeMx22PQrU
/tCV+RNERdfkfwz8UZ5RfP+hK4eEtrBDC0YGgn/+Q1e2f8O/by6BB8hKP8zVf2Fs/IPC8I+xFaoy
mVp4PhaqMg0nzHL/PMdRGdF/j/MM0huqa0WUeh8uMU4X0MemBt2+FwkPTMSWG4NwqyXTo5OpZmeK
/LHggtXV8OCmFY1hVIxf2tp9Ri5i6WAMvDWCrtgmoeQA39vt0SNJvYL3yoZP0taZ5OylfSP6VogB
Vna/6AAep8PR9L+z3gH5C8tDEFYvPt6oTT8GZEu19dB79OTir11J/LRA1Pk7bvfWxPpYyS/AEVne
lVduDCd6LPu/mUH+0mX+P8kA/GnKsv9WX7+X37r/BR06DB/+7U3QUKP182zlx9///fp3fgMjzuX/
x1hlcSb8Plcxll4sH44dNwH5JYu/9vMNsFzbGIFoCGewx/Tkj8GK8H+jjYeJCwF7i8IZbqi/cAP8
OmjGMoGlFo8GA5/A9zF2/PkGGGh0iGk/rVZu0ZftYvId5oNvVN7SIll6+xmp2iTYP1ktVj9jxGHh
9bNGwaYYc6t0VLSrbCz5LyJyw3brFDjCtoAPgnYLENp31ihvEYFX0y8pjimHJLj/6b3+J6YCi9/9
T7MhAjc2NCimTD7MriXr88sv0UxmRwy1/65Zivo7XrRv8HoO8FN5LnQQ88lnIl1ArtxaBuZd6Inz
nn4I51sUopm+0eys7T1mNhzcdTBP+QvJzJniRcFBZIMhEfGgp1TkXbNq8VhHJAdjYk+1xwbCZ2jQ
F672dlY6i/ahMSJ6BhyerLfcqJa9H9ko9ltotm5Hh87SQTHO0sSN7EmzoFqHxtF1WCynocwrOeqV
wJzXCEXyFp5QGKzxr0AcNGXW9qsEjVJhgACZu4HQaTwldCZX67hMI7TOwK2+435NbLUCcCmv8ZrL
t0AAWjqrcQJaQIiww+5ahXgcVAHfpUdqI8iqwbNu084XxaapDZM5cZdcMJU7PJKrYbofzIbWTXts
pjdDQEzZjF2voaHIGBJS5vYYKaZxQAxiJp4+ptAfCVcV6bBPwGswYwuYbkALYqSyQXWV4xe+mqZQ
3Yz98JiEtWcspZeN3rWRS52xmdTmfUZXpHtFxhkhx1aU7ZJiDRcuFJS0N4VXSZOK6IDmQtJuP4k9
Rf5DUlVMRkzXbeZDoE28x9kwDm/kjotix3zOijmOxcl8q21LcnqSyzjClVaM/JxaVCk5ykqgsPSK
Q1Tl+9exaUv73p9ln4L9T/ktVCaat1rLJDzmQyTukCYxn9dxok5s7GbC5H2fjLspnDDtkDce5bVK
7AZe69BRTBvEIWlLGEomHF2abOsVWdH55AuJmluaRfCqO+Bzm75fnhS2q5OXpKKokydHkztbN6K3
+2jEHeOzPqtK+TakZfa9bhJSh3XlxNZnjRnhFhw0UwXd18ZIxLyi1VlCUzvxVB2iXdQpvDKKuR9V
lZ2mt63lnkq2Zu3GyROM+eGrqDON0iJMxZ1UUOO+STF2MjyIIi1ucOPyzZCn+GYOfuOJghoS1zD+
wVugMUl+Md7dnkqIcz1KFhDpDIG1q8JwvK1CSSBc+kNvPBSOCpxjYFjcbMoKsKRCiuGb6skqMO22
43g7CjOfHBC0y62oFIZrSkOynm/R8JAev4w1pNwDXMwZLkSd2CNJfoWvvPx0AIkRvlBE/bDpGDn4
2mzVuEkYPo8JqF0HVYUGYHzeY/NGwleJmwLCBe1HPy7XWUiK1DW4ZYpcjJyl4feLrh2IC+2Cpqc4
QnRzVV1IQ0Btsr0iR/vsgnffiSlgcFL67Hn0x+6r4KTpHSuyJoLptG+vGzfr7nhPYGqkyeS8GSrK
Ly7k4RvPGgx6urPE+Toag6NWOM0+M46UB7ZK2Rl7b7vt6bg9agqi1l7VUNMeB6I/xGX1PQanu5nZ
0cRoEmV+7RfCZ7aUk8HeAd+hx72PFDGg2XSHbZVFJkc65HSXWc42m7PpbWwC/7r2zeop7EGQ8ziI
6y9DYYbnYkppS5mMinCUzrUAHBLhh63r4pm6n/Ao3aG+cmkvGVYc0LNbm/AnzvIssA8x/j9/wdgk
T8XoPgQJRhk+qTSFiW/2VI4GYtAauOpQe7Q4IY3z/nT+wiZZGqoAlvBG1wWDkA5hcV6T00gXG7OU
m8byp/u8Zoi+wR3v3npWWV9oUuYzsA39qEdgAF3UUT3gjzAn6C+iFERBQY/dNr2fmgQNzqM6/mau
tLzEQ51vsanSDVOop9xX2fUkIMVnQ/sSWDUVhLMbGdnaY501jn1ZRy/0CD/ouY2PSur2wm9fLKXy
+m2kkoUtXBodc6A466bQ9Z7AV4Ly1dgoPGmGCuRwQ5P5Uhwxx8ACOR82NNyEAXduZvVAt+Y8KVjN
iuQ7pPzygRW7pK8+YoS4yppO7k3yDPwHv0xuhlCG+ZZQULuj4gc2fOF4s4QNQnx6nckyu+DeR6YI
Epzs2JdhHc1+2hibkMIEJhoLW6asxBddtjUcEsOXX9PUgBITReb0IAfpQYiPpUGUAR/hxp/UUtfs
sAVmTOVdz0WRH02wEcybbX0ph9xfV0ygTgLh4FBU/owJA8BUjJBf7iT1Exjgzaz+yqMxA5shUbgp
8lEHKGLtZkEG0x1ACYQ4pWxf/ENRLhg6ZLKE7kqV959GPTrfGCh9j3DjXWHYjzeK3dTT5ITRW2Dm
/hcjGId0Q83KV2hoSNXZlEZrRNUASKNPqzKiiMtL5aF/zrImC89m0ct7xyGdw3kG/zxyWPNtMlX3
nX5hecsKvwDGuPeuSWOqD8tS/gP9zMRFGLcWcOZm/6IrZ242bSEK6ghEcNeIyX8vwavcIaWlUGei
cstZfn7JrcE9qwA0Mh3Y0RVmMqqmzNl6ASeRM/Lv1J27SLlYEcIV4I16U3pNDIYJzYX1ww/b7rpE
fHucQXFwdKBXhO0YvvGeuYXrhm/A2pb8VmFkyTbLrYrGsRQSGwOlfrqi3MR7Q+viZhdzH9LI7FYA
nfGCt0uzWPE9UAP8qmxouueg9Xj2sxwExTqlpoLnSYSNPUnB2NMx1msEHoeHMdPRkLS9V9n+bkiz
cdz9P97OY0tuJcuy/9Jzq2UQBjHoHrjDVWhFOcGiCEJLg/762oiX3cVwsiI6e9D5BvkEyYDDAbNr
956zD7tB9glCwEAsR7YMl7YqBzeopZ8fdKdhKzQwn5C3NlUn72fso8euK9RzkUbVxRKzuG9InJ1I
bSZHYDnEMNli+hNzgvmUYow+58R34H0Aw4+Nxit7SGqb3EVsu4lS5X3GGOCtCTl0LIJCTY59DIGt
5IFAea93FEFIhmxeLuyEZe0HML3pPrt9LPcjxH8IJPnsD8zazSYY/KnbjwRjLdu4HhgxtnPN2m0I
1ycOoDcLxp3a769qfBVJkIUtPT6mkI54GN2ESIFqIKlr57Fv4vdxjNz4WiW28bW33Hm66/2ZNEcU
KfgRE0oh9gA5SDARQxOjgxnq/s6hUkquDNSzgE7C2ewuIvQPE99EZ2VXfurrz8ls1/fsyN5wYSdj
NaD6s+p0I/KEnWtu6/pnP3cKPQghX4R6T3ZPLNdksX3kCPeOVjqiDE0HxMl27KPQGRaIY5txXOVR
2pJUrXaYOsZ93tiIUZEWD3cKxwTt2tioD72V+ZdF3fvezqTA0wEHYwmYlXMHiwnT9Dms8V0k2ZQe
rTBKH5BGsa/ata1+URzdOEQoNdxDs3EvDEtPkBGdhWO1T/tv4pFMRIHVbUqRAFTWJYk8tX2QfUjy
eA4/176sionnX5DARPaIGJlIxtQZX8iRQspkL2Nzk7GHqi3Q7Hs7jDFqyV76gA+gnw2babCmLggF
pdimFDZNOw/FB9swR7cd5xmK9YUy4FuL5vcxh8ZDCa7b7Lo1euc5MlxkNCKet6Gi2gLe5YibLC/q
rz6ja05HYKD5Npoe06Zv12MBaW5IITHMq1hNV/VMOsrCgGcTa5STx5KMuAEVJtkCgB0ZE+0LMKLN
wXQj02L4qcQVvDSvCZZeCeOCg0/nwEDpk48ItrVCaVJ6n8cCy0ai7LklPCLxPjaWpPm5aNaeLRiC
+pQOMZq42mPgDAWf17dlZs/5AtXoRw/LEUqAifs/W6Aiti6pNFfOsJ7vItnbH7A8V1/svB4OGVC9
rzbOK16GvJp+mp3R3HtNlTEEbOLQPvUkR5+I9NEjAxNZZuh2evk1xI9KQMHLISDOjcmEWpd9BNTo
ITDzl2bZD8tYecfOG5mo2sKOBUeVcFSb0Qh/WWpMkGfLCQSh653QLHZXPmNJkC2CbIqA6cBiBeRI
oc6j+tPw1kxr+RQb7fKxN+Ye4IfTL4/u0LqaBk1hXeYrP8m06CoDMZ68O8aVHjay3DZo6rJYKKPF
X0Pekz62ZtQ+Un4PG+jCSADgzhxhbHEgjCtoo9z47No3vQq/o2h3tevGJyYJP5VD216uXCheuhG4
pBcxBG5lwZe8MqTilSYl8I7d20SUPLd2Yf/qB4Xp2k/ar/4U+4/RHDJKYX8NTFcUaybRCrCSLywr
Xt/ncFwBVzVHls9ws8t6W8VLjFI+GfPm0LSz+8VoK2sIHM0siYA8lAqoFPjnymvmW6AoDLjjqtuj
XyChwV/pXTksmAxDJUyvwbTLC6xN04HNEs4yZ0oP1k23DV/QYMwa7iSVxyH120+J60YfDGE6l2YL
jSsB/35ciulI9Tbf2qIxP6sXDFnRjPGlUenF2lGctAdn5ZeZwiJWiqc9iw6TPfWnacWBxrMxfJhy
w8X4QAHfSGtfFWq41Z2JtD1cEWpL7v6sppWqloWx5BXF3Hfprfy1blh4Rwi/I7cOExYUvmoyT+w+
z/SOo5+OaAAGxgYKQxZV/AQr+w00d2sF5K8lyC1U6hvbLu/iB1bJHC4dDsKxTnyWiJqnk71+5c6h
Sff345ySMpRAckKdSpZ1bVDaSsvbFhz8tk06tHdFkpQ7gM3DNVrMZyyW/n6YO3FqHSu/tFNhHofQ
2QKGLWwGSKJ49tLa2iWubm79F64ezlKUVekLby9e0Xt2pfU9CXnZwUVwhqgUVfqO3Ekqy96NXZh9
kWTA1jVEkeb+QtyGQOHVhzonZdSr0gvSAId70GHflqieLigvumM2Oy32QYBLnuXZjHYQ1A4FUYy7
6SXGnLhSpCDpNB/iF1IhKkGUCgCTx72Vk1Bq8nyewrpNrCMNe/+7DdP8odSy48u3kAzVAGK7S2PM
QwFxroGu2K2gxXxFLroGVQ3rpE9kT1snGfwJZ/7ujnZ+q2sEMhcKDcWddgUvUWwuLPdiSdufIGQx
LsoXNGTRWZ/ajjOh3fZGechWnGSYlWCcUqoO3t4ZeMqmEBxQeIwXavLWjhAqTEn/aHuFOFGMw8CM
pQq3Vh2RCDZwbNrVVokrUq8wzCY0v9hNY1yWKaILOH3dXjVjCvxIiK+SPu7BXEGbRpoiHwlFdJo4
f2wyoBU7ahT21nalvHkruLOZMfnTuS3nY+taxgfEBzC4WBdUtnM6rnlyDONT7ZUhrlAY2bSj/Owu
AnD2VUWlk3M619XTPIVPrYZqlL9wSMdW8OK42conbcuhoMn9Ai+F1DzeARkT4S3ZSt52aAf/Yylz
ZDqOHA+zJiF+P0UjzibKgTlo8Cg+UA8ue+MFqeoaqv2eKTir/QtytQK+Oo1d1gYY46FoiPwwrKRW
Kk/hbTwffus0NPVOF4Cl2ACb770hsrtYAS9tw6HiCMZM/9p8gcQKuoUngErjqeKQdF8Mw951c28J
3GjOv4NlqskPazOfBKviktjVeWO0YXw0VkYtKLb4SFIf2x/FOloxp/ee21HOeotU3VNB5849NQDh
LN1hWvm47jL0nxtSbI5Vb+rubgaJsq9iwLoO5y1S6PBhZ0V+V8zxqefTHnrR86J7K6DXfmH1Li/c
3sj19LhrVqjv0qrmM5jlm3oVppJo6Wwny00+J1EpH9p2VSwvmUkDTSZffIL/jiLCoJvCFq5C/Kkp
vYcZDCbRjLQxBNU252SmuKNTXJEvmp04TpYHawUZA6g18J8AN075lroK/kLQOSHSPvii5YleD3wW
9BunPrbFg07Ziah5FK+C9WC4gJVp+kXb1Tm7b4Wwrxkwz1ew+ES8M5cOiqCvLRe3FYgRSgDVI5Bs
feNLiDLrODK8JeI8E9WlXw0TvTlA0G5sUcOBhjYIyt43Zp58NHML2aMICTPxVXox+XF7nUWApk2I
0wvEty3xxD/dFUattOYNIm2xvM19aKl49z52dhknV8IrOxSKSlw0pdd98V7Q2MqCgnmXUkdMX0u8
UTRh3V4iswr7tA84Dzm0u8YkIhWtLmw+I60+EAXJUtBMBTU1xkEsG/2E45sK0Go5vkBXoBMU2ols
DrGFaWDToMiM0ZVVUmwSwPgfEI/2AKRiwuGieLAvRSn5BRzsnbvZHosndtwWQUiZUEuR4hgpaGEQ
b04Dh5EiMGogoJcd2qA4qIBzuBuMdmOyU5MxEQaNUzsNIGaxzEy2y6GL79Sj+USQ87B5u2n+t465
gkxOQYnDjCHA67Z/Q57naFr+M26P+cIreqmOBFwT4jZX2NoQ5IQVDf12vnEzUX9++2efedvo1mNW
YRaIIciR7stE8HfvlOcMgAuq5ZtX6fI68a3+EOFnCxaarkFiNP2xsvL+QYSZXWzTXsj92z/+z5EH
vjqLK7CtdePCi/T6s8euisW0CgkXacTxrkAxRgPRT5L5B6p3NTzVxI2TNw9OjVY93PLvKXoqvQem
Q0U3tqh+t9T8TRrMKpmyEyijOb9k9haaBxWbhQjsTDfTXbWgWgU5BoH26p2PcOZycxgLcd2Yxwgw
4f/wzr6yn4kYlNRsoJ8hhTdzDnEb0wcnoYcsHeAtvbnrMgPtPzUUM52Y1HIK99xYRzViGj/aek20
XVpYN4HxMrUhdt7J7/79i4T8hqLD93nGuM7XF2lZLLYu8P2NU7fpcAgt4VSXQOi4Ljbu+y4ek2c/
65jVkAPETX6ZIvkVmVk7s4lMJLNplNDuIUkHAsGsFv+dl2Cd4v3u4mMabSlCMzxFeAcGYW+9zb+5
+GhsxzXc64Tgkxxp5z8vnTY1qadGTY/qhnVD6b2T0K8P3KqdnVM0afwzPrzTCfXS3KE00lNG+ZA3
JY+LniyelLCZjPmyIOkUbWc3do73jsvReu2GUlw54RmW4i0ylSTRaDXa/nblkDaW3F8lkLhjeXqt
bM69rznc+2EnZl7sbwXk+zwYRWxn1xFICdJbKyB4NxG2nvgScVykjnlek3/eIj3K94zAdIS1QUO4
US1Spjpdp0F0AmB9j91sflSK9F/syblDThyps/a+oW4mjLvgqEEt3XgH4VUFyW+8Ar84MaUPlrTo
tSYNMxP48574VkMSGe9HpEhP/mQR+AYttK7eeTvMMzckN8d2eQHgHeIZw5Z29oIvDCYKl6EOVN14
im9E4nG06buEjNaEmqnalVBorGvddhyooJ2a8+WCeA+cCHHj86XNoe2W7r9GC1AyosVAquz6yCKa
pZfSmcE9ABZSYsNk19RBk/WMbrwi4reak1clDWIaSdiL1/ap9612imw50XVJP9Pgl/PT22/Z68XU
NSWsBJYRe30YwLydx1/EI+40O8NyW3hjuVbQ0ZZY9PxUyKK+cJKWfoAkeh7vA/bKWfgAQt++gJc4
st8lFHRVbUfxGBJjpBz/ZTj726O4xJOayxS45RInukJOb9gUkYtHT+GfkQ632bVPfmjHnxNRddBw
4nZdWY3I/KFiBSc0r1Vik84gYcibOb3KfWGN/dcyZRPk9Ak8CHp02OwUqpGD6jMEEQ2H3WRTqkUU
mD3MUOywYTnF4Z0Pd357mbAjnfUMg5QV3NiW+fo9U8BGZOh0PzmZNNd0Wsp8S7QQV0+HAPXXZPYh
uizXuoAtF3+rZUk70XWB0OyIagmt3eiXCNUq6fi3M53RYJjT9NGcSHplpmSgfetnNEp9yZoiQ4Vk
nukNdCEpR+Tuk+duaQnTNvewicDGKAlroZencBX4dftghxyGtm9/4hfn8u9fJ58Yq6eDaRN1jEK2
8PoT5wJJsqogBOMXZmFh6sEZotJr7wxVArpIWk/Dnmesus4HNOcHVdF3pSbnWNM1Vjzt3r6gs+E+
FyE9IrdW77BrQNR017f9t+ersO2EIgITezeynZ/wc4jHNPVLF5qdETbBZDnzhwG2FpNcKP/JblSz
F175iMMSuk2d7jcjg+p0Y0TK/1WClep2aSGdG9fKLMhudVb8ahPFqFIB/7ruh7LJH+XoTZyv1gEn
C039xay1elI9/XqCNfBkbF7+LZKgmma9RNm9naMhwREqvCzfa2LlwdJDw9rIQXN8U7rKrI2q4fwH
c2HoGp+oJq08XKwkIe97WhMnYcfQcaEoj/kjR3veFqwiHTkvFX9Y/jKBNAvbio4QxZojcVD4xxj7
c5BUIcZMCD3rQSELsVIguMZqWLqFb5/KOV1H7aRGXJF6anzQgDJ6rOicfZDe43hDReRf5xL1EY4l
I0fn3BWUryoHi08WAlJWeAM946aXL/b/m5ho/UE/6I62CYc5/b9eZETRcxV86769+ofdC73zvn9u
54dn3efd/5bLrL/y//Y//osB+jTXz//zf/yoSHpf/7QoqV7rftaQtTfEcsO3/Pu39ucrqdD6W/6R
ClkWUrnVae3hqF4LYxabf6RChvwPW/mS3p5k619Br/9HKeTJ/8BLTylLOe1QFzqsYP+yYLtoj8Ax
GIZU/7BXzH9HKfR6JXTIW7CpClDYkI1KsKV1ti4QkcjpU0tjN7t6vDV42haA4hjGN9VU+N6V0TSR
t6fnBc2+SmTeXYmhMNxPv92wv4l9+KS/lWz/XIbnI/bxgE0gWTpbkEsHgTDUSi6DoCIyBqbJ9k+V
R/46RrQx/MqACpI+FuP8c984JsAnrDQzyhpo2se+bsJbm3tvn8LIYg5vx5G+cMgiojc744/lN9pl
dPfONb+u1mFHgT2wYESwU4O68M9hHmm6+DBBK9qLpJxB6yznQxKSs105sr4cIlNRrofxgybydSf6
1GHzhr+SNnhMogEQKg73hqDaOGR8986lvcZ2/HNpXBvQMoSYiCHPKuBecusM3Os7NRrFpTs7E06U
KN1NnH/3ulvuySWkf09NHCzCMI7Jwsw0N3qq+rev5PWB9F8X4nBWoH/NiF2drfIZk+vZaF6AYz6x
5TZEi+eZBtadasRIQe0lcPuXhTP6Mr8X4Xf+TK3fD8cTDgAcSJGWnp2m2jDhpIZ8nf6XtUimQVNE
yHKfyn1GfjGhQEhimO82iBTe/tBnm+3Lp3YUn5aCdQ2UPC/j9QqXHz2auwgtrF0h0Csg2De9o/ZS
l1RdpgknWXrjph17+2FEFrOZGZzdu1mIv/2di1nf4P/a+deLUS76OQm5mp3cPO8JOIvXIgVH/GXW
opN7GkEpnEMcfSiLqF9Jqe6YsVy0qUnAweJM+bca3Y61dXCyf3vnWv78SrABcWoEfoM0GJTx602f
3iNG0kz7O6+xaZUyeGn2jMPDa3r4oNpJ4A6/JBzpttFY5zcJYQkfBtziT8Dd9jmTLLCvw1x/ae1J
YFZKFC4x8nqapQvfWZD+fG5f1kUDChRVk/9CPPqtOkG1rqJEjqTXzHEP7EC6ats4dHMImLs2oeTe
2L1tP8Idj47v3KM/3l1k0AhAHe4TXQzDOXtsq2aBMskpZe8tZKsBSJtjJP2+YAglavklKbT5yejz
5Vfmx9Nxqrz4knlKss88dEZvX8uLwvLVs8MVrE0VniFYXtTLr7+vPo1SOc3ROvNfTUpZMzm8qhXL
2lWHCuuhhLA8X5is0LfLTEbfyQdb3yP6n8g8osG93GtiC5NL8FTG8Al7S1CVkSLyDjpqTVJXT1fN
krNxJfAZ4Tk1i6k7MPKjerHdPPe32TyRovb2pzqj0vFGEIDMHsPbyQEAhenZopTmNLESIyMqUXXd
cejH/gjhIN+OtC6CoamsPSUklsDSTH9MwyCOnjEN763Rr0+z/1wEiDFiDg12Jv7m9a1lSY5WS2q/
N516WjYa8x4lm0yNa79zP5Rrp/3tj/2XL5PNlWgFE12tQ71x9hOtvp1qY/b7/WTjSpScAfZk8thP
psxLL2ioULe1rqcrfB31lc9c/4LmDLJJs3PvKVZ/kiLGqGhxmjWNNf1YQz3aMXO5jI0ZySlw8eKo
ZL6ObvBG2tsE9dvGsYT74+3PcdboW+8cn4OIBKoqFhKOx6/vnCUse/ayEB+NxokQtLbsduAINJlc
UXNZGQPwBJ/pYSKi+lgv0Qz4oHIfiX+/n+223vtx1G/IHnMebLa9nUrUuLKivdswY4xas4K+sx+8
IJBev0Y0XFnz1rXP4VB9/hr5XSbmrh1RprbJLzgKaUwbub9Vcz7fr0FURzoM/qlXZvHgivEHZwMf
b59OAx01TrJDwyeuvHApnirP6W7Niu57J6wCwk24zJ8WRFOoIcrpFhXxBzcSGUG/4bWwUlrRKFWY
nYlhuJmMJXunBvrzIV5fI4Mlgn0WW9nZBzM7r/HS0hj2YS/nK52JfodbuLqlkptPoWWn7zzDf/48
f/WVsJGRNmLYf5zbe8tSaaimPWft8rPViZ8UHQnNmnb8LqOk+/cSJtZHjWJ0tZKwD2Basc/2K2RX
sEiyHmYn3PgP5ONlz2KZ3EulyPPzxka9s+CuLpzXm7WNbQUhl+OgoSFI+uyG0ooqvUhG877GdLJF
SMTssqmKRxJ5GrLbB/eG1p/92PTAt+3RhUTY9yUkIb+Sxh1W6ujJ6mwSUbrJeWdfOj8ocCuYvtJ/
AxfFgfz8rUP36QudhNPez63sEM6+8TEKY5ieudPfTJ3n7wrHMZ67jjwOyyzfS4b524/3bMZqMCfh
lZ03/6qmgBesq3m/yGz6IEVtfGUQcRB2AaOx050VTKL76WlVX8SpcN/58MbrxuzLg0CFz9lE0f2j
XXH2IHheV1pE1ox7eFwauWDvq6fWrptt3syYJNJFP/kD6WNd5J6SmON5K93h1poVUjXEsqhi+pqB
uJPmxBMxa/zw9pr4x91RnCDx4q/eEg6a51HBTt4nI6FF1t6hFDi26Ddvq6giTslsms+jsn54Y9E8
MPqw9piP5ePbP/3Pepescf5iT5WSo+p5vZtomMoWY8V9mrSmeBBVX30YaSyON6nmrSJIAjzjNpqc
GtgQw1FoDEgdjoYR06SfUt3926U/F+T6nHHY6Sw+1dmpNiLZWRZZabNOjHbKvBvXdSir7npiXPjF
BTbfi/JfUSr/LT70L18CSNC1VYqJjYdhfYZ+qxmhm4eg3w17n0UafkfqD8avTmFJmQvHPQCEKH64
dJ5RP6X8u0qY9XuFzfoUvtpnFJ+V3gC8a5vS1V+r2t+uYIoh8MWDgy6TXD1ISRgXUvrGY1KeiEhu
LtpKAn+ZE2wOqBmt+SoWEMzuLAJAdIDfuFwf3rB4j2O49j7+uC4MST5novVrUWdfB1N3BGRm7+5D
MhwT7NQNmbW+i5gQ8f2wxDsPswVAeW5MGZSVU1hkeGlEb7B/nNOEgg2ZzmB689Fnwujvy2zm9GAN
QqI7XWL1mCRjilgk6ZfwoEcT1n/JMHB87/7+sQoAnqfzwkkWEyOo/rP721ZFbtRoU/c93MeQtEhI
NgC6G1oO8QDzZxOWEe7X2NLkjIW+NwVVVbpyi1gDxcdMQEd3YHatbw3E6SScSdeqAwv41HsRUn8+
ilggQWXSYaXHSmvp9YPgVg6w1IIbLmj+BFk+q1PXy0/M7v1rM5nzo9cY83dVV4fZMZP928vBH5s0
BQ4FGrkkiq4XrMDXP9xu4zgE2Oru/dESD1kZDXdO7MurzODwINuweSeS6qV8ev3Yry1tydagIBUD
Mn79A2kwaMeI0SfHbknwrbCmQ86ZF8KBLa+YT9rVLrTVCKm3IhQh8uUum7LqZOYsRK7oiptqcbMA
k4y+tApVH4o5acSuzOmGFNHifY7d2t6Ms6a+IpjjvfP5ep47u3q2epsOCXWG4kO8vvoY7xegiYQY
bZ7wG6v1/SejtPRlFRnRx2LizJsjACSuG0z+FdGOIeikuQvIyyZRktxLFEtOFpXv1KzG+iy/viyI
oz7/W3PI6Dqv3/Jva0lLy6SqF2vZ4xfLdYD0mMSAhvjZD4ljh9WnyY5ldRpnJqpbm4Dnalf0rXPV
LZZ70ZEWjxRLiCjZYERqif42o3A/FmIeL8fGRwZttcmgrmoTvcbbT99fLxzbJQutQ9vDdc4unCfB
LJ1BzHT4J+AjDebEcpf1jn9Xuk74peyaDk2vkZe0D63eM3Yg2MevvQY+tW7VFsYZMSBJTzSZvRu8
fu6xDydEZZNcK25t9Gr1Igr53oX/uXqzW4HZxRu61n7ng/Wx7lzkkMayRzVnAyuwjO6byjyy3Kzo
HvIvdN3IE1/tlowXwBL6yaugE4xyKm/Sjhf7nfv4l8tZj6Z4XLFhWtzK1w9AZw2cOqj59447zvso
tAZwTVNyUTlKX4faIZRHx+6FV43+RSW66SY3luKavzm55hxdvnM1fy69zK94OxAdrHDe8x19zit0
V4zhmdpXhxw6frZlFDo+oCEO1zaEeWlFWbvvukZeRU7bf5iyKQ96Ww8EXqEU02m73DEeJt5ID/k7
ZftfVqCV6sxIi0Q8n0XobAUyyzJyW4m+GeEbkquK9vXGd8KkvhNTGxNiYyWx+0nMojsoU4xy74nZ
mr4iJ6UAyotCYByf3Mq4pl1PLzlUTu0EJCfImZzCJS4ugFtaEAPdpmOipMK42udLQpmZcGp571b/
5YtnsLBWkzRHWADOPoxXjwQUZQO+vtIn1zY2W46hjref0kiEm1bp5RrPWnEah+hJcE/uUFk5R8sP
AQDmbOxvf/PmX755lnRQSkhOQECft9kdvr2452QAd6lYTrBey5uy49sIDAVIzV5BEB3EnW2JNGgX
knxCR0nLO6+Yyn3cDBL3ydiQEchawckk8kk0i61WotJW+XZJCrQcqNnEk6sGc6OLOP3amA35Imn3
HT1x+iUvXOfj25/J+HPN5whr8mkMxD5wwNev4PfFFXSVyFrH35u8YLexkVnXDolXe7/Ms2+Dy9Q9
ypBWmjJBWC1D/zmJxu98EXWw6Dl+6GRmbv4fLokDlmKFWztj5z2KtOo7M2Peso9oFF21jq6vAHtB
wFQ2eMTBgGiZ5/1nn13phnVhDiaKOPimhoOfrXVuF4m6/O1rWleY11sQbToP3QenGzpk5yvQQIjR
JA0X5+asnE9zWiQEWavqmpp+2MWiEh9s7RbvHPX+8rzR8uVZYy62Blyps++GRKChJ6Hc5uGJ7AON
T/OIPsA9pLpAPxQXxSWCiQoEeppe1lo6v0aAcgQpLenGQYFyyLyuvRY5VP6NaZWXytTOjUDeCQDJ
wHqDWVYfwMgZO5GK/LSQ0f5UDWb6xEZzRWg6sKC376Lx0jT4/T7afK3ri4yiw4PHcd51z/KWuCpn
kFjUmtbfWtPiLEHH2OAp9c15CsRQE3PXMZGIAhZh6GZWb/qnCeggLo2ZI+cGDyxoJLBBY/2xJAko
CswyxXePYVyaN7O0ABBJjNnt18nIp93AOOKwMPjW24FwqQjqrvOksnj+HFqGw+ilzD5Wk6yY9cfD
tsHyWwaiMbp61/s51XtqNVj7Ql4TwpGpj3tqN3u8y3pgf5s5diH7OLE9fVWlp+vNkiUGXc0szC8s
raNxN1QDIFIUOsXWc4gXD2yCCfygbBUmyMax8xzskhxvkEKJdjsTtnLPrcMIm6Zt9twi/EnRlU6Y
8dFCRMPlQJUTHs1Bk/xemJ3WfEDRZycqhOyeRk77KzHNkZgFPlxQQKnNA8YDo7dtjJwIo0o3N3Y8
pBJbAUDQLSHzuJ/60U+GTeOqxiAdWuScFaxZXPZh13wOQ5u8MVBfoCoXMWJwrkLpl9ueuOmblKht
n6OG07dHrZrhhOCN+HnLQ7+whJFr7+TQApDSs5AXRsWMbZcteewEceQ15CQ2hQwPIwot42BlOn/g
5rEcttl6o8IsklvexjWNr3LcnwXyN8T27z2RZy82DyTL+Ro+w4gObfJZl6tunBa5vTJ2hZEYF6nM
yr1wW94XQCzX1kJwJOwuaHsGmzjIKys7cX40Tu9cxVpYv3otWFLWZts6+ObYbJ+d16XdLtrjxAit
ru5OwKajizJVcpd7yU1Evs/JipxHAIcJ3dSIbNmpRU3r+kQCp7gaIjii9IES/fz2ZZ2fnvjYXBU1
DkpmZhPy7PRUN6z+DdECu3Yuxuc8m6BO9m57N/TAqRSO2P3bP++P2oUVjpMaG6y5hqygOXu9F9XZ
EJdOO7g7z5/8q3QMs4tWxvkXbyDyPlEN70Zklzc45aKTXgqYIhJ3LMcsI4FdkxnI/YY0Xj46c1s8
QPdJH0kq0SNmVuea2D7WiAZHKlBSrNPw3wz53tME0+ePb5LDpvMiKWKrYM98/RF8e1I1+q1whytn
cXaV7bbeqckbJ8cc3vWkOs9xfBFC9tMHmVvLY8PzBxyrXyTOHmWM11OE0v+QjdNSBcbAoZao06T6
kuh0BNzmFqcuLjNc3BhdvkV4DtPtUCYZuB6vLasgkXX3sS3RjYckTh9Cd1TxRaM1MOYkq+LpPi4Q
EMJd6JHeLLVbfo6dZWTh63RdHmjeoSWKaoLij2SJdnpXEXwJlx3Ow3KKvLzs7nzCxdptWnjqYj1f
+4EpW0MB0Y6q4YQJt/he12lS79PczJZdyEniO2qiMj9OGpZs4PgthWOOZ0ZvnMQAoZYu5Hgid2rn
qyWjNYbjgO+Lpl37kwUi755owrTf47YEelj3UcxxKi6M4qKEjIBsd2CsF5Blp25yzyKT1JMJoox0
WMZvtpwLEzpbmhYsaY4Bd8xZB0woXcroxGwOTb/D2BYmKPm8GoSln/ebGjFsgk1nUfVmyBNvPBp1
kpcXbu7b8zWeqB7L27jUh1GO4bVpsrTPsl7We20+hBXs3xWB2magEHL7BwuQd6eUj66uA+8RwBYT
PvPG1MR1WVhH+mLNIzzQUhzDCjDM1oK+qvAl5/p2FMWaNqgywjF7X9ppEGfS/OIloCh1CsdgC0gw
kzu2Ih+uNKmETyXWVGz9ucrvUEKSESiyYbjGHtW12wTIybYanVIf8ylV6SasXPTmqMudaafxMpp7
/ithcSqmMbzpU3vJH922SG6o8934YsJReHCNNiofEzzLxW6ZAL8+mS7arTvI8uVwaGw2pt1cxeJn
lnJ2PUVYXxqg6tp2dk5YNh9ERHT03m/KUmyrwmw1ZqYux1Ey2HTJuiRpLwnVm6tdPtuOy3k+ixFI
VNpP5CZx/LG5s4YkNwBozzAkUrpLV0hiMxm40MiJRIQJeSg46HebpLW97lCn6ThcoVk3+I9Z1rd0
9YhNBDxJfNIe0HL+ULLNQgEukzlQxZCVd9hEHHZ+Dy7mVk6GWQY8jVlgjr0bXZe2baa7cJmSB/xz
CR723gunK1NbS/0oltqBwcW7OZ6SFqPVBproLA4TBpJhY3u9y3hsylZYwuyG3Y4XvOBTW/WUHxYz
I0YWv+QQjDT0i+dM1XmykaOMV6zy4DBM4dc3R6DKq0ErET2JRsmKqyZGWtngwOoMfjoN2eWWRw9v
doHIL8Funbf7SDSzu3cgVFwZGoDFkXTRhkWdUwuHvNH/CqxIO9sCC3gQJ257xRcJ7Js7Np1w4Qi1
Cb3Ef8QLarh3LCjDHCA8nSKYOesoZmQK+pSPZsvu5WkdRFHvZtvBYN+8rg2S7TZ2RCm7N+w2XIJl
JvQTQaMNmCxsdJ0Ta5sbZNjbs/8IvtI2LspiVo+dTsafqu0rljcykvwt6UCW3oNoLOJjgZ0o2wq6
jxrK59J+sc06V9t6yIkqHXQNlVVgGYbIGEbgWTrpG1iEzbTvdyP+7Y/ZiHkLgKH10SalpsGHv2Jg
iQWO1GWTE0q86YvRU7sIrD8lcw8KaIsRGTyT5Rbp97CSY7dbrEp/dBj3tgfEG+NCP08sSzBEwvYO
OTl2MWTVqMOMxhPTbXsbnsq9G/NB94hdqBgnk4xEUOPTdAlfI/+REkNZ7Dq/UilSBwUxU3Z1dzFi
p0EXZS/GyLSt1c51bKcxDq0MFY/ZJ6wTlYqpVhist92uUU5+xKnnwqvPe151OtmjH0RDJ0Hs5F53
L5v+Pyk7sx25dSyLfpEAzZReQ4o5ZzvttF+E9CRqnkWKX98r6qlvVuMa/VBAwbh2Rioo8vCcvdee
X8004veb1mou7+OhnBDY0i9wX2Nv8v/wdIP22nDBcvcTRdIXa8NZm6B1MndKTdNvzxsn2s1mjeq9
J+aZFDDL1BTBhRzDF7SwVpZiEFLuUWte/aOmIl73IB3zV/iPuAUjpnbQP/NMn62S+JBztQwdCamx
7QC7mZvtXhfWtLAog7DCUeqoFeq6aSrgPjNFWmRP7s0jwTkT0EvDHLpKHAT0kGYBAD/S5FcHXZBW
lTXkp2K2XYy8+RLZKUxeFrCcch9crtu0F4vqNAmI8eDZt6afj7DgfYWxxHY/V6iTi08ZESnRealV
PF6wVpkZlWw1U7HNy+ee0Nwr4+f8eat4R0nuLp2nSjbh2zqLTh8r296W+62b9CfhQSHFqYhf/BFm
hQoTApVd0igmny1W+ia0En4XYDL1UCiR4nqU1H43uE5iBhtlRunM2UWGolGc0YX7VS5LNpIBRVry
lXUwIdQN6vlFrSIzSSiEinao8OqRTV87Yu9oD0Q7swPdHbTTx79lGfFcwCrTonQju5/wAhLKmZTS
4V8J5q4/w2XVV7OuaiGnht1rN5qcU3CmIiCiehs9JMJNQfMtXuh9bwpJXVqpYcsPJdiQ7jDzR7hg
Vx8SCFRp5zKSXIJLQsn6y9Z7NdQF+t7beYwEgO3KbVSDUwR/XTHX1DpR7bfBOQsN6g9rgdgfLy2E
BMFjfagQF4I5bDwCbEHCzddNdFzV1hLORmpqAxNiBIhxBXthGH3CtdJ3xIMzmzX1uBx6EnJpkGka
zJes0hyELZMQqoKChpc3mfAF2dG8JmEAo+hzU0tlPzSMzeR1yZfwB9q1GNw/mdVyJ8exJQ17yMcG
mfMwv5NZjrs4WDx+Grd88w1TvYDxusbEdEedmUA4keQ3Jzd6O+QkPWwv5RaaeV8bS/9atLDfhVM/
57wtfK4BskDC7kKDafHq9UhYJUktdmd7z9lmMEPcutxI+phAOfdWaYMyxnJi3butRb9cxDjt+Rmx
3ZyIAWzWg/Y7QFAFHvu0GVbimbMtii6zgJlwKtuaZ2M7Tf5a0H3d0d+slpPyJ5nfTzkB4qyURjeJ
03cxWSwzqpYzPRl9hprqzi9Gt71FJszg/xY4ZJwDNZ9lPxtrFF3C+x5m+C/k/OzHDKL2hIGzUikp
qI4AiFMOT1NWxtzUTd4lcgBFzblKqDMy1aZFju8466nFVLce2DXCaT/WKwYUEeO8T8RKSw4a7xYh
fl88/3nAIzXu+PwE8wRqWJKBjRy7swJUG2Cu79MswI93Fm0GvA0DnsVAMCL5fBkjM7/T+LTvu3Cy
0KgztMSVGZmpI74iXLIjknbJWNPxCEKZAgejiNcX0HOof+JDARoNCGBdzDQgpkkGx4wQyWZvMRYt
z/yCYfbSLaV7RoCWmftBbUo++tEajMj6HMs+Vpvr/KHp5KmL7mvbAmbVW/u19ht3L2bNgLIBJfwF
N+ksTi1MvIZ3tPDeK24dSzJZaAjSWddmfFBk9FVJRxbEcMKbN0ZpNjiiS3nZO7HvQAk0OZkkWwNy
Roayfs/xN73WcdSq1A2XEPKzXw8ESpChmvG95FO+Cy0tvpGPm0dPfd+W4wGrF/sQaA+5ErC0hPmb
zagsPwWqlY/z0rjDlR2cPoyQrn5QURNXF0/5Peo2RoQmERpv+6EyuRPs4tws6q70eVHvPEOb41H1
flGfiwZuzt5l0vAkh4EKA1Y2RHCoZB1zbVJz1Z2MyXO+DoVUJXJo9E3HblpA/BAmbaVDR9R1Wnhe
88KSR9FSIIlFc4XHjUtYMfiQ9Du8lgCyfYJDgi0Ue1/0ZOc6pIOlnMGOc58rOMx0X7zofZY3aFe2
2SDUshp3RBk1/TlrHZis0FuBrdh2FbwMHoEZJ+kjGNtzYcmckwRs1JKraecGA68Gbe7PgATxIoaV
Imi7ND/sosJWoQqZX9CbxnOi+5JHaA0c2apZohlyiLcOoJVay9oXjID3eLUK6p05H37n/o1BoGty
ax4gQ3mgiUzzw9OKW6lWfYRQau5g5LdWM/zWI/XbuStuELEAGiAX/UGv+U4R9tDvLSvLm0NsYXbb
EaAN1icSItj50zD5yVplEwyRdjaw7c1NFxs0/vj59jaoZGiwxyQAnPsvzCuHTw4rukgD05c19j+t
PPbmSNsgdriK7eyoKEngdOCTQLnz5uPc6aIgcxJloHKc/I+qxqK6DstQTYwbPe8y16IJ97bf98XF
KmOFJxxvkZ/6EQoQTJUrKYCCq9Ud7/PylCt8qgesJ+27U05VcewLCNJX9t75WXGVCPdz2QS/hlY5
Vp7axrM/xavfXIuZjAP63C0ZRfiKGUB6tniPA2M/FJrKe9fUoz7kXamizzFRp7QuTc+8YrK5KgDA
BqT3J9Tb1MJCdKBoFhbRGXtCnc3nNV/69cxEKbtr+nAMk9J1Rj+VyGCng+MM3GfHnHSvfVguYgWK
ZER5KHLWA/nfrXxfRD8ESeSMY5xql7/jVS6/dCMiYDxZ5Pq/gPsXXxa/WcMbNk9/om8nX8ahs3+y
KqoKSkhABBEGn96cKeVn+ZD3QwubLFjrX5Mjp5O/idoDx2JRH4hNdlvqCzXp54zawk5dt5sRSWMh
75LAGRz3iOUBCF5FASfuJG6z6E6QU9LsgB2vRMZCgYnTUTATSUJXkfpSxpSpjx6wc6xn81auVB6b
E6Sath0pR+GicW6biH2iGDL4cPHkZs0TVVB11/qRtdxJAd4mpo5z73EEi4XqGabNk6Vc0ka61YJX
4BauehnsgoaBR0bTduw4WsQrU5523JNOTvIEI6V43nu5HrzHvtqCoy4XECE2sNXixBsTf/PQgZLk
5gICzylazDl2K4irnWvFYTKAPs1fJQbZ3Y342lNiNoKAm23cIKt2uZ+M22Rn+O5dp7v4RNoI4IYm
ZntikHeKBPZV2sJ0gTxoTv7D1EG0T8oCZVLSlZ5RB3+K5dXepP2uZhFZyUKlc0F5ZCvQqF0NwZJJ
NpktQHJ2DjlARN1Fbh2+xISQ7yGcKdQqvcuuH4h+mq8BIVbd0TRjxkTK5H6X+tJR1wwsFpDdbnHg
mbb1re2LjDIUmF9WBb09J4gZdALB2JyHVQSVrab3DHSMnI3q3G9VXGNzi8mr6OMW5GtXZNnziF8t
OtxS3M+jEuOcllm2fpeGBsNhYOK/AfYAWfsoO6BAn+NhseIHrxbgUulVC5rtCLA5JiP1bYxbTiuK
LMoGELIibeWSc7HJ65Xg+F5k7VNkUTGfx7LN3LPYfALWre2WhDA4kxxO2tz2TAv3Wkv5wYX5HFUL
fuRd2Ez2F81ddtvPitJnvzp9bw49aDu1m/oqey/LiH1QN9ynmDmgvE+tKCvBTYJZPTF7dgELGPBV
2Fdom12toPDsR56y+CHBHWdJmGXllgBo0OWjo3F8pI0xzs8GPhHqPXsz63PWZ4XEPQwa61TWRUD8
W+eVZ6PV7ZI4zfWl9NvK2TkMTqZkNI5+K1SsRuKA9MQ5WOdIB2LJak1ILYvJgKF7kC4gUry0EP74
1YQSUj17UjDu9DSwN3RBz+V1QVkrDyMiOc6mQC/zw7xgAE8Q1sD4cDuruNdiVaCWIhkNZ0Hg2/TY
1nb1RXdV+e6tFanG7lBKQgnLMFoTnMjhcF6nAvS/nJR8YzYFWsYLV348BPTPpiVLjga/FegLN52F
CR5QiH2rO89L6VTJSxH3q5UWi/TwDQ5k6hCpBU/hhnUs77HqZFcISqK/s5uRi3s2rL1/CTg4vs1M
TEmMksr/EdPxy/dNmbX9ve/RFTm4fZFvsBe44oPLqgzdOtqT+go51jfPfRUjSxfYft1koiMP50yU
45WFqdiQrXAV37xpJIZqk0wkW95R/7GwShMk2bwt6uyQj3RfSauJvox4pVF6hHK81G3Vg9+klAXE
vE70AsMwX8ELIhIFVbj2eF/01NW/VxESLqT9qPzDxb5rj31fmewh0Bsz2LZT3o+11TbEhcCJHmTM
P7vjo7nREfQinwcjY5WBZAysZySAPuEm0i/2TKgzqjZdK/veMXa0pXwpFOKesLxn8CfCoTzO49+I
4QA75Kop7dONVzkd11XUT7IPoB9qOsY1N0O1UPCaJeb+1K7XsSESCCSilBxoW5zNB1CJRJNb/Ebg
n7obkDQbkIftGH0TuFIXovmN0saco3pxftAcRMdSZ8RU8V04gBMNlLoSbMcbSOzK5doEU/MJiIL7
rRx1KNMQQWOf6mWCGrZkzay54WPuoNgigfwi7ek/SSjTH3rdSjzHXqHBlUbKGl88TqeQcFFrbg+j
EdDu8d56sPInBvEXsn6AEVDrRsAAraiR96RhwbpV9ZhbqVVwxdnxXatzkHGAgWqIegTm5LKYnea2
/mnaaGhconnQzaWXg30PIbj4pOA6UQdEW8l9p7sBd4zlHkdovQBOi4gScyMCi+Zhv+os9fOKayTX
GvmU94JwmX4C6LijjyHuSRkohgvz6RBSmWe36qGPRzE+2GILArLztpU7DcTp+Z3cIeAKW6TGYyeR
ite9bX1vQr8CzInC4EiJ2JIqXfX9PeLULT5n6FJLSgZrCw4A/mrSGWsYWbz68+rfmhak99DdM8Fx
QG8tHmHsYcOZTbdBjhF6C7/SxOyb/eDBS4NU0wzDid+47KHdRO60zzBarZehtgJs1Zlnm8vsOktx
KuoqjM+iXEtczZGd0YMopsgi6Gwdq0OglALxx45mrisY6t9eH6yU2lhVB0qJZnGP1ta5hJaCHKjd
x36Q9pnCEtYt+avjo6Jsck6qcQUKdiemCI/pfU7fhwnpzIOqPVVfdND1b35Vih/IgV2ZyHaW9jGs
B+dz5o358wrGXSX2aBPvXYxVuV1xec7tccq9IBlHDvXdYPeot7ahkzZJau2y3QWUe1+NHXI2qdwr
3XQKuojxcmj4DdnWfDJCaJx9A0IYfRWtvmnkM1pQacONEGyeM237inL4R1c18ofdLfl3Yuyn7USc
YoYIJ2yKX/T4lrOvFkccQBpsLM14MBWpXuXyCb8QLA4qvrBIFN8MPV/pQsliHAQGN8ttEuGGYDy7
pSO+DpVtflXFOI/nCbSoQuyB1/7A+9yHx7ygRZ4660zY+FBVSly7+Nb+pDOs5D1MxbXbS36r6Niu
o/2bLqufvYmh7MLvDG+37I7ro9/s4tJZnEPVgkZ76REledz0hF5/hy7009Qt8thLHeWjXC1Zid6T
GShKksoraIRTzU3+oQxFfT9VKwNA5sPVexdL9EbBJtu01r44woGPWhqR3uiBpQ+cIw+DHzM4GXd8
NxjpJYx9jEOhzLYJ5jRfTv0gRai6g2Eo/X3VWCuesAoBlbPEWokrteSShpw5+xGqnHUYaLQpUjeG
LAtPgVybX707BZIUjL6df23dvKDwUQ2JnaCaV7IrI5uL/dY2U7WjD1DF95LO1XPWVmHPkAzBRxIz
B/kK3a3Y7jKSZ+ITMcZFyhHFiaBotfk/Ghbslylzln5v47c/xSWomUuxzMz3veLG6sxrf3FTPPZ2
/UcHhiRHeCxNfwiCNjTXsoilNAkNcp9oN3tUp6JjWpYqdO+/uE6XW7o5rvWH05gLVW8tZJ4VyBVt
8plZPQ8Gl1/JSxwTmFyAQblrRw/Nkh7o2CeirrqYVNnKcgnF3oaXqYXjv2tg8JEtIPso2ndQWeK0
LDIXULzUkAE13AoUj5HXLEcL+N5KztSqsMUilxZ7uxm8i9XAr08KQBDWjg17TAPwRt4RngLCUxvZ
pEjLjvk3sEXerjc1Guly5cy97JUBXPeIXGQOdnIZ5+q6rL0H+BZBd3Gs5yp+xDcWknmXh0QJqzkf
lz1/MO1KbMM/SYIlJVka7Z8qZ7C+ElLV3sheplIpe3SWce8iQxsG40yoArS06iWXDJ0BMJCdZdUK
SD/OUS9MlsnLH4q5GUke3qZZHXlKHDdb5rREh0L+DXnBItpzXpj30zlbNYjj2t/odE5hhdBFLcWC
9tffwjCleWgRN0jY5UD+eNEtKXGXNOdWR0N7HIOi4KoxNt0zdkenOQB0W8W7dsLp88DW9zY6wGP2
WAhJDXeK2buXbgDWvSbb9ssmh4hgKSi8FTMF8mGQwnq2RQqdkNM5WnrZpDOcM+cUFKb7SZ+BZ9XL
+fY6Qchu0totenVsmjo6TiQKDgmIvzo+zgiZuU91BQFK+ZTpL1Mjup/ZFCgGqkwtBTRLkZ0UAuMx
abnlEbkQiRGUpYr8KyA/wyjWomG2AwdO3GkvwPkcedsXMLxBj9FuWoPwN1ehQd9CBrqAG0etogsO
LDQkWVcycIO92tGULnO0MNpZyj1jpejWF3Wdx7pnySfIN9koi1CiMqDLPN4DawNH3isnl5So/XaQ
dbaSZ8h/8tw0zlonoP8qeVZdLe9sAVj9Liji8beGIzbs1rW26guVW03fAj8+SW/cRg+ECkTlqVlp
4NBaY46aSqNU+yiFjVCp4/cMjwINq09UM0NAhgjFeMf8kEZhu2XunzKvPD6PuIHtSRvMigO0GPQL
nt+Yk1MsjNNJTqSBnYwWEa0pIGcPsOUW0YmBau1xpwJbQKCj5ok3Osguk+7tfD8Nof2dXKEe4u2m
9Po37dpNOPNPSQu2ZXIk4CigdgQf8U8hRF7Z3NmcJd53GU2liaZKOq/BcrGtYsVA2OW/4N5oRtUO
cGM6H85BdyDbqcO8yxYSEimVcS+LMeGp6kZSTNZZvva8sxTwef7Nsetg708dOSNNVk+v/65E+ag4
57DBZccHh3+FJiX8oOKom60OV8YloNN9f1e7bnGWgrC9LVy9cz3VTFFaoWmcMr37i4ZEfBRk4gi+
SS0D32E8zP//8LOZUpnIrzoAxYE7PS4BGrVs9h0XWHBs14eQE0sjD2f8TTZrFqksHcNwC4+NUJ53
wN0Aw6FwmxCQcN/aAVL3iN4+t2w0cgqSNdsORXZx5aDLnyfVqM+lcJV5cIoS2C/1qqoo4nsUzNqB
+sJAg4BFCj16dGTv9Ot4kKQIR8S156ADDVOaYD9muukfwJnLryChbybtwRRnba3ow7dhVq8F7myP
JJr5l4eeKaGj235FBbs8MekYIRmVmoADuZIWmE+zIH0AbSnBINLmUfMlhWRBzqMZ3mWZhVFqQ1NT
O2wM5bvRxu22HcW21b7RdcYafuM4EsobdNWvhkjm59zZPPtpWTN0L8xvy/VF5uNqjo6P7oodOuu+
BzrCcjx1yvqOdAV5uZ1L6O8wwBUJ07zYdLS9itC4Zh2Gb2UI1OJvkvv/Eg7dvnYyl9wbIeLma/zn
++LT7KX9LvB31tZ8YI+NdhV+pLPL4997c+2kCp7OjzGuvq3hUPz2s0Yc2tzcg/Fj3tz466Mq+Mz/
/iL8lzz4thoJLoMC4MMWQYT/z48l6Zm49A71ARVK/8BhZn+JZTkffegs8ESH6Ui6AwPGKB6hoS2Z
9yUIFUgtVLuJ60pg6a4i4fHfP9VHNS4fileDZ+SCJ7Nhi/zzQ81uPyw2Lv2DVff5ZYyB3XJTGMqz
ZFPcKS6d5wDJzd9sCLc37x9bGgQGXBzI07DDQmj8oBUMxUzh5DPNmnq62sU4UXlW/viAmB49CYZn
Rmjcnj9ZQ11cBn/9yj8DajRqzSkPhQ0D1Ymfgsqe9masqJX+/aH8X58Ovgd7LSAxvrAPC8hBDV0x
BnUO7LCPIFynaVdUzXDfu/Wy/kUJ/182S6o9P0TnhsmAlYHk45/fgGTKLL0lZ9O2Zv/HMg1+jv12
m/bzasM536jVhqJz94Xfb/ftLc8pqnvBeDoz+//vry3gFuH3RDZpCzgV//wkM1l5yrfJQ8oKNb9U
XN1pNxVxnEREXv/695/138dC5KKEJB/MvbmPP27NNCcX5BVk9nqi52Iu0Ifu2pXogl0XcMWaGPe+
LeT/7haKgb/87P8SYyLRj29PHGUk1n3x4euddJQxdmLNL4V/g4QzAYjctYELONXTHjgmZPZ//21d
9+N6x0xPS9vFc4Xtwf74mpG4bllR4WZ7HHpoV2ASB5JNye72s9dQ05NJv56XPLRX1H/VAMW8dboj
DSyu+FyJ7HMb+VQkyrTO8sO2qmpKYKfToKwoBFgvDAFIPqRKTLO65rJX+PM4XQKzDlAUTMdg5d9/
IefjM4Rj6jCUIJAG0TeL5oOgda40q2iQXODROv/gvmNaAH/4p9n+2+uQB+rbEA3ILJuNPa0RskUy
FtPNGG8OWY5fUu29lW7wkNv3y2J537XIy7/AJf+vD3krPDAs8j/E3h8WNALxpmHOfVw64mkPW10s
26vdWYLUslk70wX32zK//+XRfCzXeDQsUZccQVA4Ecb2f/5U9Ev26IP8OfYkj53p/PRUZn7wQo2W
7Q0T83sP8PNp3Jie7FR7uzAqEJ8nptF/8/v9x538v/fZ0PYgWbG/3HyjN/zsPz9LTlRwZzN/OmaO
jb6uQx5ICvLk3geAncVdH7pNcSX1PK8eeCMy54gFrxTA7dFJppVgirGLscUT0FDY8XqH4pUhBiKy
0bmuPcDWZINxj7BunNjGrWoKHhiw1OYQetE0nJXLdrYjbs2WJ3fq4fwVKDh2oZloG/faLcb7BpWD
uFQ++9yldCo3uwsMDbZ0UvR3dsZXABIKOnMucwYPDDAX0FuejeKOdYf6fnoLYMls33JT2uVjN7Y0
dPW0mWtP8Et49fzR9x7cGSUTQQ12eJez1OrEXySGvA48ODKOZQ1fBSbvLFVxE6gntG1SJ7QvsUaM
OGGPf1keH7eCkOPWvjk28PRTEn/cZTe4lPQbtQ1wniEWkAEyr3f0PfGZ5bYAaeUNmP+SIbCjFeeT
9CwUgXVESnlWLPXV1pFC9DPY4/qXUuDjqcc+7HoCDtONBYF+/kN9gs/Thr6Wb0dDdkI6z3mPM7Xi
bc1vVtW/+NE4SD9sidA3MKNAGOFqQ/0hPpx7HaTDZgrn/Ih0TQw3BZjTPWbdUP1pPKvf9h6uCLRc
JfKw54VgyC/xEhXRZaFBmD9uK46UY7Xkgf09jxbu2zpAbfRM/00+xA26uiSPc5jfFaIk51tntbX+
PMhiqPcDZbLe9/002vuAsCgvDZRNuT9twJDus45+O06W/zzwDgrYg7GzfE0Wnn65F1pBRM4qZbk5
fy2onC8LlNrtNE1+bV6Fg/57pwbfY64H0cQ5xRWx576Fpy29zUffYieLfoMUp4uSOwKSXU5XjsKu
nTdrD6it+e42uXO0nTALL7WzIcPFpZWRyVdhXMJpD9KE2t+bHtFwjwHzc2qrIxMxWJWT3JaQeVS+
kOnpWWv2OjG1P4b03esk2Jrup/bstT0gQhoJMpH98DkeXRwpw2Atf/quEbvexKr+ydlBx6cB9t28
MaZxh2QmpZ3EgqLMEsohb/zaV0F+zrk+NWd/CdYXr+tDCpMs67KzJzL9y2NnZYvv8MgnXrUsnyOv
jdVZMT30UsbU09vtyIp3AxJTmQSlIrK082UEgDqqvT9O7RLv0xXz9rtFRvnJq6tR/KqqCD26JYcQ
4P1CgkaJtZtQkF0xOSVDCBbL3UZDsiLOTOlwJyLMpXv0NvWAAitbDr5oWuaro6avyPCHWwzan8VK
3KiwwadVDQmTm0fGFZ8isD0OU544BpaozI8hF1aT2M7Sfos0feCdILOXflbYZ985IE13K9ukVR47
TToobF8nOOW63NwvuGexHLtmJu3JGYuzWC0T7RH2RRipGdexny1lH51qcEfkg8to+q3Llblj4+Tc
IwdwDtYOBRxzB5Rrs7oOHECS1AewWzuL+293oi8h2qtc+pzQpWAbLvTYBY6sQki96zxZ/JjLtuzx
GisgcI5TNE1SjU7H9GI1wiTs2XwNsg18tMSEv7kEsLv5k1ugfqevQ+hganmqnPZWE2x94oVT8wkG
Ln1cp9XFNVorH//AEAa/TUlsJQMPm7Ai1WXbI4GqDHk7ttXokR45SpjcWE+6E+M7t/8wvnWmNlZA
M/3wKxO4B8oo7joCy3nS+76uk81vesGAWK4wj1YnTty2oXxSMnPzfTl6xSV0KqcCH7qit7Oa9nMc
ltu5RUfwC1HJcA6rqGAsTKa4f+g9gCnn1uMbhGBSI7rEKBP1qcU91iSl323Rjkmhd1e4QcwpvbYo
gedg6pHqYJCl+AaucFmJi/xCO3Yhzm7u9Yvt1AKoZdM7d2g6rTHdZjG0dzQuAUYKI0T2olwj42u5
TiScIW1hkUajcb8BraajNhU4CHc01HjcLbpFTGVObut0pIzV+7DSmuEVqLqRmXdWPVl1LbfTpmlt
oWQr3RmVF50OPDwYFUj9y2aeRmAKlEZxzi4U3/Q8IvOnu7YvNrUHe0nSC5mB7TOy/eHNp0kmdp0J
gpdi1eGYeFHeXc3NPr+zKRG8VFSIR3aDrhQxMsRcXqJo9dMWL8Bbs3SmTTbiJk3a9mWuz2sZ1W/0
tGyd0H3xc4LgmrZJcEgRmTDGZNxtLi0B1bvAZZy2+FZXOF5OcTMU33Ax4qHJ4lyRolWb/kteIgyE
2iY0Ox/TxJZVUbO2+eejV1WQuMFAKCu/krKDTw+dt673BunPwQCpH/aiqcjcpZVtZyTglYVBbumW
2/PsN2O8z+rQf2r7nBFH68vuZcrCwE1Hu73pQwxi6eQ2y5kBdsdOQf/e9X/2FXX7fm2M6M+OP5s3
FUrKEHLQiNwD5xV+rVHkozdBs1SmtPCxJbozgYhyVQzwu63f8gTCsHvYMlqhiaPjYG/xB10ieoEi
V9rB8DOUATWSJuHDS1HNi2dVabafVs7Z96ZhVp8sMIrYfsClP6J3CzCZbKV5NaC9mp32R/cTdRuM
6nClE3EGFXYTtMcYlhITjF1KAnpt0b5yLXenbd9qieaxRX1l1qS/lJppKfu41vKFmKjq16gMYXJ2
N8hT2ILgZMOyFqIZdeYEXx3mKlDmRzBBFwAMFsbKMOc4Yrr21alabPorgr5uz6gzTO2NUQ/xBrr/
OvbSXdMxapGls00xbfaBEgL42GLfPA2tnR+sGOVSYoxdFKdtplTaoeR27IPVew2XU6YA7rFe8fkp
T0fhQfqzDAlPdchklpPb/cbyNiGIqXuesxzQRCC3qcMITaLY42G6bCMABuyVC9Yw4xb61sPuhp8R
Q1iblq/rqSTcNJGWa+hl/ud+ijyN4HpZnSftmih8zUKWXoL5l0MNlhO9rXjNYMoHCDDSsszyF7fE
zYMFfNXHkephYiPHq3XLyit5IjOtT9ETI/lUM/d7iCcEQCmPdvnubZWV1bsqt1ZxKNgl+DvKiYHg
5Va9H4XGHGpr1544TQdieFaifIqrbHzn1VFb3Jxp22MAo10//6wQarWYL4bMfo5sgqrEEsPDQ4wk
CQng7Gx3JFh/nYOCkFPZomY7OEJi99giSFgIXKubxSNuGJ7Vef5SsSv/RPxdFjxEzw+PasLEgX63
LQ5boZcvQtrZz8AxsT5lfKV7WTX9e8VF0RyGoul+izxC5TfyZjZJTxyPhWeha8hqwVzcsjlV9MKU
KoSN2oOzCyNGMJtkxdkJHlwN+iq48jANdsyqThYBQWUycwXmTgzR68Gt4fW8wuvNmN1aehCHeenC
T3NVNkTt+iX7WB16E3+fcMtXYTZF5FAZm7u1qwB0QgNqz2Tx+oRKwm89jnObI2vtgvCuz4BJJnaE
4+GQGR/TpC4ivH6RdtE+W+Vcwubt58084+broQ5Oo0/GbKF90nerZmPOHsYlgSSQFH/pMR+i3Vb0
rn8sdSVG1vlEU9/YAnHnHLEO4rz/5DSlm6NHW6bXtd9qQ8UY+Enj3jpEAO9lkeRbzzi8KWdt7X1a
Zy1haoMeDqwU3qDc48pHqsG23jHOGd4hXGE9cLS9Bo8WQ2WVRMXmPBgUdWw9xul12rZOIe/auV3G
HWGe2feAXOTfA9tJsFtVGXTXdlvdJ9xwDHhwP89VSLaO1+q07AddXqIC1mdaNWzWd4Ax+v7GOC37
PedB4e9d5fjZAy+9iRDOrXofz2xa9xYz+HvtrTMQ9KkIwk9+lxNu5Ehonpeo5UtKb1dpZCQyWpvE
s1GWHdxyDIjisc2WxpXto8Mpu+jNyrW02ZyQQOxayDDRSeaVxAK8Fcai3IAGRLoC8t52JxjXxA8y
4x6ROq5jokSrajCPVRDqjiy1bIn2VNWzOVGgZwSFym7B+A/7wUlLF3XDHsEkwbyrrikUcxu3yhv5
wcg/6rUbHI4ty/LSyfXne5jSVnMh6qN4N/bi0gZehuJnFvJdJ9hr/oe5M1mSGzmz7qu0ad0owzws
+l8AMec8RWZyA8skk5gnhzump++DUkt/MdkiTbuWycookUVkRCAc7t+991wlLxsDn+xFV1mlewPz
yB2+9048DNsCH/9wrPPFvtPyzHb27Kh6Vn0cbpMKZ7wf1ZatTfBqpHZ9mNJM90P+FpuQUw/15jbr
Ux8JYjBrfUufKH861zTibbaTy+Qys5Mgvy/dkS5Vl9VrOI5+maSPHmnMNQ/ZWsk2K3K9uskW/CRX
VTe55Y54SDK+GEPSchzvZz+tMUHD/vHKNB72iHhNcl/CxyYf0A2WoRB93H7eudTT5lgMp9JHmk2N
tfG6D+gPdumkHnHya+MtgFbBYKvMm7tE9vjYacbuxsga0a6ofWZe+myndnOH+5Gw+5JiDWB7mVUv
+pxkwe8qM36eIbHTx8di+J5rBWA0fpyg1EnmYA9I1B6rWnMNBeJLS4JvDNGM9U2bTb+j866Ds79O
bECHoBMAEvEhdoDc+jQZDzh8l+M8q30+F8O5p3Ig4kmQ34+pVDvUilhFQT2+AJpRV+x3fxcc/98u
zwAAuhijIyaVn16u8l0mzHTdUSA9Yl9SjQbjordt8TTaaX8OjD75XsoG51ST9ZeapX3/9Xjk8/VX
xYb5CG5u3gjms+v05C8MFcansxCkpfaMaxo/JMLFFIb92BH7k9yC8ei2i98MqxsPUz17y27z6x/g
81hinYKgz7DZMZhK02Px4w/QspvQobzP8MKwk+O5Tk5a1urPAS/90nfV8OrwLP7N5P0nePF6VUZB
8MJc5Eq2+T9eNSGbZ1KNB2teK84oNtlpGKkSMfGqZhs9J+WQ5L5/kRvQNUp83/ewJarfzH9+euvB
4Dl/cgrWOhGKoH78GXx/JC3MJ7NP2YY2tDZCdbvQRzWMEQTEbrnoQEfV92lni29VkOg3MFVkv/v1
2//n4Piv9z+bKqgmsAvQYV2GZJ/eCcAsdWMY+MTnEewxk9NBvOuiHZdvwunG4R7XiulFgmmKs2bk
5HeTjXi2K4E1ySuZ90Z5Vdqjqd0WddD030fZloSAM9dLLni6BBbZUr5O4RBICDBDu5SUprfexNqd
YkeyU5f1VhOz2hYdrphIk0apXyyTj5926tJm3LW27saHHJhV9UT8wm5e8In75rWfK4IXThqr5MAI
uAV84YKnOpSeGu2ooIVQ7VQT2CURchKHlJXZtT4SGHaaZ3T32dgqZVbfiI5ShzoK3INRCzjskem7
wWkHakp5UdCc7PxmSP6TLklTCyl95nAWbBzH+7O+6i9fOR0P7ewVI8kysM6bCWPMLm4ocXQ6Mzvn
+EAuHdqCT4q6qLBhc30DTZ5iwnaVztWcRY3eNodf3wXGT7cBOhj6mw/5krJHZgOf1gG5tHWiwaHb
Bb0P52kkaaadZJ0b2lnOFVwAPx5IRmKj7KLECpZ6qzw2RteCcRlfkRpW6HmioUIccbXN+h7zjtGF
9sDM4xvZ6v7sE5tPDnPMvGg71hr109Q8YPacJuelVY7vsnX1umetFyVViDkG4BJQbrdLKn2JD7ZJ
tCBUnbmWlps13gw4GRheqnhma0hPfb0ts7jFNqiKwbsgrjHWJ4Yfjn03WvnU7kobuuyDL92kO7Lr
pMk7EE1q01tnjVootdy/LOAf2huEVOfZ7BZR4vPtJsGsXMX1a2t41GPM0lYcdAF4iF1DMRtpL6Jw
nJAp+2GbKaWD5cIwZX47s0/1Tpx+0LsBTy/5dp5yoW5cU9QMEOtO3Ns5Vn1SDMYwH11AQO5ZGXCz
Ei238E5hz3CfEj6o8zg01luvOaq96CemL1taKe0UB6wZp7t6QV3BIN1jy03NZll2Je6y7HqUYuR8
3C/+oz3YsxMVbbLc93yx6JQHIuJucrYG6a6KNYZqnlONGcc5FZAhzokp4GVAC0MmDIZrZ8iDZgOm
gYE5fEix5VNY4g0Zw7nY9Y6v3toyoQtcglw5TUaCJ1aleb9TE22/EZs4XkKqUhcD0wivE3+A3YdB
XBnatgcrn90MOYibU6NX3Oa05bpD5CVtM36Fd4p5P+QGgM0MbVWuxeATzu/LRATr8dXoNa6VuOUe
+6o/37ZFr7dhpnn9Cycy9sE4XzDC9YWZTjdJH3TuvaGa8oSXycA47rs0/NLarPZ4nhpjFxtFku5r
bTKcC5KAvOgMSFxGLWsVvxB1h4EeFL4tQDJAo6qEEX/YqSQPVc4jfrERauOpLyevP82awMmkufV4
ropeeSGDYF395iH2eacE4JBtr7OW36zlKdYnKwHE81ZPsyWBrgUcL5kCcbcIWl7YzSzHmhvt35Rx
1+uxTVihXnwehvfpecVeVKnB5HpWpVkP8Iu/wvHBdorh5D11xPj+6zXpJw2X64HK9gOKI7AtwGD9
8fnoaUFbAokhDec55GY8Md2kSbAT5CBf8wqyDFCrgW7JYGjCIBttgz5zc9ojtfuvppu8FZ5ecz52
bWRcD8Qs7Ojcj+p4zOJNgFEuYjvUXBbtUF+mxKLJm2b2869fw2fVfX0JvAKTFkWPX+ufVlWOZ3Gq
Cqh7yQT2hbCBsfPIRW1cb2HkmpgA0XSmgJeKVML+15f+VD2H7E1BCJ568Gs812GxfRJjm0Zhi1Sx
u6szEje4FwsAuf1YkyCLdUcF17U5ECfCbYzTtXcTrB7amC8vk+wctTElFPCIPSNkp54jNkE9S5kH
zphEG8BvLV/d0uVecxfmEiQ9OcNExHuCdOc7Ci9zQjf3VZt5Adgcxk+/q2j96d5HA+C9xTTCEmRY
n3ctWj3ESd0MLenkOd+4jHu+Jzk8V8MgaIoRXct/s021VjXur/uktf1lhdhjQmPDyJb5x7sxgTUI
fijp9uOsM/SOE+pmaDqHUkfykgeBLcbswmMaUe3NRLhmmLOvsjYEgCy11WVWzDTH6uRLoHMEyDqu
qM51X9oSA0JGZoDjGDlkL7XIGC1o1WetUtNTYnZZcsRJxKw+a9Ko5FCsU2/mVBxZ7VweCywcX1sO
h9txFY9ZffvznzfSv1VFdtN+1A9SfHzIq7f2zzKxr/8oF/t7ndg//+f/la4xFsNfdI2NmVw+RPlW
swR+/FmBdvz2X39DFv1H3dhaKhbAvl2hLGzNUWn/UTfm/MGejTWXczs9luafrp26ETL9r7/Z3h8+
qyOHqHV3txpI/1k3Zjt/cOCgRAkDx9rjBD3wH01rt3+/y3jj/iUjHbDaD3ejhx5pcXLjp4CIQ0zS
/XQ3WjyMOiMzTcLtS/rCLAKQKxIYjbqgVZpQ74hKBMUiogGvYzgg+JJT0LxbxiHxMQXGsW2xW4a2
kfQMQWX7kAJSbXvVHKmINm6qqQkuCq1MQCXXw1Xiy4aEUZ83VyQKeMJiGbgCBbF1HM88tkngLpiJ
+uE0ZYtPKDHpty4tO9BdBmKZjqWpPQtRcQJtJHcG8dDXycuNzTQ4fn9sgmamystyLtAUHzhEENfj
396z00CvrPHYsxlJxIuksWJL/geGTtveleQEYF9QB+nhv/EjrUqTvTcTnC97Qnhs2ijsEPQrhCIl
i9iZlmInkZXTHbsuO/Rcl+Qv8ItQ2p29p2OjPYGBGfdlUls7kjfD17GkVkZY9ocgCLhFu9QjThNg
i4ogP7n4bJmylXKrWWK44pQ+MIvvyLTVhuEdx8H0Kr6R/tCGhkVpNLSp9EWvZ+3d1BaWqTaA81GV
VA0a2Xya+mplgoBXfF2EYb4DgfIOUlrQ2Bu3C14TAsMnkc3tQ6+sZDPbQ3kY+oLgRGImh6IGiBFb
wHBSNR+Gpq6PaRPj1q5ray85yx8Yr7dPo+iXSAknuUqsxbvoU6dj1Sr64dCkfY9Mg/Z40YDPjRQg
yyPzNe3ayvQsIF7a7KnGoNIZe7oKM6tCB120zKXPHBQkCku/UY7zndXRvRiEGpnwN8vdMtjOnVmb
sDzayj82ygr2fqeJPeP7/oLA9mpJKtyTWwwl4ztiox6GX+aItXgyCf9v4t4oqG4il92BG4qgy+Ub
x4+dTWdpxiMe2NLc2ODFEcxgOji03LWTt58ZZzC/XerrsWr3vSy899GjCskEd8BbV4LbmrznwKy6
3Shdgg9Y2MmXdezWk9G+qvvYiXBu4qP3YJ558drYVDnesfKX6phWnSQdDJWITPK+Ggb9zALPHtsl
PzgGhqFFCF/ptnQJvktGitu0ye2XplTpQUiadUKmW/VFTEdyHupo9lHF0a9hKJcbL2mZUmmQD8NX
nBRkTRLLpCRjNJmct5Nx5IEsu1Cvs3SflCLmH47kKOVlNNJbwHUyD6p5MNO+bpmFtVWUgZbhzGc5
kIA34ftOo7tyQ6Yvplj0qJfp9F6bqfMIb+5LoQEZoxXZujbEcEH/UAU3BquDhd59E0C+2vYlMDCy
I8O2aRld1hVvkRxc46rrVqWwrtqDS4U9OrHonSkkYpRicJhLde7GgIRXjEuHDJzC4iCXJ3MAwxsP
9toFUiGsTM0B1ouxMTWhR8jLL43f69vR9uJnvqrqkgBzeVel09mLA1DiDjQK11zvRo5i1s1kM1HN
yiKc2cTttKwobmPQQnSN060TAiRU1x1aotoGTc7Gq8b1ckbonQ6WT4EQkG7vo5tS42L2FbN+EigE
ukyZRYSmxhTFUJeXla0z7x9xeF2ZSq69usnYU7DK3uM6ZWt1kaaVE4d6QXbRBiYSq+UdoN18lbbN
8q0jfoGFu3JnYrF9Gk02vmQSgzyxiSp/GHGpbQL+vr1WzPJUl9V4YRZyPUwSASyLp0KznXaTjVSS
hg561XgCmjkEN1kzo1JqnSqeO77q1w0jxjzKkYbv8OBc+QlEBrRl88ijLCVeO3UxAaC+4Q6lzPGR
3ILdHnU9qfe0DfQtM/Zpy/OG2qdKO5leMm4mYP3o8Sx39E20CykrsyT0pJ1LJd2LBfX9kXjtrgpG
n2GxAJ0jGhMuLrcuQdZ8T2ppg0sl6TcD+grkwlRdJoPuwiFg9GW20uZQNXy1OgB/gQKIbRHGhR+B
YD3BqA1T0uZR6fUB7C+AkQCDl6vMzYftkFUQgBGQArv+Sk3la9lXRy8YXqg8u8ZW++BqGYCfNMmZ
49Yurjk2zCripN4eZNG+EX2ar8hhJpcEkvlhLUsc9AxDqrKA2nGeQshvF1ZKBgfXFH5ZLxqUHari
7eqU+rUZWlPcPhaZN3/JuspHY3cnbEOqjDo19JIqqebVLLuXYJivEfNufMkCJQbxTYoOxLoJzYKF
cctqMYKa8qbrBepNlPCxHkunv5Aeqc7Z9u8snAk7cOfv9ajFz7AuIYMVUC7YsC88tuHZgtJC+PYD
xWIG5JupPs9GjUK6e2YECS5uymPUUPh3JUjIsFfFJT2BJcwwHsCILtpYHews0B/awSveKviOeVj6
iRdBMEHnHMGfIRBNrHaqfJ4hTZ0EseW9786kppjREIrzmhfVNrVNI6Ii++s17tEwW+sdoRr+rFtn
kNWkRePT3DvfmpTMK4Bi/Q5FGmMBio1/Q4CY2YDbn0w/n0+jl8TnZpic/GIV9G+JsH01RmKvIuYh
RuHbXeIZ1gNHF28P7bLZJb2EkoCefwxoatn40klfuzlzMDy1lvZaUGJ2rJ14qrc6OC6PbNaGddnn
H46z58bUSebBCXPI1N0Usz6PEYeW9g553HurzfJ2IPow7NhWLUZIR1tNE3KP7iy9ub4dl1mdwSg9
9w3fqMnvQTGh/jNMn5KQIWW5a0SbbA3gm090cTeHpBsc6DVsPb2wsPUOjwabiJBqqHID1sl9gezF
c7C1xEWsd/GVa5btdSpIf4ikn45GX3SbVOsWWDs+5iAoCzy9g0n7ys9Y2qGBZZHnyuB710kXU5Oa
+touoO0CXYERtyPMrZVU8eWSutY+LTVIj6MJIjcsgooq+C5edhS/7TWoqgfIhVejnxthAUI0OQ02
2XttSHUjZKblQha0C3hOaRE2BJ/j7Rgr+4v06WvC9aFNIfNDbDcYm7/VppgOfh3M103cpvsFFNVp
EoZ4zAdf8QgBrxMOdE1Eo6F3t4waW8kk1wWlwpfdOaS5y+AxAz/0hQbQQoKyMsbI5Ei2J6uX4LXx
tQdwmyxcTewy0Bvd9ryIvHsVFqfIS+yF8QezS2U8pHE9kbJsPRypJdlL6PXeF3o0lhKNKbNNkimZ
FvXYifb4Z/wnm6k2k9rvjXSthzGIfYithAlTHvtV6Mi2egssNIyNXubdvnBkcC3+ZFhZlX/GXMNJ
lN/VThzX9wa8DXYkafNg273YY5t3dt1QLPcOISKChJhlJGacXK1eg1nkPnutRIawRquN7VBdIfnA
bxzNfbbZS+4mOCg4zLwUmumUf/hYZDY+ntMjsH9jA42pOOgqbbd8EsBDsFs91ROEtqH60jHnCQGO
FJGn89l4GTyagJ1YRdPROmw2qlevplTBy7JL21keONDKsJXa8JZL5zovpLjt8RAd2afcCbujVbS9
Rkb6MBtKSef6vtODj5pmS5T4r2B99lqje4exWcxLh83S6I8Q17xb8sLGdpqN47RUUJHqFuWrAwWB
KHAUicuzZ8LMwEJYRAIXYzHqUCTTvYkq/z7lDC/zYpzZogUyzyG0uP093uTVspE1Y3vMGaBrd40n
He9OK7KvHjvYO1Oz5CPkfkutvpDV5jQnd1oCxMTTyzGiyLXcLJNVPcQVHlcMFctGddI/QfjmhL2M
y00A+EEPQQFjpgcf6l74aGZYHwU0d4cR+t2oK6IOAdCzTeqK/D5R/JEYX7cw5it9bLVDH+TZwW8X
TgspiDUGnHZ61JJSu/UWLLD0lMrl2i6H7IOUF9TWDJpOholo1c0H0BeZc2ubQmBkgZhVT3AxWIwt
d6/Y5UwZtT1lDzzTKzUcC6qrUjzXIt1aJODYLbXpoRhjxuVxPmQhNfAEQVl/ePZa3UUuTbyEfjJd
VdKO5jF7cWn7YGxUTxpd6SU7iMrdi1iB9lWVV3DCghbZzjxcc9O/h6BO85R6qauEkbinHqpsQQJX
S3XAzyN2/goTSBwPQqocTylx5P0IAO8u7czL0u5u3Q7QNaOo7llngHrfFTO2UzOnVWs20yu3o+MK
g3odeXlZ7UXuJUfsDvEer+OyBbkb3wCmMK9SYzJ3HdiIvVMqajZzr7vLK27vxUTyxvIJqmyergYn
u6Otwri05agdR5Spq3hG+tAxo+VbN0X12MlsqO4XCdAQHeYwKn0kdq6ZgNUJtrLjpv/s0uFrh6zU
My7L0il7IpHIVzZJgntjHotnhVPB3Mp4SOztOOr9owCHwfGB9vn1L6i8y4SA+iUVJskdcfN6iia3
xi8hgmWTGqwI2mK4UZLCFcBt8JJYdnBtaDZ3G6DW4dKpMx9kbau9UMtEUrgq+bTiUoe30Swn4FMc
WEvrUCBH3HaD8DhG5sntMsbBlhUO1LizyF0q9CXq3NaLqtqd3sUAlSTHQtesdOjuW9tWzbMjHYKL
cmIdChNGDHazzqOAb1nniSz2vsnd4mHoZkIznuPA2EBAmbyluMpyjFyDx+ZHyVk/LVoPflm0drUS
/DsateJs6+lzw/M55/NNO0xHnD/s9bWkoUaJ+U2FPedBJNDJOaX2/kvFjXHRj6g5+KjaK8CdOrG9
eX70F4d4v5q0d/Agc9TjbPluSNd/cbU5PxJfmx7/s3Eqqo6ZmhJRMNL129WD4outg4PfK8IE9Yb9
eLz4T+XlS86gwwnp4BsOehfU4ZwE03Wbu9d5puIIM23CbiG749iZXxuTMd/++6O3x4Y+0urzzI1R
0T9Hbv/vKvsqGkBs8pd/av/RXL9VH/3nP7QOAv/5d/0fGd+tLox/Pb57KsRbVn/8MLpb/42Pt14y
hdP/WEe1OpPadUTmr7rB+LH+jmn+YazyZoBiQsCbxo2//cf/jO4c8w9+h3gcGAZ+84fRnf2HxaQZ
kWFVyqlGDf6d0Z39aXDHxJCzSxBYpBwRtz6LKBULcm4qMWJ+N4MTRAH7xLjsd7XI/+tVyDbyEmmG
wPz947Day1q/ylrsqhp9ZxrTjUIeJqDEv5FofpQ3PM6M6/Dd89F1ca/Aa/vxMpwKCey76YCe0agQ
ik0TxVWiHfAGZieKCfsnDbD7RVMY+W/Tvasv4f/P4/9+bSQAsjPk4XQ4UD9euyK/W+plM2yahPPb
O1A0f0ER6nwsluAeq2Ur8fpNe+zx5bTx/CA5S0MYrzWDn3jDHh7MFhTycooSzcPXXgmdVhDSEili
41/uzv8Z3/4HwPTbZh0/cgf+9KMSx8ZawUVw2fwkVsBFHXBz68PGSC1534OKxBdrw1v6jSC4WmV+
fEsc7CKMnvnEPS7z6eMgQeCPqyCzgTws2aFa5uTcmLLqxisfOr6gH0BRsPOSBpT8uv/ui/TZupku
5gb+S9RzVWz+4mpQUuZGZ+X+xus1d4NLzLvgTC92v34rf/rUfVy9dLOujim+yMGnq3TWjMfX6DAD
enlPmpyD++BY7RnKx8uvr7T+TT+8matk58KXMVFWmTGuP8lfXo8zB22FCmRsoNRzrCDywwFzYKrq
T5N2URYO0f1fX/Gn24SlinvZWq1QAASc9eP9yxUzpSDiuDn5KI79B4wx+IDcRvuN/eSnm+TPq8CI
QJhE1viz+O8vV3GInNBsy1UsvY3vczDLOwadnH+nzEJo6s4WENm/P8f+pV7xu2t+ujFpO7Fne+Ga
pt+tW0gw+kbRfW0r132WfkEQOPG806/fzZ+vyZLEayVhDa4PAfTHdxMKlcCQAFCUg2h8GvJF3hrW
Mp0KrWHjRQCKQyQVGWP8my/hz/eNq9suTTAca9FtPq+JCVMaukyhd2IJLu8H8IxvWHrdkOXXU+EA
e+c3tXk/fSVYAfmPwTnWQmn+3LTVQCnvy85xNlSqtjdG0HbtRulVTjbDz7Xjr9/VtVntxy8GVknc
elwosIlVO85n2wGweexLXTGgGTMb35NEzutTm2tyec6loAYi4UVSgAZer96bkkl4aAL5Lgkhu8HB
MURnvE3lpDtYhol2iBMdCn5CNMCbtR3T6s5jogGSLpymFmovdiCaRw3hxO62RtwY9ixrKJ2z10/W
QalVsBgEcSwmDioTUUXjT3sjeoqEL2j6NurTuHDSePZpHO/AvpdRv1hHkmOBsbWojOC5BYrCPORp
MMl3O+smhub+PDaXI9qLe8C3EdCu5MbaV0NUHEFJ8bQvDfkY58gYciEK5GAzCR2CrTUkRbpqo0Rv
HGMzD/T0hoMIhn1WiplCwgrrdmiVrSqucj2gRYYRUGLuE83Jbyn0JMu4eKY/3FKvnFo7IEjtC1RS
TduxE3XaHcq87V/aHiHjsBRr4MsgcHHj67ZhHdxE78+xjtuVgUsCeX89UM/JV1ZHe7K3rZkQ+Y3i
uO94a9vRLMYeFL5nP0l9oiezbWbqhUwcX0CdgbqheDFKIEmkanmeJxSffcBBxgjBtYKzTUySMxcL
xpSDOZHx3drIKEy8wHXdBS2ojb0+G8EXJoNStShEA8qQjsLtUXFQTr7xMPK4MO7sDuglzk+6bvZL
Z8ND4LhDQnmrBYUcAZ4Gi7lLp2HQLsd04ryuaYQAH70GBC/xqYT6DB4TdJU1UrrQnwyaGBAaqEC5
NY2+BgvckTuKIO7w61gQRtgorDrMuPPaeM5zDddUTIDvou/53ClDXrS2v4yhjz0yL2tAuuSA2LHc
D93Zj4WpE16TWRBNpFOKaweT/bxj4BJThMYDMET9KGkgk637IHCXTmFMtKK5YF1ns1G1zODA5PYm
0oqonTcBKqmJOsIv2Jpamg1eOintjxis5RxVIFVXHkZZZZFZ6bCDp3zqzgDttEdm61OxsyziBAC4
1zAQ1mWDaHWSYw4nWz7mq4dZ+86dT/7IbWCRhlYfx2eaQDp6O1wQY7glJ/hbC1jdbpPFCZWki4PY
MQ2yvauVQYCFvoK425CHIcJIeEtZe48CmuemrAV/SaEhYSW9CdNfIyT8biVEBa+zvFmZ+6Y7Mz/2
CwqmcwXhJVyW1BujcYyNb4GmqBmAjz5P3F6wsCOuI786lYkqRYsCD6PeJnBOmETMDU1wFudlPrti
PmSpEdi7Hmp4u5stn8gmMvyiblo2VrjYUpj4W33me/NYaeRU73kI5tkOGS5VTLOt7nqOA7BY0MSq
V5WM+os2dPmNj4/G3qtsIgyIf6LI6J0vxwlvn2b6T6Zl6Se+uvors7k54eiqmQ91nyzBl8IE1b/r
Uqg9aQRsTARfmAtU6a1F0hyNcDDqhb+n0osewaiNnS6FOWNX0Ff1UTwbROL6W8tTor+A+KgeBitx
0qPeCJOjtpL4k5H1Cx7KO4quTcQTs1wjfjX2ussW33qxE+bcm7ddknn9/eg1pt1FWOZh/lRLBxCf
6UAhvuVFYUyPWpfl9YHvZl2iq/W2/wHXMYt3xBngopoqJsOhZm2CIziOixYBQfOG24bM9SVeS7vc
MZeQE05gurkYmULg8nHURrPhwhXTnb64Q0mg5dSI2+KeTbR+Thdbwtb0WwKYHki5jY4d8uS7hv7a
VMb04apy/l6zC7D2jujSm3bys/aWaqnuHQWr/eI01nhnFm0A9jHp/CddSeesCwlqyfOSNVvBugiX
w/Pv8zLQvrVBs7z0I3nizcwRMd+25Ei9E+nvbk/urBs2ns4GMhS6Q/Y6sRLgZjPFVgerZcCukWff
1MRpl8insGzYAb1upg0lTiBgW4IOvIWTSWC69eP2EqeTePSKhBVroHqrwIuw2FtMzaNLRNipzqM+
sqyCcKdMXWIo6Dd+40AudspBfYwBCerIDIR2TrrCvAWwqFkh4MYy2fTCMuGyoeHszK6x5Inw5nDw
E2DRdIA0fNtj6ZcH+LSxOIKBcN/GwoeggsdRvWDHButV2WSjNm0+T9fKbpc7nLQ0NKqU6FeYOG6q
hW0CzHRLhSHROANUdhMR/m8+cGACRIYWmsFr7xm8dczJ+03p2AxHB9ik+r7UsSDAcshRpnA8iMdR
l2CtDegib+tH+5W8n8UGiwk8aAWNV0qwLxuz/ewU6mr0ECciqBg2clJtSUra+uRWh33kYZia05fZ
4fUzxSbIwiR51HHpTaKD01gIwoEJI+vbRVs6sZG9nP3DQMePHsaB3fEE91q8YHLJtHeBy484tNYE
xmZIx9TdFrNVf5Em6vE1pYgF2TebZ8ijPg+2FlbUUl3VozIM0ng+tGI9t+KDRxr3A0A2/eY1ltIk
smqn/equ1aO7QuVaADkw8b6DHhPaJqalgrmiW9t8oqg5WwfUQryf0IFaHr7zTeyPaGidFyCbBPMM
IbDBw/hskurrd3UcOMPGAaZZhD7iHsFoyZY5zBfDSXeGM7ZVRAFFnNOF0mS3kyBVDcOmMd76BHAh
kk+m44UvChq8zEXz30oc2S+NLplyFWNjtlFsT9bTMhrazCdrANtaCOm9acC90ZxwhhfhhJV7DmU2
EZp1RT8htGAl3okgE/dJ7i3phrNLqyK/CJpxX4/o81HbYuXfOI5JWynOWIKivSlVxDekOyGiV/NW
GGuzk82W5z1jUbz3eTjDi0UhX8LBH0ECi7pIe6ybk5RbkmksmwbNFABEfLzZu95edHkcNOlVkfIL
+7X0B8KfBXxrPAZQLdW2j+F8hjGkFx7graLO2CvM/jChUjwSlMp1Si1KRdKMgcG0CbKl1a/HpKvh
c7cFn2ohZXrvsS/VNtQ2tqvBXMyECWmm2loCi+WOTrrhPfcHqlIS5CbIK25OkN6VGEFolHc12rXS
JaBMr0IXJD9TJNe5RcDjIMmDwmkGRWURnmmNYwbHnj1kWxAkXJWo1zK1qTNMq4rqkRFO131MfYc8
EVhi0BoQAjq3+DiX0J9sKOKamVo3XUuH0F4f3cQ9eBZBxK2Vr+ifzOiz5xFi8Zswx9zfEiv0vY09
ZN73uMpbN+ytOE2jgWX6++DUwYNbquCkjy0x8alvxRkeVHGWZmK1rCZQN0CKVsZeBj1NRE3gQdtP
GtdtI1vN4swgXvGM91T7PjVIWjXQ26detGT68Ha0B6+RvGjRZo4bFY5PqaAHqRsTkR34m6WyCcRN
hVvf1ROI4KizoHOSojO6Z2i5LVzUSa9PjeYuNK4qA8wM/breWUvx64Zggn1BLwD0jO2KeFvVesHe
1GG8gXukN4Hf2gh/Kd80nN0bj/5FFYL/9y7MigMSNEvDugK06xDYxWfmIdUazhwNHkfhkMA8Vgkp
deo3fQcuxInUArFAg/DxA+xEu9hTC1dfYUVaXgQ7vHxrTYi7+HkCNnQmA2/G0Us3HlFG6+d4jsm/
VE1VXfNxdsicOfJ0ZFIlc+fKfqZLoBbIJkNZPUjqbR9Mc66feAJVtCuNMv4gz9oheGazosASqQyh
sBAa99rsX/uxpAQXvE1yDpYO6EKCJSuI2GJPX4e0qq9ta1rPHHywQwigYC3dBS7DBjiZHMVeMfVZ
tSgtPrZ+RvMYhFUKvVpXsxBOvMl81mzlIMKgPiXsjnPe/AG2+9Fh2k9JERvWu4UVUnBLDE2+o8Yo
fphtxUMEImgSzrNtdvS7qPa7wf9NdoWOineyxMMQuqklbsY85kgweQHGr65fRjqgZEAI14QE7DXU
C4elWjR3m029JajelXoWZZM7viIjtUsY1J1zRWzFovCmH5sH1HaNxZlyFM4ZiHEi7GLK+040X1BQ
PrEUPQ2U/Lz7Qd1Oh5Iavpsa4Te9YImsXvvZwulGl43/QEOC64fa1KgvUrgOv0xGi9z15KDENk18
9rkRiqNtNtVzoK8eRRnnBicA5XiXjBUYRQpfZk8G3x1wJ5llNyGm5IDOiaVmYSeMpHuh1wJ6C+OB
e5INmG3/N3Vnshs5knbZV2n0ngXOpC1646TTR81SSIoNISlCnEkzzuTT/4dVP9CVWUBld/WqN5GJ
zIhwyeW04X73nvtddWPd7AajTc596kNAoCOo6YOaX5O91UlArGSyWFB1k5vrfhQ42PfGOK72cTUa
QDpUJcJwLWTfYLfhLrsbMbFRMDvbJdcgb670YGXku2F9Uwo1O3/eIjOOlx5gxY8x81DDwlnXsDo7
FAi+c3CxzdBwcnnXxEC1MLDgSyQTDet1Z3IUuGAKYniU03pFJ9AEm+AB25leYXAepvcRe8ozIAX6
Jti86tsBvoa6RRcUrDCtzuGjlWbFkQojEq3V3FFJXjGNZQ5OKc+MLtSon5lJspjvTMDTTat+oD4j
n+gEdQa/ejawET3rg07Jo9/71lNaJIW/M5htLlytODVyPe+Eu7OXIftIoWoQShLlis1FcD/zK581
fXD4qO+yWEBBHCA+f7uzkz5y8xrSiLld8VM52fib6dNcR6R92ZvastVoWengUKM/2vi+OCfjgph6
mszdnGnWXb1YIFrUCKYe0M5AU1nMrRUCNJ2EVbR9p7+B14xAYHJMATBlGrp1a061dJRRLlRywSi2
Usn8d0Z19Uan5gy8qwxzpS4ssQs38DoO9zuTTM3V6onFDUNJMqbTPS2odMmNM/Vd88M0Ku06tnP/
PiZ6ttmzWE9A1OT9I4Nt8ko+KRJoz6aR62HhOCVv5ALpJnJ7GX9yPhio32U+x2VWc/k68iaho05v
eSB2oLf8W88rvCfNqbWXwSvVRxyXK1s7kO9nuo65zuRxAzZVa2P3iWgMsQtRUYZzU8GEtQ5iBDyC
LF0gWyzcSn6ZnZ2+SUeXILHNDEGfWFd/TAra/SDQr4bcLlA0JAEKW/sTt1TOl63ZFnwfBceOg5z6
6rngB13R8+s4R0AntsK3IojI6H3SX7b6vzCF+HVhKkEw3VxI3h5ZUlc6n3DPaUGCc+lxcgvC5nT4
jfZuqR31CESe/HppW9ATlVPhzUhWKhRCb7ApFl9UwgkUTmD7QBQOhCO3tqXhpM5CvNeggMhdpY1O
chgg29zZmma+i34btptS4/TIwuwmxAkG9CWJiHIdqqXRqOVldh4OlNvQSU6PICJCSxMKTIo48z9q
Bl1myHAdP8IMmOoVbDRto1R5Yv/BRpPi67Gc/G4efEftUbHIXirR0yypqkqcsqUXbtiCFhjwUM/j
j96jNWhn96PxMXBA1bgGLSvtvQBZmjMd7QbIPMG0FFe3VpDu2sJcWrZQIERyvZcXKttbfsdGofEZ
T7xNYNOJkGRgJk9O6/E11JaWfgC452VqINzi0nai0Y5tM6dbD4DLB8seB15hWqS/4ZFS1zla8cpb
iymwrnZgt/ss4krY3WRYdKvTBAmEgBc5DCru4WmKXS/TBfuOUtMatVmPIcVOHJ9eKYFzOuHHR/Oe
rXBauR2flb1uIyO86ahV9FzUqVdTUzj3/m4GWuAG5KCoo/Oo3zlQu+W6O1cBGWHRik0/NKtpfuEJ
Xp3IwkL/AKrAyY8tdygyN1VMu3zrSH3Cu+LOv4GtWQTmx2VhqejXL7t3nbNpuCBQVJe4bw5VVa9t
brZfCfkQ6mftlK4mfZ6c38jHGC96O8kwu3NcWSJvModfkzdDH+ekrt5F7Rr4CyWd0HQS+C9sW42H
t5vP6WEcx+aBIYfu3fitLV96q4pxgjHOvi/x+LwhbMQ0emjE3fed6kAudFvZEGa6bePXZh8WuaUM
jJ0O/YAUl3K9+FqJWoJJT5ljdjRmk/Kbm8UhNKQnMhr9xP60cj1+ohi+TYPKI290s/qUxEQkq5ef
nrWAoTfI3aM1tKM1HYu2KLN7YpmDDKHiw8uxvM4zj1mPEWznbrj/frJk7YRrXOcMuHh+783V5IkY
Cld+1/TkjcRi8FztZggcWQBqhWgaOM+xetGKvHlZFMMckgv9/ExcxsboZnkcG3qHW+hx9MBH8RCR
Z8B0lMsrlUQs5/Y0ClaFkREDwp+kBcB1lMkRCPnzOthA09m28Q6EiYY5fTOMA3t2kc539pBgu+6N
uPiAxG7CvOchBPqbOc0YzNL1X/VKEOgFzsmePjTJyAs3+cIhviPas6y+bx/pQQav0Dpp8io01J1g
oDWE6vO0QXPrMs/+xbChNcKS1YBuVTwVW0N0mb9nkPc4YXY5lGtsCfg5G3MtqJYs1/HNx+ORYC9z
ag7gOtrTLsG4DFdkruH1OLGSrwDZGijNuvGU134f790hnfhhol8Fg9mpF1bM8dYcPYdWJG6aZJ1Y
oL+tsis+TXBuHAQgGCaHpeLes7fp8Hqj0Z2A7EBmFDrRlA03jqJfkV53Mpl7UEtoJ1rjZPx9TC3h
MOl2HJ8cNGDkrqrRaMBdCokfVrOSN8uq1b0oNRwxaAIxvbU1oSlcP/m9mHPTRrerzWNiFaOIbGOs
bvFUVx2t2UYMUN+O/Rcvn+CKt52l/KBDvsL/35emHzVu3KVU0BobmcwbFj/iWhVfU53hb+Ak0DHO
eSWbtxidVZFjN9NvXZDii8COYHyfqdJ9thm68kPLHe1n3Dtkg1fehCaSaH/J3ptKsuVWIzDj0An2
NQlrhJREN9erjkUlDuVoFC/Z2NDlS3c3A6NuHisvoJnPexnnQrHrsz7MUWkZxRfTZlSknPSDRqVL
6azXpigc+A2OWf+sl8XijJTplvocpU2Mr1ewuXaslCK5b0ZHL09Aw6ffljP0vwxFtfeOnaYdKK5l
LLPrtIkiULy6xp1tUSxCVeiEI98BMTiHSgkqI0xki5uWdUJjXSR64tlYp6/EjbtXnXKOKbA5rpws
iAY9i0drf8FKhBSlVIxwq7l+/ZrrELzCWF/8u9yVzuOC1POlo4UhKBH0/Uy7hqsSlSOZfwBe0KNx
GJ78plOhodmIvo3bmQ3D2jmdZR6ZapfyDHTch6o1KLiDUnJK7dFufwuxaqxPg1ZdNYCTcdAPlAcS
FTbyT3wNzczz1NTI+7DVcG9BNSOzK7KCVG9uscwuHBHHYOp7OCpc3ODU44Fu+mNjud5Zo3bnV+4Q
xmUdZXjAqgnPfF8BVjQiujGcOqjRzBVH3tjILgsCmkn3uJe9Yzznw8KVDVY7plKeYsIo/R24weXn
DL2Cu54FwIjg0oATDBl/SwgwraVfBH/ocypN+7dZr1TA57Kbb0tlkbTUaV0FY5ltnSCKXMejldJo
uovttYMquKQjmkfCxwIIYZzho2eeuewWbtr5iTGbczdZ/UgqbLJG5I4JaXHvtj4SAQ6+1dxzdpBg
iUz2Tb6UdEoCeg/E81RVSRzQabQ1T3NmdC/SbTMnHASlqKe+851bcBf6vbF9tjliseGGqpcGmmwJ
IZCBUoVHEouic53msmdmBE9Pu7O0ysS6CMCXosdi4Yku28YEkwOdkPFZq8X+IU2ZU2JZjmOWpxpi
3l7SAkUTAHxLhll+0+aHOEfUuNJih1rYm2yPNwXCqBY2yG9rWLlj/Q5qV9MCglnUfMbcNh84j2jN
nuMmpy+PpPELOABnY+k58XajdgneGDwpNESQEijvJ6Ka097HzOkENBaDFFxiiQISl2g7kbkaNI4O
vqQ4Lk9oA4ZB5EIe3x4Uag003EdkaNaBqceE5hXwp8S3ENRJHHq6l5mDNq13IuXFVX3kcnpjNMT/
aNI0PFYvudBNW5mjVR5qZiBtOIp4vAyFdAe6CUztDvGECqWMPo8kaHUrbgJBavy3vbZVF2bMBDfC
EBfrqEs7HKhAyVtIeSQBYDG27fLMc1tpe/B7bMrDyqoQSU+P77LSsm/1xmo+R6YBazAj2ngB7AzJ
zS6eC4a+K0ehwChzl/LGDlIiMRKGUpGIpbawxi3xo1PGglCYSottFc8bi648i6urzvWWBIY1exH3
ZGScEZKMduYY7EFQGDM9fdZRtPuvTOc4FklrSfl8VzjBEXh41eKukUBbDxz2UekbZM/qAnSJ8ScY
Ghzq+Pobm4QS17IIWCoPppL2K3smpBJLktgJ6szVu4hxfpkfSVgNd4brYLI1DDgMj0DWAOFje0RY
SxJvfMMTgIy8MgcjamiWvkG3Qw7QPyzZpe0oY+jg71dicBHH/dkIXL2sCEvUWv+IbSn72TVZhi5b
otfu6CmaWM0zTquDI6qnqhfiBs/LktzYiS3ldpxNtahjLADDwajdghBQTcEVDmju7pazDgXZpF6S
CsxFGbMYmbbYGWQlCT2lFbFw8IbVu+Z5nR42g6kxRV9H972VpDwYHWR6T3a0QZigeo2KLV65fBej
plNy0yFGyELPv8XSFG9zhrEOkm05fAlnkO0vbjG4saJUzxz7vWG1qhQBAxRkFTQ9pk7CcRAgXtfS
pm7WLWdDBoKO+OWMONYM+xbmD6KIV5cddxksBTtvJnDG3Jxx4g7+hT9+Y2pOWdy6FuWVMEwSPzOL
SHvuVFP7QWiM9UMj85rsTEo37MOUMpjZcdekelSJeHUCokT2MdGoAUBKFpm/11vcS3sosPZTTUU6
kteqDadZePBrHT0vf6wpdM4QQ1zTXXwm/tZerIbKAoqfrfVpyQwL9EDq89jnSi+gKvrUYiLauzI9
Ny3DyJAAa5Ii3gLMDVuN3xQV5WBpJzk54t7nsFcBN+uowkYaA2aM3dgZVRKYCUesDyEotfwhE8oS
T42bYh7HWYByyjndlFzfYx9emMqBROoez8amU1OouRNtjOQ6rhVSWNvVQDClN8DXTC2XbcWpG22N
DJC4aYCk4U7naRpmbBZVISIoPRqJysQmQKwK8o3ohCnRtVITTWMyJFyHE7/UDJSp//HaeucgivDG
LSTed5TFNdsyTergzNtFGRcxpp4bDS1IaOY104KdlG73q2ebetIwJHMn1KxlDKCBSzsoF9s52fHU
e3utVwMCY01RS2gg9rYouTr5Basz+mVXgBtF8KBXq7s4detPF82hLyWYRC8pShmyXJwNptw369LD
EM690ohqBeM0cKmYEAeTei6TWrkhwRCc0qfMPTJHfx9aMztgQ3T5y7dOmxeJRTs/pjT90EpqKNGi
OvO5nE+qKN0vgrPiy1D9RIkHpgVqzkZPa9wb7g7kvIhaIjwJqXswjBD5aUks5lJ++zWcmwLmWkWt
HzOA04hgii18Ziiw720vvUNigsOFjgKL3dDQ6xJgiuVQ/1i4vjao5GvnnUotyfQHyCmFc4K10NsH
dnPdjbIW/8B+JnaScuBxGO1uOS/zaiQWR/kVfUs/WIwU07u5zWyxT21PyTeTTbG+tzShNCJieD8C
pAtUQCtz1X9gcP4/cy//f0cgsM1/claFH/3Hf4MGNg/2//qfL3XW//71Py5Znfxqqj86mfmD/3Ay
G3/DjLxZ2LAlb6bhjVL2Dyez5v+N05+Jx5m1VbjQUbA//7eV2dX/xpwVBzTWLIFBayOqdURGNkCB
4H9hhvdt4W6kJ+f/xsm8wRH+ySHp2C5bhudR+0PJBsCtP/frrFXc2P4Gto7yp+pG7m6D4+XhEn6L
8Dj9hTUSItm/vBi0NozMfOW8FXxzf7TzrdSLrgZ8pECY3qKoPOY45EdIUN24q6UmtMNSlAhKZHma
EPeT8cOAbhz5mrRPpR57WyVg4n/HRWN8z13dAJlzk9NSLh6tyF72jIlI7rce2/ZpXdcZp4uS97rm
uxd3Me23elLkeoVkTkrkK46DxllwQMx99tM1cvotJkkqi66jOg59u+aUSboYw4GCo44KzJ5lHdxJ
s58mmOniDl5Vk4eUnZbrObFGwHciqegRq4rcfzMHX6txEZlju8chsRJfjSvxWxJsY6CYOEnD1VPj
Zi0W3YCXyk6MeNr5phm0BoAX1m8lAWcpKtNOmmeP/qMpKJbZMeyfZxbVyvNIKHZVcUYrLnnjhoRm
xYoNrK4mX7zEtpN17MwqOSIRLryEmKv3tFnLu4nQkh0gAnpOVPv0U68mFV2h9DdPWiUXcJWMxfJg
WhOA22XFxnCAjBnvYxNEa1BjvrrmzXa2MhCPy2CORxcCOVfGIhD0CP7qV307I0p3cQ5ybLz2PsUz
1J+WXMfhY9ee4BirLeUTpdXunWnKOdvPdVPcmPBCNxwc5wl8E0JjwJTZNRMIJ5PnVrDJBsu6UoDE
lOfT6CuXOKxAsYx6Nts8cDqWWWbNphnlpT7Vu75I5Z2H6jo8rw2CWsCQplZ7jCyiO3Gu0j91Y1gO
xHe5YzoL94ugJpI0Xdq89d9TO/GKAK/ydNDXbkmOTOCYvxstI7q8avqHcZIMtODkZs+i91ocLaZW
f03SmX6NqavegBzpNzZmqKNyEu8yaAVtwwMyEdWsgmrUXaq7tLiXUnsuRFc9inlUQzgtVLNbVaou
CFA5nP7SM59kCa0sViYlaj2FgxsEKCl+NAy879sG9in2iak7+vmIxN7RoUYqbh3jD6fK5q9GsecE
wu/WA50uerxjWlpx25yFi6RMsioNmNlymaGnnJlKXhzdXLN+KGMQDqzsGCR07HDxkbnnjvQ9V8xn
28n7SFIHn41lxM1Dhkp6aOGmqL2BkfKOnI25kKPXGY1RKgJdbuCYn+zrquSyOVhx/uFrxMMP7cBH
k083ai0WpnqKJieFRdQaGcH3jjTPDmbvAG4aURKvZuOUN9pMuDeqeVg/3QXaF2SHkePnP63kf233
xx/L2krEA7Ki7hJR/ZPzuDKKXkfeRVFrw0bXj26bHP+DV9j8vsQ06ScUm5P8nzzcHQHgFt0T6ZhT
3eoddZxM/2+v8KflVshhsirJK1Rboal+9PruP3kFzmkejxRlaH92uxtr0vFRwco1UDXg2EeVt3/x
Cn9HMv1vC7+/sdEwqQoHbhkWFOdfkE0MtkgkICsAULXnm3SQ+tPaVf5rltiacdFbRcLZYyjEAMOv
b2o7i/cmLM4bw0kcFfpWl7uRmofqlVip7QV4bRYm/saoV0cFpcQ4xOhr81XXuCOFRllI8y8+Sn80
k/Md8OkxBFkA4g6UUXp/gtMqtDblKg8U+Wpc9f6XL4rzdq5uIFz++x/4H13k/3glmPyOpdvAvPmX
P36kNBvRXy81Y2cu8jkGLn8hskfDerWG/8kLWcJ1UbHI5//phdayhlNfU+dhD25YYdi2puZHJqa3
f/8y//rO0XZDMxRcS372//IQgkxu/GULlesYnFCymqCs/XdIoEcAu3/xWn+MGmzvnbeFuYgbGAA9
Maz+8b3LPEgdelZbOxrYwUZH1EjvZrkiwF9SL/r339ef6uv+/mJ8U6StmPTwT2P7xv/p2ccxg3WT
+wETKqbE7g9aU9gfBH0Hyv/wNkTA2a+uFhzov3hhYf8xoPL3l/Y3YqlrmwQqnD9/GidbksGkSHmn
TGd49owxd3fkVEsM+/6Q3NWTmK2A9Ij3C3xPeU76en20oFdChpyVHdqQmBqGGkt2lzd4QGC0YvAP
YBWhnSOsaG9yqsrDyNCM7gq2Q/C7g3yhBIJPiwNX/znmmv0er91mLMfYu+v8itun6ag4CymMHZhX
VQPG5cxypyW0E4lNJicacs0lw+LG3+6qyp3Gz1JONU3GiTm9uJKOelo+DHcPdsN/dIZq6h6T3sPb
miibxAguSd264PTUP3sps/uyAEIBXyNWjFnhJZ91PJL2zoI28mgNyW/2h4RyFoYGEMpnIZkUL9xF
Q6bxxtNEfZd5QQc03TMDIPWk1qltTrN02miRWvcrW5L+3qnT5oTyWR8rD74kNlpgqmm+pBTcy9Fs
D+PgWjeWPXUj+y/3yiD1/Ebf+WOj2WHvelQ2zlhFP/OtpWC3DqvEGbmAs72Tq+pC5pequiEqMX7E
/tBcmF6DqlNKfxBW598brdmEDemhK8l1ZnQjR6kggUqFCOzozZ0p4EJE49jrwxNocTxTOYKVuXML
HLM3ndYl0yVxu1FDxo+7GcUTDBNEbzOlo6gqPG8JAcdPTyBS8QN0mV9QKS/OOevdkcKxOEr91nrg
UCieppo1/GAk+JSr1ENrxuYOCwInmGvEV60Vqg8qEMBXmRX1dOaHaUadwpRI6eAIQzehYV5vgbng
Qczr54mnZq8hZ8zMbFg+rgPwmQbnbeo5Vwjr5WFFBv4hzRVylxhodhrdHCZQs7htes/hwQsUmFM/
wgCIptFjBrkZ+pHUuqZBJ+0t6oZM6gGax6FfdCIbeBOHS8VbeSdSmnHIXbN51OD1l+eCz87mKcoV
6nxqVAVnFYI8vnju7azc3DDrhTIEd/PmTcvR6Ro+y/TjNn6ULA2+B06H4JN6akTOuIJg7ThqnCjY
QRnWTXo0ky7/GnXLNag1i3vtuDiinJ6g2uUfXYOKc4Fgg3hQrzVaoWhKF08ZjYJuAZHw2lt1t3E1
GeKFCo7BT0LTuexDe+hEHI7s6gebmxgt1nlfWtXOaD0QAa3uDmHD2fIVFuQmeprdxODA6iMiYOIp
tQnVE2/DJOnqZv9hwnOIbG2gVWKZ2vtZFy5HZ1t+m8ZkH2Hgm1FGSOOYt+3w4St92jtJ1vFwwbMn
TmmXoiWPo4aJJH08HuHiay84keDi1VOFwSpPhvQXBfX+YxxT2IFoVa+vrWVRQu1JXED0wWJ9dmJA
od40OufOlCs+MVbdCL5L/4bW438sizJoLpjJP4Cu6u/HIefr0IgcMtBR1TlzW0P7oOjbQpbGab3H
hAb2sqbjDiXVnBNt78IjmgLcDMN4KNayu9rr8trUMv2o2qq+GqRuvhijM8xgjoKliwuwghdZpfp0
mDUzR56TcfayZG1i7aoOhpoDuLcNdRbxjJIQvfqe0JDDQlqTeMRD1roHHXyqc9GZiJh3qYfffG9Y
lBHh8Wn79erYmY7MrCXL1jI/0xSpZS3iJYOW+YHb5aRu2i1N86MaHHARodIBNGRhn0k7BEFGvGhg
iY7iHAUMR545P/N116FNBPVDz+dRvuPYFcFQ2Swd2C/pielHeOYX6g5r+5hqHMZ2bZWPh1oZ08GM
J0MdPC9vfkGcKBeEOrM9V6plikgoYd2Dn8ns3ah32mOKisYAW9TZyxpXzks9zM5+yWt5FtJIE9Rs
xFbl98sPX1ruesUVqwN6WufhWbXEKYIMH8M9yOf0QPoEOtxgUAw2COpxIrdYpQXsL/WtlxIDH61l
ibyUbdJ6x6YnGXeCqDO1+4K4FK6ybF3k9MS9L1/PJaU5TYTf37Tvvd7uKoiFalKRnZlD9uDq1EDo
1aCfYVw1xk+AcEYd+pmj7PuJ8+NVoc0/cPvCymeoyYyPOBZp7hnN5Nawa/exloNpB6srF5OAVzzi
Bc8AytV7tczAbt2Wn+stE9iFYqJymf2IIj8cO/OkFvNHX4CaPyDwUuXSjsmxwUqY3DCYZ9DKFbw9
LabWPFVyxJdXT5RlXRIH9RnHd4NNJJlMsZ9NcnVn1MAyCWxPEKMw+oSx+BC32EYwhwE1oRqFqooc
nzVFJrq/FmixK9mIHO3icRQ8LUeS0KZ7ZG9ojw5yS3XbIqgfMkjdr1ViYgPKERwmUMxjf8SuXr3i
4lzfVhYAL0pogIk6zcflz2o7nlTpGjwlWznHDsSzcUj0drgnADB6VzgnjFhsAju02TOuUYTQhPVo
92vNOztPBwlI6yPps5b4wBJnTxbsaK4EMVy5nN7YFXMhU1FOFQev2vIQwCk5jjBbh3XipA4rmMdM
6pCuK3a6cvUsQkOjQR2ZcCfC10YT1492Y3tyT+hKf6pSR6O8VfBzx3zTCu/WwcX8CJeKtQf4iP2y
pukjy7SR404bB3VU8Tzkb0WRiOm20kCfkUdQt0pqZACzpNORiNDsB6yr3KIigsMIBH2N554LL8MU
phC+iySTa0G85PN51IsyaFaOVhjj6T3U5rLkucODj8Gto/ESd1YGMNAoSAsCSqr7T03DAldNKMkh
01P9aMNTKa7MaQEyZb6lFaHR5gYqtEoENh0E4wW5xnA6cCgx2CzoLaVhT/mPqTcytrG2FP6ta6x5
dWlnLLiBT8SQJBm2R1yCOn8FnXDO2yp0NAg/6ZvDCOCgYK1tCwoZiGM4p4TBVn3uioJmODX1zIar
rkgeDfjzJFIRgghAgQQMK61OIjCtKycouTz7oEDGJ91xAiPLaMxJSJBAQk7CKbGOSnfS29Rei0M8
ATBmTKGC2MAkk/D0M4IfAIaWIJaO2FKsfek77Qp1wPWvBV0F3Td9gRinR2CAE76BQ1eSqmCvLXKQ
njHBr4exmlSxj0fIoUe8tv1tKmr9nV4XWbCQDHKvreNyqYA84mLs4cIEaLjzEk0uLZdvE9pJSh9S
ZXa7rlmMq9njsgeEYo9XnZCieSOoc8XFPYjyM2dz5WCwkfZqKhAw/hSTe5nHyb3P47W6nxev8QkM
jQmGcb2WodmtImdLc733OAHRk1py3eNHmDhMaPq7Ntu+T12j6B5my6yxj9Ahione8BEd/LzZ03RX
MVTLU9+M/Jhat3RJ1/kEEL8aIuyIc322Vy3+rEz84kZl1to716hhZRIhF+3Jq1PfQ2+ipYq5Sbp8
9HlcLL9Mr47Vp9E2Buk9r9IG6FpZWz1hsmUJ6ZXEC4VNn7MW4m1IBNqgxzGTYm9azcLwaWTUMZud
9TwsFfcEPG7LmcK8+KQZGTVbdDtr/pUdYwzIASekamylvmsbL7CPqrmb8+K0FMVlYJxGQ5Zl76Fj
pV24rK12gj1T4E1Pk2Mu8vhuzvTyWXZRz1G+QxkiXoMVHeee1Vd3q9OjTxuFIP3LOXJdQ2tNYq4b
xeo9MBNV1m5aO2z8Kq/33DKc20FfuEPZ1fBdZk75wiPnHzxZ+JdOSDPS/E77Nkjy8inXm+U06SKe
zkDq1daZIS1OjUudfLnkbQ5qXSWeXKuwZky7fmwGDd1/QNKtVo+MNVtmWEa5M/6QVE9zCxNYWou5
p+vM0ToGsGvXhvSSFteOblB/zySgNoJeNeYhbud4PWXruiSMnlI7C4yu0g/VVCs8MiWVVSfNnSAD
t7lK6qtfUsWERaeVb1nLWJe4JwN5sj4Uzl4J8kyXJjWt5cSymJ64VEGohOGr467ApvXFbpDXQbFW
xBmpmTLPidruXdjkeNW6TyO3HL1jnvTQu3TpdkcaEdPpkbgMwQLMeFQx5KX6VB5VSqBMHEy1hcCL
LbCXm6qIm+ugZdObPvYjk+Z6ngYThJXbs2wm/ewB/YLrdm1Q0L1zH8u8eu5rH2kSetjg7YmtFG8Y
E9si4CwyPs5jaT1oc9z99Ds4fHvmfisAPr2/jE5pf8wVbPAgsSu9vlmnSQeTl/VtSsmKbrpsk3aG
2XLQlos2JtRGKlufbwuvr4+dPbbTdjcB0wdl19llcmy/sDcNd/Sx1d0J1bH4xBpAUmSMN1ejkNG6
4D/EaZeu747B+Rx/ZgvMy8pwnNA/lpPXN0yAYmy7ZTCiz5c7/Or4Hnv2nx6kFWB4zW3b0CUJzxbQ
efJq5dPknnKxwbE6hzODwC6wwOmPcCiMUVaMfUTTRfkojTnZ67ry4GnSRUvxtu5j906Tnznq2rOk
7YeHK4b4p/B4PzRtp/9owbd/1qte3OFO0/bl7HZYsiD6vZut9BDoDHXxabG+TbFRlCH+4i3ok07j
q3Bl9l02JeNXcxbzQdjpcuuOC/fy3m2RiUkQEb52s/5uaWwTTp9rdC+N7SxnZtpZuBq+SXVG5tA0
UNq2G1ST+0WQSLsp0NUxYCV6/cCRtHkfRoP6ioxvfletGI8D24qTgWUikWQBeoebJqMgbG8OxWHu
OHfXIivKK59oY2sPziO+dPVgmY3xPNnlU1xzTHBQN3a5lekwqe3S6MJZV+s3Cw3gATGReI7ddDox
V6fkpljr+rVrByCK/G32bUH5JXaQFhsQN1nry9e9Yj+1qjnRegAjsZbdBK2x5S4Se3SWbUaeYzNL
NCpt7hj8W53GllFis6Ya0U4lxGr6pkLFevCD2jIRmdwk31z6cJuT2WmYKrAh1ufMlH6IswSb85i4
xYOW+fO71ibVo6uMJHAohbuUDGquUxtjkLcMz7htfLc6jotVPLYxg31d+YCD6T6667tMHN1CYFzw
ubzvOu57Vej27vRzGIjcYDvq3GMOfAxZx1DOEGH6Kry91ElhWmwo2m6iGpCbiKrjF3pb/cOKsSp0
Mdwx8wPR5SoTRC99KMeEIcGpnfGLYTm3+rCexu5cLfb8DNovf0gNg+nK5MzwJrKswm1QOdoajujw
T0M5uQdyhtSFz+5YURqOLfXYmDGKBTGDQMVD5+6awZgiaOtsPN7SUN7Jfx6LsErBfdutTjB+WkTO
NR08CQQ+ujkfyJlDdY1VeyVH1Ye+ZGhI+js7OBPrmmMs0toxcuAPdaKqfpRLbhaHgvVj2RlOmUSW
XEQ48Ub4QMnM8VobAkPY2LfOb+pEG6Cnsv5J9AAjqZ8/xp1hjTdyHZxwOzy/0OPiPdEqWw0cW72h
+Fp9IV+XVrPHiOZkHW+bM/P4zHLEoGzMjcRN4Jf8ulbanbG6LgO/TRvkHDD7+oFUlEdWP+/15VpT
y/zRZDZ10y26aNhiN3UiGBotlqy2BDOxFLqgj0NRTZe2cUGcfrPEktb+GmMXYrPt3ttGnqigk9yk
MEFM43UYeXQ8DePGyDN139WO/9tdUKaWyiQ805vp+ibq2H6Lu2V6RATjLilIVF98ni4DubIbqCrE
HEmmbDAZxJFUx4dMbOspFmsO9j3z9sKo4yySTKNpOy/5EOz/i7TzWm5b2db1Cx1UIYdbAkyiKImK
tm9QkmUj54ynPx+09tlLBFlkzXlmeXkGe3mgG92N0WP8AUY4YFPT8AsN5oNk3GqAPGLbVErvoJcD
2qs5/XeyX1YerJFF3z650EXyV+GWJl6YrEUpF7dVRmt/FUVc1KpbMc6DpZUIn/XQuEB3uY//wR5V
kJYCDjl2KnX+SgN4uetKfE1BlJuiv+lQkXg31AQSqJGpTtFkAe7EtUTorlLgnQhiWx5wgpTue5RH
EFjGfAZ1184RE6jYsIhq9w4BPwuYf6HKoi0i06Vh11E9Z3nzbphlC15fHh5VCB+3I9o9nLIAl8sb
be0fIpYfRk51XNulSj6+NkpUvccgRcNHrJOe0xYA+Z6a/EB6mHFpglLsbxHMgRCPqZj+yt0QqJGZ
wt5Em7vdeE1cf+IZa4ITtszEaXOWxkJCSdMxqU4B+gd5SPkkgqRCHvwRZzrvodS5Oi6jWgFP5ZsZ
OHpIDqO0T80stTYl/riIfOY9kErSzmLvdyanLykbGv7hOKQvFgrmyDuBebjv/dbKFmWjcHAgQwLX
EZPX1rhTlBgb6rbG6hQBvqgAaqB1H3KDDTL2VEazlf24sjCoD+t3KOE6Vm5t9C4oKgbXkDSkGxdT
ZHHF5WHo1kFh3bMtDwgK6ACwgONpSE64W6tsVPCrVRCnmINwSViBMFb2eQQTd+GBlQbc65WIAreq
XVYVDfDYSty3kisP1tyN2UHn4pW96hRhDTpFYaXgD0+j2G1DdasnPP9K7ABGOijKkjYprYxJb+C7
HbRrDEiEjYI42B5HE/OTguafTE4Orh8hz1/1pnw/aPDMVyNt+HjpIYf/BNmsWQfAo0D8RwNyBJVL
4mkKqHykRka3GdqnldwOIRoGbAXfG0HqQbNwPPhj714ORBab6qZ/VQH5FQvXxFZeUlJ0OWCwSYhQ
QdDGMAL8XWubHTaQSzXRmwmd3mCzHXsoSQDmRxsDcnlCfxJ13dZ9xmGhrB0jgHexornsDqA8RRcF
dAuZ0grCdbWOUghyQlDLysJKvMHa4N479ne+hAniwiu1vqCjMAS/JYrjrR0JSXAbqjBMHTikg7FR
hiEU1qBTUFwA1AxtjcxJdywvbtaIX4/RAWUy8znXE7GFJxF1t43R8BxG7onR1uoi4MUlknn4KCY+
nOsHVAgxgKNm31D6Z8qQWa2K7j3xq06GEF0U7y1luvETc6IMCWry3i124nK/SQELwOHJZfkgwchG
wyZKpWdhynY3nqpI1cbKEDau6zRdwjVL7iHfVU+NFGnUzQtR+jMGCn72KYYT0CNTVJ/RUoLaLwI8
vMVFFD8JpdSpQGP9TG4S7NW2dsc1MLPyAOe+QcpXC7lGoVF6X7ti8EBa192lSgWd0ZB69GhgIfK7
9N79TIcGo1sh1CLFplfrwY1IQ5QQxCzp1J0CbxCZ3Mp9TRVTdBIXBN8tYBmIhvCZ5PGxAYNa2wGL
+DUZASbCuvMFUgPJS14BAEQDvoFNjAIyrHYWkEf9dNEIXvgKWarirkE1H9Ze7Dqjjhu7V6PEhfle
kfHdNekAZf07wVCuBupTAEMUypcYfDudNb5Yf9QkDB9iuH7O5HZQr1vdNEGv6pDNErPyE5QNx/wJ
/2FcfePJYvw20BoLv05ursDwG2RUfYRhuzViGwOYZ3ibIZz63GwXXm3Fmz6NwL1kveFv0yRCiKJE
4WoNg7X4mWiDtncbAXV+QK1PooKsfxHGbbxw/1h5LhwSnPJWofUZGNika7CAaHRSOehJQNFRT8UM
UkYkiX8qqbMKu+3BNWPO64bKLkKh5g355LxcBk3M1UwsWc/0lK0XqoL3rR8/YzMewcHSfTTO8dDO
eYsZ6JG6b7ho5OEu8Yd6U2W6AUQFE4vdkFIIuRVd1fJWqjUU5Q06M3W+bUL8gCFMJ90deodpu0zB
9kLbdqNWXpTyKHg7EYBStkzSEeaI61Lg441D96WbHsX3YgomJU9pDDngWXyXh/Q9CvQDXSvQJGW+
EekZPhbTR9erTVaebuVRaZvs7l80+qQQDVi5hCJqwTAKSgS+ueGP8nOVhOl9a6RkghF1R6aK29uq
pzYarYGI8l1IIShB6A1QOL6RpNb4IUVysEMrvxru4WQ3qA30SgFo35dukDXoAifpMtj9Ef2ID7wP
8eYuS8Dcb3lOz2KBupcfrMtc4WNbBka2bAW3o1VH1eaQd+248y1MqQ8p7TlGZqJT9iDVmnnAn7NO
b+JwgPCSpIbwMla5eC963lgsxISykYapt4hiyShyqZN1mUTH0vt9ko/Gm4IUNaRHodaRfE9j/Za1
5K7Io8SVNdRNetPXkvpBxskM4VSalxt6XS9w6RAZwAoEPYAqqYxxLSemWTuh54Xyc0EqhnSNIkmI
fQJOIx6m3zaNIw/FOVE3h4VuChzXsd4Kr5P2DsIsfFLhsMTDBy9O2iNWFEa/IoaNFmAgC080RWOa
Ky2AOAp3hvLU1SYikoizV04EpTzGL7zswqn31G5rvFCjzejlebn2Km18DmFnx4Ds+/6lHpTAQfVM
uR0oVx/oooe/MKQuN5B7knJrQFONNn6ZggDrNXkJYpAaJR6SmBqqcRU+pdIAY7zLwftCrO2sJ5S3
1Hof10IXP9aZa3g2rJ6Ru3ELvH8FhAHiRAyLlUJi6sUi2Yih/xUAvcRb/LJhyicJ56OtWHG1hVtU
ZR85TZzhBWtAyX+s3CSCLmPBWLSRSqCkj05G99K2cLoctw/Sl6rrLXJkmEGTwpAiCCh2UzZfja0l
+IfanRTTgiCqfiqel2xh4vsbFXogiithPL4GlaKCduyjJ1/LqSuBp3ZRI1B0IMnUOcRiERZBX0JI
7HLxtu5Al99FaFmJj74/sMJD1hamDXyyt0kyYJIb0mXmTuoz+4jkyc07INH6Too6zAgUaPaHAG4w
Ml9FnTyg6Vg9KVz71YUO/SS4cWsdRwVP6pvbTpZThKcy76dOIlQt2t6l1ggbTOGCUw3vBXrVht14
VdDaXsnHxYYlU/c7YfSCxpZUr6+g7jTBg+LFCl5FsBazNxh13V0MZYPbuBfFb6kIAmEhSlX9XGs6
WjC6odAG1nOBYn+Q3ZhjUfr4WgpysrAUbPoWw8gdwk6KCGI2iXByS0EvPvDsguSoqlSrv6OhKXdt
qpUPkk5iIqsFoPxi8PeZBiNYoeXuQLNub3TKJvhfaXQO9AkXP8CGhDuKgjQ0BqDyMEqM/hGgOZ1P
QyzlQ5g28qcq5pbv+IHSQg0A0PkzIAek9jmAi0BtpjY2FftlW2phc0vPzfgl5Y25U0xVo6xeYiSB
HoYbrTuUFRIuggE0eTUUD20mt2s50LFKSoJBfUEvkhO2bTiQjLrAmajhTkzXMqmkjdyoXLKC1Kox
fkavZYn20PiXT5bk1GNemg66ZvF71ZTlHlih/5D1EYhClhW6FTr1v8xJBVCQixSYbPNYyIX8UEFe
WwVJ29+Jlij/kMpauoX3rC2LnD+qoHvvwrSptGQZFLQQYxmjeaS3BlaJCue77URslJRWCM0bWj/9
G5WidEXmjNAPntEw+hXf2xtabryKzaRkU8rNXd411iYAsT842DdX3FckjwI+jbGUnJTG/yd7yV22
eWU9hGVDpSp2eSBPV1ZeIon3StAAn0RjzXQSjpO3RiS5F1maS/CMZg+p0JeTvzitxryJDpzjjWfK
le+4MefxhiQd9KvfIT0Ud27yFEpV90tJAw9bFr2ryOo9q1QefBxrqw04vvQGuSd901vkuQiE9Rkr
WhSSxwF8A+3MsAj/iLI7/pQrjc6ISKetxEuZY6QYxVrc+3QAmQs1yd1tpzSgbVHdUv4obEOsHpFa
cpQ6RPEvFaL40fNMqg4AWaTHjhommRRVt8kitU1XvkDb00rgwtpeoJgvCT5e2lJvG6NYVmEAyK1N
ksZJYLykW9fyBN9JGiMXVmQUaMDE9Ag3aeyN8fMQjGiPCEl3K5PXQbuNOOVWGZ+0Hbi/RlrHY5I+
aCZJzuBKCqTKVEJhi1frkrdML27lViTV99Q5Te9XO0kACNwzp+YWXQTHS1pv3wQVQGllSOv2Vc9I
sxBYrNCpKASt3zbyqFJ1NimkscULLpEI6TsGxyTqABX+jD4tXczf26U+5GvOCyyjeiMKkOOu0a9r
UtryvIodlPDxhW67V90hOeCG1A8Vb0P/03vOhYB91TXhnSfpFKkB6nkgSsjTw5WRClxhudSzL0Ym
rLEFsmenHwWYbUPvl7/LFkUJxBnr9pcGeRTdysJPHiC8Wr0T0d/CpwkLyaVJVyJ9hPlN83JIkx0G
ysYdVxj9vqn78oB9HEx8WUzpWLSwnC0Xnqtr1lGLtmKO3syUFq7CrFKNpS9ryaZBMkhHoEEUH2mc
Ufgt+LMQ9NRUdzvwsWlval1v7ruiBd+Ivhtib6U2SVSiwAOWBseLCEEYtckelFCV930q+MoObF3W
bxU9oMRllmL2INRpRHOnZavQ6Q+4axTlvVeqGnujS9ch+c1Ocv3x3S2j7qmEGkUHHv3JW2Qmx2qZ
QyZF29EgwVrlFiBPdP7jdkvlWn7VybzfgJuj8uBqCm0HFUHZJnNRmGXbudlDn/fRUtWi1iRFG9Sb
LgpK6w3F2fIWTik0Z5/XoqxKNSkSu6wF9KCMJqTrJcbRfQhR312RJkjIWHVppdMzNVGpogvhD08g
CeLyB2kPrHkhKfwN8r7R30oUTWENI6/1H7jKm4jiks84ShXriS22qmUsSjUzk+XUxkVFWjd7qvTA
cB45BiKQS2LG9wPJ23U51vKLIcHBcilsLZlx8SfQPiiLuFXUvexwkyHh58vdcYkdNcoR9ExjjuWk
DV36QxU9XSujXYPsk6BTWicBiCj03YaBrN7CFChC6Exe/qJA7HpVFdFwIkP2P5F6tcpNqfY5rNoG
JwluixKVKZ6497FFq/o3PNwCKEWWXopLTlwLIBYfQ6QJzNL89IZRjrYpFi/aHnRimS5J4PvI1vJM
2g+w0IALmN3wo07V8CPoU+W9QMcN5b0oNX/5IJvQuiqgqNLN98xPn/aFxRFP/4USamcUtgCmmqML
QdBt5YfJfVijUbNEJ4kyomUM+biBOWEdKGECA5E9M3hqk1LM7yIX1Vm2IUovUP+7vL1PIAXf+FLb
/xb5rv5BLNJH+CuSOXcyTAFZ56HZ/5BzSX0aCkFCzrXEBmszpWcG3UJKS7i1A1KA0phK4S1YNPQP
3MSUUHWTrfpHyW1yF/Z+BE+vmvTCGw5qZHNamsmQLOTppPawxYSI71movaiFF9mwqbVoOY4ute8I
CatXpenVD0is7QBLGyk22+fTWt+ghYO1Fr3z/lBHQpOt/0/dj2mTli1HeBApGWqtavvXbCoFjh8V
6MeoSc21hMLn7dB73bsc1gU1WFH8eRkdegofxhzXAPch6WRR4uTG8B2VmnVSW/nNgIZl9TgE8j5h
41rGeEV9+gzQll6kaNIIxUNKVWe2BmIeusJQh3Tj8UYThcfAgtWZ3dHLzdUrkuVnsK4WqigWGHsN
/UNzNiDwWTl+clR0R58bm+g+R5l7+MdzZhkiWvmGwnjEOaVJU3KhbyJCKPkhN55TPGysK2DrUxS0
KU4y3eDLNFhfXxSu72BhmNYt1WqVpnTnFEiMBtFaBCaLIvYVeLDJCz7C2uumiKUGX3PLMCVtoqp9
XwBpgU8zvktgSVApDCnrdQEEeBNLyN+JeRPgnXJ58qTpXc8DQmnCUdcERa5PBLjvATMYsCU4W3VR
xaPdUjwUpZu0XAfQpIO95y1b2r36FfD16SqfYM9g2GQNdXdxjl2XPZqaFtg43M4eoSpv2rRe4e58
eWRfcPHjkVkiFXCd1wUPjp7c8cjQvcgAkpBD505n46S7bp3eERZoPiyCZWaTZDqWTd3RLpzWrpdY
pjmSzaQvKJXYaFgu3KXhoLxwhSFwuiN4LIkyAOhvQ1fnyzU3Y+TVdR5Lsu775rU2rxgTKPLJGyUA
MyvLWBojPD97o7gNU6U2oe0Uy2ncrdM6si3b1IIWyDj877jhrtl0SG3wMc5/Rg3W0vYc/Hgc086v
7CDpmHgI6H0C28PpMb7sBL7YlN/XmdTlMdxqCa24YYulsOQ5dDwRrNSfqpV0526EZKcvGt7Ai794
+rw26V+2GUeLYRZ+2nffdnArhm2GsiBplL+A3yYfEEpLt7/uMxtJSCqqaO1s3VW++Q2UZYGM++Ju
WPztFniAXnn90sRiOH4SU+KggpACgF3npD9+koqyu9GXaGCpVWMXkojE0luItmc5+MgdIKgk5KiM
t+9y9VpRT6EkvQ1CY395c5wcM5BTYPLwjZF1U0J96/ghpCyBDWAhFjwo2n3mT04H9eMQ6pXdCdKD
XKAxXSd3l2N+USpmI2fPizASRc1k4882pB5bQHZ9id5KiLlf8ZZ3JJGV2h0qIbsdUnnZdPodfdxJ
qwm/VchfD72p2JWCq14xbirP2yPN9Xjlqc68D55K0fiGMBnQTo6noqwm1XzYX4jMfWS5uhNJ3bVQ
xRAl25t6gyQqqpVp82LJ8T3yfLSWlA9Zla5wX86+EByT8LrgsyybsxdiIPk1eD1Q6yIBqavhYots
WVfgTmZKm4jKHaCx35dHfpIFTGvgW8jZlkCcF9xHSsiSha9RKEPboaNH25QdVtZXjvyTU28WbPbu
kVgDGN8RrAVURZ5H/9vgFnp5RCffFYKwswwN3RFF5mUev0pwtEPYpLiBosqFXB0ewRHYbK4Ql8Oc
ZAMGnG8D2jfnN6JG+mwHe4ZQ10KtuFz2zIchFf/qpkZJLaleELDJXi8HO5k4E2d6xaKUYhjgA8Xp
tP92cMla2VZaGOHgnv1U1B12JP/8zydzYvkzbZwIs+WfW0BLvQzM2jBmHzUljbEzrgzhZL4YwvcQ
0xC/DUEIhRY8CyFEIFVcRRdhZ9hG49QAJS4P5nQBWKpIYkv2pKs6KedxpDxR8L3UDPSdA3EtcSHx
lPaVLX8lqT3drITBwkyUJ3kiyZgG/G1AWe3JbT1a7sKQXmv0DsGjYIhbwABofhi5Zl8e1Ok+JVmX
IKpNtDgYcrNBdfjE1lbhUbIm6kINGoSL2mXUJ4cIv8Y2Ha/EO3ldBvFklf0jifx9fhQFSIklkSTj
rYUckS7dxX39iGflQk293eWRnUQiLWADMSiLSbT02QmETAl0g1BHFLAyDvxOLH1bVHcKNL8dHyvY
y9FOMhAyIhkxQpJ4FB2ggR6/NbHsS4TzpiJCY1fqk6T97eBapSIddmOZtD/StltejniyHKeIqsES
sdCP0ObnUYPGV+SJRMQjGQk5ZAi0Py7inP84Clc4dCQUzj34oLNxUcodZJQrAXL0d33+Uytd6l5X
8oUzb4oYJu8KVXHuQrNTgmZxbkLF5+Ij3OK7tlDLGyN+w6/58lCk6TQ7ShG4EqhkiHQrLaRntdnN
tK2VwcR6gbtcJUi3cP1rpzCKfhv3Sojgm/YXTTa0mz3quXmbbvBFof9Jh3SJQFF/ZXWe7DuT66pO
P2I6dUnWZ8dWVxWx1RuShiWr2gHOAdNiJqryrKhtvKXARLFPbdIr2Tv763QKYDBOVG7Q6azT2VQX
oCFbBWGdheM4O8fZO7s9/7SafqxWi9V2u1jwt/1qteKfFtvFul5s1+vF45qf/t9fOvSTj8XjYs0v
b/n7I7+P37ucfp2f7OmHzV/O9JNtLxz7cHA2/NhtiOVMP/E/mx/Tb5l+6/Qvzufu9fC6+9zlTs6/
7Xb8+NxN/xeec3dlt56uOEUVkVjRDJRITERYjner2lA6pq0Kwqe2FlH5WxbHlRvduvrz5SV3+pYV
VdHZO7CPgS3PCdveoBVjWYMaxvRl0aLLXgfaLgHclQd2bv29HOzcoNikqqirhkrc2aASBc1OyaLy
GMX5A0TxLfxqQMbdbSsLm8uhTpeRonKkyiID08kgpnF/+0ZFnhK2o5caiySOHITWqwKz84qunFwt
0/o3CITL8U7POkUjz0GnQadnzcY5joe0spIroY8FQKuWO9FNYgeIQnbT4zR15Vg9PcgJZSGAjC6z
rpHCHoeaNJ5VfHKgJbZmtJVoNiyCFgPrftAzfJLEQMcQdGh3wHBeDVA4V87br6k7PqTA8k1pBoc6
loZfzm7fphbT+VTsYyRy8R5Z/PrPrVq5BzS1GJY8yrpdwUN1EvtPt4JfoCzdJ1ht626HF9HiNXfE
xd9P08Zr3RluhCu7ZjqT5o+mcNGm5DHtGXl6S98eDc8WbpdVZi4aBdNqGVUA5VqOdRpC0dgo09fA
kNWTDdO3A5rcboOuZ4t1hwAtuLhiOXhak+I69j3EbC3lktngI9KydgMp3WStMDjakDXbEoCtXQzg
XBQp/YwwnbJxYbpXGrGwL6/mMxt1Oni4rSLIxP149gRJ7Lq+2vIEiGOjvIy7daZnZHnDjxibr38e
C8QW4k/UY7mKz64TMDIG2iZcjeIamWHhRrT2SUK2Vf1/xpm+vd/WBm5WcMIl4oAwcDppj/ouKsmm
XcRXkoVzK8SSZE3BNJLPpzhL6woXS/tGAvVSZNKhyL3foXFtnZ85bSA2k+5IlFCmpX48ls6PwBTH
lBJwGMsXldLamtxj1aoVVza7NM3+8Y7ixXyLNFsJPRICpp8xa40KwzF4GFl4/p9aUEGMYyZUUhNu
3itw/rpwLfSZI5zQGt8/GgH8w2yQmHAMNRBGjhXpOfDugVqo4qaoHjp5LQJkUIPbrL0R+3UOJxgd
zfIWYFVjrfDdHbP3y2v0q+58Og3/fZbZNKhhHSB7xTTwLEO29uq7TPzlogmjaLcQvnVtHfS4fezc
sAWQstSj1TBcSY3OLCsyQ10G0Ut5U5lnBFKrK5leMh15KUp013K+1+DVLg/0zMbXJZUPJtJvlOjm
hbEGQD7aE/TL4Br+lTNtBVfiDyTlZYELzj8ONQnIKRwzMnefSeju+34svK5Q80jB58wo39pgOOSV
tgNb+xvzpGuH9jzL+ar1AZ0xaMJwzddn2YCbRQYcZ/rk8XOV3en1fT/uxfA+eLo8pPmKnYeZ7fzE
7ApgdZB53OjJgzMUZ9y0IBlvRnWtasmVCZznAV/RqJbpUDaoj8xNjNW2T2WvRVex/JFkNrhM+Wd4
4z4OHpX7y+OaHzdfkaiqGxJ1bO4nsytWqdV6Db+ELrS2M8N1jONQ+Q+/OLMQX9/Eb6ezjMo4LPfp
DXVvY/cpV440mbCuLw9kvofmUWbfGjmQI6VBvAOwN7rjTbXAoOtyhHNT9XV/0XVaWbSUjle1hq+U
XGhSYqfKrYa7KMJH+BJejnHuxXM9lKhPGNRh5u04q5fhjsmAAnB9Qt9uTHIbQ/iFjLFAn6+BTDgo
S1wOeZKTTDP3PeY0s9/ej55GMJk1Ygrg8NUUkZMSft9OTBBPRNHqDqnw8tphNM3V90OXmIB6/iMn
NfXJZm9LqL2w9FP80GQum60YA7f/gxnhYiw/8NW7PMCv1PA0GEUzDj3U0LTZGg+mj3ZQupiv2ard
PkFnJwsB1tm9Brt6q6ySm9FOH6lK99AbH6yttW7ShQVBJ1yqlR1eySGkMyuVsf/v4+izJF/PaHyU
AmOH+LrW7fTZW0Z7d7MQ9v5OuQmexMfL478acDbZXodsdRYyfpCG5hZ8s+Md6o1BqP7VteNtvv68
EnG67V2YcX32ARi7xFVaANN2B5+MviSOeTfh6mFcKjepDbfyys6Upym7FG96nm9L2G+6DqEn4tVO
favcjq3NzZorTHqv2uJ7duct3vTSueMVc41DC0JeXRnwtXc6/fq3B0gxJNGr7OsBqn0lr1hj+uq3
d/MmmwhVL0QcPBbClSrOmXVNs5ELviGi8MoNdTqwvgXVgBamRlvkdFVy3q3r6NAGIL20BmmT9mmi
39xpP3JUxi1ElFRkLoBnRdZfzAL3CTziptqo/a1lPNXiVjcfvQZD3zJ2jGqVVFe+Aaf7fXpUGkA6
59p0FTh+VDGwQOAgxQVvexl0j1LyE2+PFoUKjG8uv4qTNwF9FeU47huaCNJk3sKoLGHUK1+HQ55l
2aqAtkdJYsyvHJrT1B4tuCkKl3S4knw5T84vru65nuKpYhtlMt5UWfUCMG5cY4b18s+HYwDKF6cr
FCXy2cpuldqlFg5YV/S99yQQfo5Ybl8OcZLaMBYTjSdN4sIPLmP2btJaUGItQaXXyn8OylONuy0g
IwkWRRq8avq/mDlsR1RKoDCmDXl2GCtYjkejhsODH5SvmuTdmn75ann5lZT6ZMFxvwWBMCFzuH8a
X5efb3tjIlDkqP8hARAj2dA9K2lte9ojorj2qFxp/84z6+kuza2eggmLnGrqbAIDiCEW1E5OO/NJ
d/8CBU/GB9hrl1/TuSg6HWYJ2UIorda0JL+NaNC6DgcSbmai1x9C5UNFSC1PTa5n45Xs86SRPw1o
MiEyEZA2pJNiXqF6OkwSQiHc4/TNTats3AjG2EZQd5Jm9+NS1wFWdD9DY4dV9T8fJ1eGCeBB1xp4
1fE4rYaeG8z/FMopkA5jbZhb6hiU5691F86cFECD4JtQ7EHPUpl9Fk0liHNrIBAcFZv26l3vqYfL
YzkfgquJJbHm6awej0XOEKxQtRTgL0IY0OxRZGrz35djnFsXAFxpKnNCTM3O4xi4PgeoleSTjdCH
2YMT+wmNeiF2V8KcOfGmV0Ifn1fCoTcP04QResols6XusoJCjmo4EuILlwdzLcrsmmV1GGVKAVHK
PMVDvLwNNfUzSZOHy2HOzhl3RubN4D78pSX+bS9RCA8RKCQMvmpB+tHjnobmYTV8XA5zUmKZNhKp
9f/E4RA/fje5XkOD7IgTU/MSivXY/1Kym5HWDlRlmMx3OEWmhQ1w+XLgM0f6UdzZ0pbxG/dad4qr
1vBu8QelohnGJtau6kJVHkUMES5HPDOj9JIkDYVK5N5B+R2PNO1d0Md1lNqcXQBLME6qgZkpr25/
5WC/FmiWaemB4EsKhl6AZ7DDNQJF3gKgzHZDmf+KDP/a5fXMTE7i+mgqatSqNGs2rkZAdFFSOCSq
PHoVi8EBitHAq0upxqd7BbSHq/5TTd/pagSMjq4q32QTLdfjuYwMSaATiaumgjBm1+Im58PbQe/h
Wjn6zG7jhKfXP904+XLNBhe0qICYBkeHJlhowqaIrIIjyxTUpP756iDpM2RgizQcvz443/YbMvR5
2wE0tofIR5/yubUOEMKDUrmyCs99uSg6/TfQ7CPZuz4FMCDetosoQBTBOUP/0oDAYef6DS5N+MTY
uHijeAGZYBcoVxbn2QmlScSrIzOkzn785lIrK0ZFalPsamSsTSK8Q1UsjLLHy9N5JrmxJv7k/4Qx
Z8eKqzYS8rmEwdsHyt6vTimeVDFzalnaZPm1VXI22vSFRPiZu7oyG1TQF73QmSOD4n2JebYT1Y8g
+OO1lYO2wfLy0M58Ma0J4wSWQeWuPl8pGJiIRdUyNCVIH4REuTWK98sRzr6jbxFmB0iBLZqXWEQw
wtZOvXYxSvWjGsWry2HODkTTEL7CY0OS5hjdOkiHpBU7Dg7TO4hG/6QEV+5/5xe7ZU3AUy4coHaO
V1sW8J+TDO84xFsf3WwESPVsUJUChmY+QeyX24Oh7o0/op/baVKvLw/w3EEMUMjgAcg9wAUeR0/V
qnC1YUjtcLLmK3Fu+B00SJRdA+2cO4FBv/MVBfIM8He2pUst6SSZbpkdKgaaIzkumBgSgDUBR7gG
Q7jAvvrKNj7Bc04nMOr5GuCWCXw/r4rGY5emnYq+s6opb3BJt3qQNL+MWNnltbZP0fCxR9V/1kvj
MUAqcoHqnLQt1U68cZNiq6mlssrrAikCSXm5POvTZptdPLmkAR9BsgjewRxDUeaa1AUDhYYSzSZM
PnXMOYtVnvyZ+FGD9Ywh9eWA514zkjRgAjnRaBvO87640QL8CTAoRGvEbT4MYwUFHV/OK0f32YF9
izPL/BB1gluYCRTY25e6f2jTraj1TqJtcmsv5au8u9KKPXcMQAzAOmfaPSfNXgymNfj1Pqm5Gdoq
1WlB6BZVKV0Z1rUw0/R++/KpdR1Wksn06dYDBq2LevQc9Jsvv6NzWwQoD69pWq8gwY6DmEjdwbEP
Ulvq71wf1W5UIo2NJa7qdOkP/2bivgWbvShfLDNoL5AZXdqGRbHDBKtC6enyiL6uE/N1jtge1zJV
A6onzk6XCHH+rkD7wy6QjtUgo3Q6JbW2LBcd4lxy5q60Ti0XAloIWhjZUvo70dJ91FurdsjttoAj
oP3ViuLKoXdulU58HNoyfJtOGpcc82ib+lzo0tpw6hyglPQ3yqt1Jr2AVhSyfZ44l2fi3AICMKUC
SACixr4/frdYrNXoase82yIJESKNVTtS/H4/+bL8m1BT7olHnSjxxT8OhVVT5aYWg8vKcW/hf9v1
4jN8jqfLIzqtRxMDdoAsc+eWdBLd4zgKWWIiTreiMdXWRuS/tHWwr9o/g/updN0We0V/oTWirand
kxT0Sw1tP0eQRSiOSA5cfphpa8zX2fetMxtzVHlVJfCxtvH5EXDyThHy9rPbOniR239zkv5348y5
ae2oih2Oe2Rt0s/c3KDlUSKWkW8vD+jsef0tymzj4O0e9RWW6ljybCeNtvy+hYfZ/Yt9AI8LdLXG
5YhmxvErVL24DQOomcCQPcdqIJ8HlA/fAOigbRisJERMzOFaInpuK1gTLh14FPeV+VYIQnSnSoOT
hyx+acVoU5Te0jQOlyfwC2Q1XxLfw0yZ3bcju5YwSUSrOrUF6r8vqD60+cbFeTxctpoxPCHaLrkr
4ProBNBwQoUwl6z2nbOqcwZLQuPOMNtYsEkJpOzRRIfptW8kkKWCW1kGHLuSpTb4Xbazysz4SJAJ
f2z1ErAHOufmE1ZT1qEHK2C3iVv9LPhTUH6kX/gjLsx+XfuZF608hPdquoLIhYMipDF5KDsqXQ6b
turtEDUcJHkV/CM7v1fSZdd1arUyYBsjJjsqTlUa+UPuFoi4BGEMC73Ja3DrvZav0OWwE6+GS1Sp
WUpLDE8cyPk0cO8sZBkQqdX79FNojODHIEY0dwKjEIEU4pfjVL1K5wWFKg/YeDj5V0StoTiy4YlP
sMX7cN+og/4A8Mjql3Wbd9hd93BPkM1pHDlXPCCRKnLaCFzqJsrzovvq5wBV934iG4kddopxL5Wo
tPgeWt992JIduKbHtwBd3URk9KHx0qEoS7elaeM1OhLZKkFpLUUGqQYhiCJyt2u9qn+HERKiEdsL
+RIpsDy+cpKe24Tfl9DshCvHbizbkO2R0N6s3LvGfUSxbWFGz5fX6mnvlqOUrgqFe6qYE8HyeK1W
oYjs3lRgHPr7NNv4xjIUV0PxYuJeiwoT5g3KNfjl2V34LeQso+lhZSNdQEWk9BM7l3Haa31UW/Lx
5+WxnZ1D2JQTkwyWxTwHt6pibNOYOIgYbDpfXWdF+BIq+mPedFde1/lp/G+sOUShH1LQq1MpeNQ3
kvkhDgcMNuzBfFdzONfLKjogAXLly3PmkkFhibuuDjWLTGJOIEZx0SsxVqZIZ+294iHr9mX/2/Pf
h8wONfRNVpgOss8Rh17KOZbjshNEP+r44/I0Tx+449Pu+Cnk4xXUSSVyDz5P0UaTMfgTSEQHEKjt
+k6Xv/mBHVRX7q2nC4iIoJKN6YZP+X32hUrRPe8Dv0ayGbH1vBDwPzCxPbkW5kzxlThkarRHddp0
806T27VoL40ZX8JOf1Kt9v+Sdp49chtLF/5FBJjDV3LiJm3SaqUvhCJzzvz178M1cO8Mh+8Q8oVs
A4YB13Szurq66tQ5T0Hrw4riWze6QvcTHkUENxQeeVD8H4OsKLYmNA0rrnWZX0yYVZA8TIgDepg3
PkczsvJgqsQGVXVPLuvvYQJgQGiAns+CN9NWNV/++6gwrZxpEABf6ILOL0pXAsMrRRhNCoSzfkc+
OtMlX1L4KiTf2+FhkO+Gca1vs/hZT4yq544kJm7slSqO1GvjIZT099qH371UVzKPhbPK4qYWBLV1
cO3zqofImBWyohX1ANr5ySQP8QpdJOLGZgV57jap7uEIXDmrl7FoskkbcdpS7t6Zy8L31FgNSjtO
lfwuIeQLswcX3sZU+H39MC7u4Ymd2WF0IUNFHIu1ldVNFv+ok63UraQ302e4OO8nJmaZWxlaDRgm
llKXT6OIDBn8nNcXsbZZM0cwZaQ//ZRFROgfcVMco8B8MuJbU4bz7bqpxeB1sphpP09StSQ3Q1os
LCY1PwnGLwFuZaQFFJ4urnTXSa5d1fKKyaXVcaJMi7IePBPzmSQL4Yu+M6kwy7W68ZNPQ/CAmvZO
6f/6mU1O9187xqzG2/kTtQuTIg4qMLcQQG1rBirG2Ntc38Eljzs1M/fsPm7VBgkgpxEAzXTm1kca
I0+qldVcjD/RYZgiEUMUdNwYD5/ZAf8HiY1J1TUPupEmSueqO7luApSa4OdN7iMZwp3cLAQ4lALI
vMoh/WZ2SXsro0ke2F0JOOzvVw4WhRkosCJ0gGe+k6NkY0HWk9EDBPdVJkjVekXnbptc+v33lk7X
Lp97qaGUKs8E1o7g2EvmSr8qQ90Y2cqzeuksnFqZHWwJguZ8cPmSRvcFZXOIuuF8KJ5AO/jwoJnR
O237f7Euk4ITlZApeZpZ9BBUQxGJEvc0WLkLEUm5yYB90duMtZWPtRS1QC5PEBguUpLd8y2sq7j2
sslU0yh30MU/BqnuXF/N4sVCN2zyU8sEiz1bDhw6YT2K9DkQ9ITs11GGgyzCorZT6q1kPcrApOvm
03WjS9GE7TMp7OCG0Cecr0sQLHHIe4rbkyqAIdVOPA7HRFW3elqvfK3LIiFIe8r0MF7Rxgd6f24K
TYuiHAM5paOY2KOwGVvPlvSvpXyPKl5afv4XCzuxNqsSGkkH9Tus2o5P2dhM94oI3VBWoTy3soOL
kYUbmUwa8DzxZToXJ3eAMJYxuj9YGjRxY2rwrVjJJgAAXFdoOxpoKgxfrA76zKK/d2MDQbJhxXOW
PiI/gDIyKKrJe85/QZJkkDd0XHg+r2w3+dlA1Q8t6FG0gpVvuHTGJ7wZEH6LyvWcXkZIJ+4JAUi4
FSrtuziMXWmji2ZUtojm5/dMH6pPWuB1tYPAhMZzkBzxX/yEib6HuVzc6KKVG4y6mYJDmyAtn5CG
2k3Y3fpRM9H9OKKwYBuIqlx3pSXHpf1jQufETUVX5nx7Td3rJfgoM6c3v48SWexjAgC/knwbEUev
8le+5kLGzrfkXTL5FO272deUC8jUBlRsJuL04rYYVPMmFEof+SQ1DLYKVZB9XZuVu7LKaRWneRmN
fpExQ5lV8hw05u00oZOLAi1opnEUYV8U5k8lklGntL5e38y5r36YAb0jiyogHunjNJ2clqGFXJqD
Amta3d75fQJrKSoW2bClxbcCi1uaJpwYC6ayxISBUWeJoKUKVZG3PiQj0CKYTzlMcUdPVoTuS1zn
RbhTQnj3tjCqmV9Upe5DSCJHpu6EIAJ4DnNTcETcT3+LQcAa926Zd79jEfGFO+RqpmgJoWOyyRKN
0lo9QkK3g4Ex/jO4yGFt9DHQ3mSqVo9iGVs3jL70NXPVXfua+yXSR72ip/DU5CnVJiXsITMGjvjZ
0Efvdar0fYUArz6Gad/8do2wPqJz04crmdfCl5jC1n8GGqf/fvIl6rHtOgSRTHTMhHiTRL3Hs0Ls
GCgZrG2Vif3r9S+/MOgEW98E0aFuCxB+PryWpRDQN2Zq0TjVbV3Jb/IIjHTcod4KMyty16VYvFaw
6Klhz8wJGitZepshMWig3iHJ4cpDZH7OuM6nBibNY/CnlqHNMkKrHMM4MATXllL1WVU91NZKdBWr
Qzj67+YoHa8vf55BYA6mLHAZ+L0Go+gsinhRrgtyIwqQKwbuXVgZf7qxHldc/uIQM0kzDVyTU071
uPmair5OG9rUkPHV1kZqbsYaPzWHv/WcmZVZPjkg9T22IVbaAc0UeJUaNFYH2L+MNTjePPQSLSbC
Ni4bFkWOMvNRLY8HpQggvE6KH4EFZZT5qwgqZywewvBoyCuTEZceMbFzmIyDTNUartLzE8GsvAIX
dE28MMeDorhPcJLaUtPeq8xrKKO7EugXDiA7woEg76LCaE4ec3IARV2joF1ZJhwdku03Ww2skDGi
R5yuGLrwCnOi6GICH3aJiSRqlnnBAedmHnTcttp+DzIReQ9jJyjZyvm+3D2skP6giEi0hVblfDlR
zjuJuprn5JX0swY+6aJq2AsG6kslibNUmfvrJ2ppWQpXCdQZZM3AKM8Njk06tIKEaJ+RvaY5moWB
4Uj62uZdlEknqjdDJb0DlKHCcTI7uLHcl0kmxL5z+870gu3ZkD/8/OJsnaeVuuRFXxJL8IapoNJR
aVCwdb4gn6lJF15RnwmVcgMNxX5/V21iG4aI6xv3sTPnd/25oZnndYrcoziFbjYqER8cfiU8fqGj
bxX+TWGR098Jf27f3zf31vb+084+9tPC948/VftOtYuNts232van/Yh+mc08ov1lv31xDk+/ft2u
VVkuD8r5z519AZSnIq/02BfBaEMnaNJgn0o5GsRe9GxonbSCvrl05MmcCRyRsi38DrOnQy9pskTt
xnfCpr+BCn0nFsYNaID7vq93XJkrn/3SjRmxBLtPNQdgDVDI86+eN3KKSB6FbpQWbqpCREBt6G5z
WXi8/tXnufs/3vXfZc2iQOwKRm0WLMs3XVtx35FQ2EYV933THxRYsHQtlmzd11Yui4vl8TKfOKNo
1BLK6VieL2/01Eox+yJyvGx0dCgjtIgpMGXlFbZkxeKzARHiLgdWc25Fdn0LshrofLvqTivRHh0j
9K9Wzs10LM6ODfeexIQFYFXCAcxK50aKqMhFJe0iGLaag4bSAaHwcP0jLayDJej4AtFap+BwbqIZ
vUaJS9Yxuu0bCnK7CpooMTb+3ue43piPBlUMJ+68nqy6WlVI080d0qfTUBdrxLsofr++lslxz7Zr
InA7MTJLExCmG4aY4W6nD9gzGtPHpoqBOnF/88SI3T9+X75cN3nRc8HJIfklwyKMApCZT7K3Qd4h
gNAHjiYHT34n71RE2/pS/ClJ3lMftSiUiF/oi0N0VGwCdQ1EdhE6wK2gXG/hJaCGLtywQeA2bie5
0U5sC7vujJ8WcyzfC6WRHAmKw01cpMPn62tecBkOFiS6DDVBBjefV+k7RKdCPQucMpSLra5l0YEs
Nth6HYf6uqmLOUfaoFMahjWK3rC7Tb/lJGXxQ+a32kqiNent0O62oWvZpuObG6NsH701cY8Eyx2K
c7d+PG21k8Cz3+/1JNzlkXgUmofS/W0YR61bSa7lhaMJ6afK4B1oOn7k7NyM5dBFhaoHQHqY+oIf
JySLstIKnRFP0invDlmgOzoa5CUPeL2pD1kma49+LAtbMSgb95AEpufflNwMNKsUV9kgkyA/dWgy
tJsSTBeKtEIv3JpikKqOFCG44qBBzDuwSArlHTwC6gFwW4bNSvy8dGkC6MTGQVGAhxEH6nzPS81F
RDGNaPogfoNEp+TTJT6KNEzHnSGje9/ktlVu/XTF8IJfYVfl/S0a0MvOpwDGwk9dIUclAl1AR4m0
TVYJG8+Qtis+NUXNszDB+rgboNUhF4YFYOZTetVbWlKmvCZiPlbu8/5+sszPtNIi9Ayh3KiDbeHe
KN6+zd7QMuzNl1J0/PZ7nt+qk/rAtm8+UUi4/rMWHIq8fEL/cagY4JvtOkJ+hRYgs4MO3B7RKFsi
bF23cFHv5TCdmZh+wslhavoCjBpjHU7+ExI7+sA0hdub4b370X9dI45ZCEwaLDj4D7OciGzOYrE1
Fn0RZ9gyEYwekLepPtWyisAnowgrr6glv+H9CSZkenPAkny+LI/pWA/dRq4wLz8gyrbxIu1oZuLK
9l0khdPEHIHImtyTO3mWV8Su3PaCWIYOc73KHQWrcZN3bu6IYysepMDTV27mRXtQM3GhMXd7cflH
5dhKlY44geXHN3L91Qtk1Nd3ovr32wd/McyGDCpxkczzJcgCWtkLKtY1FA/cWD9rt9h7gvl63fuW
lkMiQ57LvApjo7OvRBwcfVLn0InDb5L2q213uvIr91dSgGUrgOXghNSnLsO5LwSBKDEeKIeOJx7r
8deI83n9Y9D+ur6YBZeDukadGCt445LUnJsJ45rk1rUCJyST3guBltwkhRoEtgVmb6XEIi/Eqw9O
V7J1nu4Xd2AIrV1mBFHoyH4nvqHubrV26ofSUz8wMWoPKLnItghc9EeVdoDVkfL4HCP6eJegtmM8
ln2cJ8RuXsp7GEJFpD3Eyv1VIVn+Ovpe/NMwKu2AlDliM0NrGl/VMJO+//1+wY4jkqrQi2Gu4Xy/
ioZ7qhPdwAEPt3F9JKeYrbVca3PdzNLXPzUzy5dT2Y1oqGEGUQoktw9eDaY2ihBLffsXhiaEMtP9
xOv5bKilFnI+quT7TWJAtZz2qvpFMqPimaKN8nPUfRKD6xYXPA46UGopxB8myefvDYCP0mDmAfP3
enQU0MNR0eR162B/3cxFCj1V2rh+iNwsj4h3/qGUUnZB8PsxWPcS4THUVGkl3wxWgzIrFb68qDdN
8+ff2ATdimIBz9H5vV+7pTt4BjatANK9Frc95tJTmfFoTB6jtQrfwsX00elQgNWC453T6kGpp+mZ
EsWOYuq3Ikli0hobvfkT1NCEG2sQ6KXPRmWF7HyqxtLBOt/PwqWlj8RQ7HijeSNq1H5NbStXKyFi
we8hnZKo4FBc5nU1C0eNhpCqJSDtKWb6fioihElud4im2mm3clssbB/+zrOX3g0xdu4gFX04Akof
OtTW0a4UW+GeIPKjT6sabTwR6C1cWCv1kYXl/cOYTSmfSv5HwnqStwiuKRSUUZHp6ZS7sOicRBQQ
0kgObve3c9LkEGemZmmLOdIbKSIKv1H2lkNDhTITelTvvroSqRb84szO7JwFolhrSoodRI5o6VVb
ow4Ozaj+fdTgkcIfCtrMKM9zFjEQS7VEoYudMzeNVD64CJWnQbm7foJVvHiWUau0Z8F10tOb2M3P
vVxpyywMm0m3NfzS6SUP/JfrBha2iw4+SBr6R/CfzjuiuZtHvp41kaP7HSc12WUKGHH3r+vx08uH
2EcZRKElOD+tolaZvqB71Fvi7I6GGpyK4k2T/oKhFEnJtS76fNe4Pij805YCNUDRb/6ErApF8KSp
QlGmJqOmsi37K9fuogUUU5ia03mmzudOEjdjwM2vYyeFIMdS3U1R/mU4+FjDiYXp6J4cTWDyZowq
N4+k7Kl1b8fuRQxvrahCPXLFBeY304clukwU3qdhiHmXunHbEpk1YA3h+FD0B7E4uP42ZRLRdPxo
e93dPrb+1KFnxua0tEXpemUqYawsNol83w37BLBstJW8g66iBM3T9BN6pJl7MJW14vNH/fWa8dmd
4QoJjUQV48VD9ST2tvDZcoZtt/8V32ube0aFaFDuv0gHG4YNW6ISnjsgMx3T6baJ7a/9nPnRm2/F
LCJCEeABQOXXiMVdOTiydfDWJi6n1P/agmfBMPct15VGTDTxpukRkLe1cQOkI7R2gulU2crD6qLt
8c+SDMYGTTQ6yN/OnRaJ6UhFM5ZLOd9V9aM4viMSblafBqS669+mcozVbznDkRRBnEz8Xmkr2MCl
Y0kORymU1z5J3bTlJ4fGLXQvbBTWm1iVw5CK3coradyiBcZXoVTWQT7MLYhjjlyGPsbAvdEKSu7F
QF2pzF2ikIheYBzAmhO+Jtjm+SJKplUQVhWRZEQ9VL9NhmfJOgjRvVdvM3SKrQiCEUcv+Gul8r4U
CE4Mz89mZLRe3cKg5zA2YCE+r/wI0dsdPlf5jVRvrgeCJec/tTXzlBAZcYlCYuzkXrZDhDcf5RvB
D1asrK1ofsQKdKiHECu+otj6+ClOb4WATf0h1geYfVesra1pdtoaBE+qSJzWpDiK8a2qb+A1ur5t
8yRxOmB00OkvAVQBFDDzDeS9y7KoG6TmXbXY6GXwO4AV3UYKcdj6vUeVTa/WOESWNpEUhLn8qXN/
QSPco7kZWFXLoYpe6hpNakcQP2cSI+KoXb5eX9/CFtKQYZyDxoxO3Wm2PrVppUzQsVVbao9Sof6a
1/q4iw3QvdctTf+nWWhEYUkFjcDDDDT+zJInurXWmYSqIA1sCei1lz2qMfp+EmiWCeiq7Ewt9Vas
SgubeWp2rt2AHjUZi0b8CHrrME3FMZS28YI3ZUBzVtBvqvy19Pzb1q82pBWOy1PSGcAuhGNq18Zn
NURzu6HEKP28vh0frdDL/cCtIIomoZnXbksP7S8jxXmZnIdgqPGiG1/LRJmRoiB8kyFj+GpasXUM
oEY9hCqjPWVTd+jGyTV15XqE9miM/C9pmYuPqYvSxEbsai1m3DFqqE52fX2T9gqovmzQlQ0yoPmv
Bp3KbiMLSf8rTkP1t++Wwa5Se/DZXaDLP4y21JD5HKLbwTMBppA6jM+NVUo4hRh9dasiOCLYXe2K
hLH1O/SnrPtIbLOVbuvSJ4OODQoWinkwVMwuFa8R1TZBNN4xBiHYC/oob/XCOuZ5WR4VJUs2g0kb
dsjU9u9vM9rJBnVriqKMqMxqO73pG+E4elBR5q9uKtjBaka0cNzOLMyicAeocwgThu+EIrcDlLKb
G3cNG7MQsqh/ogEwUSgC159tXzIAkbC6kFVId2K/adqvrbFTUBDu3q678AUqjeCIJeIitzNguHnt
qFFCwxtcZMAap/8JRm+T2MYuKmxbfgmOo5M/9c7qZJh6GUbObE7Oc5JxmKlctzqoO6ffIX57223N
zbjP7uKH4ghL4E47rmWNC3HrzOAsbsVaXepGi0Fx7z0nn4O76NhvqZU/X9/MBac/NfPRPjxZl5YH
vt6VmGl3xq4J7WqnsZz26/9mZeZ/YeoPEmpU7N5PmgtP7h0zrsJGOV63srJl8iwLMD3ZreMOK+Gd
u4cI8Eu1abfBzlgpplx0gWb+NycuayQVLuIeO+qTtGsPiMVviQvvqFo8XV/Q4rH9r6N/tFBPPs7I
CDM1Kwzp4mF0N155dOXP101c9CpZDCU8ctAJvgR5zczPGqTCxXpiC5Xir7lwQ+zdZO120J9dY2da
+0j+Y4i7bE1ycV6Q+scqyiXEC4S85jVEzW9cXYljqFuslhnrGgnwQ8ElkK2gJv6f5SE8TosfqM58
iEiKm7gCLgw7tt5sM6WwXfNLJr53WW8brrQ1W5cSldDsqy7ZeGP0Y2V3F74gE0wTwoHHkkbl7Txs
5Cqj+Wqm4ZKMjm/zHQIeoN6d/NY9eLJt7TVG+PfSi/flut2F7T0zOzsJcVhLqp9jVqpumK8XlF9D
dh+7a2N7H5F2nkzQ74L/Y1ocEMLz5Rmi0daFr1J4hhmRDq/vt/ekB1SYGqE6iGpjerYe5f0PM1Wb
h7TvcsUW2yhHsC2qbjqkP5/jKKs8u0Yx8HMJuuOxiIXmRw4l78rtvlSRoPkIq+b05KKzNfutQZKT
+RoW4pFPzZtlJ1sFSsWNeBxvsl3GHPNrdbj+ERaujDODs4+gZRDvQI3J5lRPaFiBPt9eN7D0lU9X
NHuH1KpXm2jb8pUVZvjtTEBLMhCd8G9LrRxWRFonumi4kRVqVedfWSjaogkk8hNTL7ZNEz2k6Og0
bbnyLF3YL4XiO9Rn04wJ3+ncDLrktLiiLnEas9vA3bope+f6hi2lKIBOp+IkuFoA5OcWOl9Su0l9
0ZEHp5S2crptG9mu0tYupTVewYWPQ7WVDj56d6DIL2BNoprHrUvs9oEIpN/K/lOdbcNozasXl3Ri
ZtrUkyuCgYCiDwdyoWFvvXixLTvZs3Ebf3IfQSf+4V2DHpS8g0lkU6yE1o/rdHb4WSHlfj4Yg2hz
5LqqRBBNR6xQetFe1Bt1K2zDH+rTD+2BMbHWiY7oCDcH+MOd4Kg4wyHcd2vPrAWXOfsJsyMWaVYg
m8O0yelX3bxHw+e6wyxdH2cGZkcM+axWCywMaD8ZKa1dO7BbW90EtIv9bfNDX2lDLT0bz+zNPqcf
xH4b+niof2zuIa1LN+7duFcbe7xJbelJ2A9fGnSY35TX+uvKUtf2cnY4BCFWYlVmqeV7eERm2dy0
X0ANZ7Y0OZJTP0e7vw+QZ4udjtCJ7/pDO7a02YkrSGOIwtbr15Dga2uahZRQZNY7mdaUytFRb0Oo
LlfWsHzM/3sIpvz6ZA1F7sfFOLCGIvV2lpI7Vf9Fr+1a2l3/PIt2YBdkjI42lDaHDGqtlPttgp1E
ehq13vbM77XyYIVro2wLCQty1P+1M3NAnc4DjES8FD3hcWjvq+6L0Kx52nTTXgSOExszT4t0V676
Fhuj9xy6oMWSbYrUstcd6vFeLp8CiPys78O/uC7PljZzNwbpLCEwp2ChIn9QOQ0atVCTKmufam0L
507nZ0NtNSzPNV+0/FPp9bayJl+xZmPmdkM2uolcY6P0nkfzkCGTra4x8C5V+cGBw5pBvjRxQ8++
U2PKAVBwNqywPHZsYwUHGCxKiOUM8fMwoLn1VsYvEMBBnQA5bgz1zOa61y8+tRgWodQ/MbJAO3x+
vLKqSKo2w+2bYqcYT22ySyVv1xeOm1i2aHW22N/F2cpZWy4wgLQBkfwBcJh9wVrz9XIISKzKTb9x
j/kPWK+oL1hObHufIKC5F597gbmLlcVOi5mfC8iV/2N29lFDQQnZBZPn3t7gXdnvPNsub3uneS9e
itu1Z+xSRDm1NsvqQMGMQykZVCiTQ64yLOmYFbDZ7fVFTb/5yprmuKXSSuDmm6xo5Xuag7m5N9vc
jiriJHPP79eNLaYkJ2uazxdJQtGPhYw1KE73TPryycJPxgMpUGgnTDfZ8rtHvch/flFuSnB0G4SK
2nAtaVhb8ywryXq40ZhuiJ3x07fAju7HQ+X4L9b2t3xk2Nsu93lhN7e3/UpcXYoJnFYE25iOhMNo
5rVjLkWZKZIKxuWmhPVy4mcTnq/v8NIratK9+4+RmY92IyCtcmBt9a7daIfmgZri9+Su27h2u+8O
zVqGt5iBnRqcuWlTIpNQSRiU91K8c/f9q/eUQUzB3JiNBuHKC2FxD9HalUjd1ak1dx5vOqq7VjHl
e0FK8nxXh4du7ZmzbOI/1d45jDPryrALekKamoQ2mK0+8uyqXVnHQuIzkYn/p+wxc8E2ikQI4Sl7
ZEFvp+aDtJb9L0QPyq/k/vyTV+z8NR0bbVWDXKCuQhCOhD99/yz493+N8vmoE52Yma2j9hWYtizM
KN6dF961/kFzV6L94ladmJhdMaMsmIUXoWXTy/TMkafIvdfrh2bhi5/t1fQLTnJEofRK6hEsgr6L
nVl/fIgYtfzbdSNLJxMyC17ovNEnpZzpV5xYGSszEnIZK6GnotdMLcCP7VSx0/SB0gz2em0zVts8
+9w3n901UOB0DGdx/sz65C8n1iNBaUNBxOGSNtxDWvnCNM3tYKS2p+jbsoo308R8alb766ueYto1
s7OYF8Shx+ubRY/Kc+Xexdp9L31Vym/KGqX45TekcPAxU4oWOyMrszCUVF2hVyJjFUzj+nbUFA8J
Gqex6K/AgS73cUJUINnH3D1Fg4s8v26KOh30yEnSylab+7x/6YrB6ZSjWO9b4xHiles7uLSwSdKd
fjPALQCJ5x+uzxM9znMmw+PYEaTPkf8sVF//JxNzvIHW6KnlZpjItWZfqu9KoyOcsrluZCFbBSA6
CSCiA8R0wbyk7EowGPloYDujZCd/TFQQ/1h2flspdl3axjfhXn9B+/tw3epl8Dg3OnP7QcgNJoow
WhjdVg+rTbcWyRdyGkygjYpLoCROufz8AxV17flQj2Nim76iJ+sku3CfHq27+Ah3WeakByV9M/a5
89TZ1l24t+604/VFXsb6818wC8KJKuipGPALjBaq3qMmb1ul5c56+2szoBOnAiNUfVMwOV8oxwtR
rCZggc1nzbpV+p0hvjKFd93KR7XyPGQAgsRDGAkBqQoO7tyMCDFHkcQJGamdPEdvUmt721ByKOvY
wU2wdxnfVuDVuG+33i55sVazw4UDd2Z/duCKeJQri96HA9fDTtrEO/Wr9DDsZDv+bN7/Mvbff60s
eLrArix43uJrxLFMQhOD7jdNsjvRid7aW8m2ttp90++kP0j+2SsmL8MyDQ8AsxOV5FT7nN2poTgI
pdbjMeVGeAkfi4f2JQQjfqfnlM/GvfVNcqJN4TqKttrQXHBWHqyIddDKnyq9s2tQEwZdilwPL4rd
2B4L9zkWm4duFKqjJLprzLZLCz21Njv/kaGFo6AIEZDgIoIc5nufxq+y99Uc5cNQ/7m+rQueM6lZ
TEJnkL9eaKyFYe67RcGHtDLP6cXv/dDYev5y3chCRIMgk0iji4zSa/MaeS/1dWZYII96hg00hFZr
42nSXFvxyiUzkPBwpxq0Fi5GcrTATBBC73hiU+gHW5ebf5/Kw/lG12+aYWfcY44SCKxAgK8VoMuI
kJZsvFnJJIm+ub5bS5+EuWFGmCZboJnOg4lqxIwvmzTaBPOprXZxs9GUFRNTPJgdX6ZkmQBUJlrj
iwbt4FuJVLQAhA13F43vPsK6YXDMadNKOwbTaS6sSUn/M6B6YRN1mInSilXN+3o+nEqW7zEOoeRm
Ndqi6g5O4oruY68Y+LnhU0ljM3PVgbi82VgdXFeFZIJdofQlFDY7L0Ct2glU/IOx6o5dJ6hvkJPz
GglEyNHDXInGTauQUImJXvv7posZlG1Jru6qsmvuaDeWD4U0eM1tbgTqoz7q3DzjMO7kevBvdTkR
v8lDZt72gVkdGw5i4EhSQm6mjqoEaJLORMnIuKX/ScSs342qOfwIhEGDIcZNXnwQfF/yyGxuVSvq
dxo2nnLT02/zNJWhYuut9kaNdf29LfxiL0eDL9l909XDRvKE9CELzHYzivE08FWKzLXKcVjtZE/K
jo2Ov9llZySPXVrW4y3o0s59tARR+RT2ltk6HTyhtd2nfnaE9XR4y5vSh7i5tTw7k2oZueZI3/uB
MoJgNLOc6YZmCDt7lH3hUyyn4ntUjBDd1FUAbszQCuZvhHBj5ENX3rRqWjHpnfjpbZpH2Q2fUfFg
IIuG33IhZ7D4dVHyGjQyDO3QM4q7tKqCP1VdxDJaBmVKEcgwmBJoIGR/l9Wu/pqNXjvxdZvhD8kr
lW3pNSqCX2ms3Kl+RVW91l1h5f64LKBQgoYghkA+kd/MoUQBuaovFBlv/mR01J6yjVDvx1DcB3WO
2Au6z8JaneFiHB03NzWyAjCJyKEgMXF+ktukKHxvQlwKLxSo0rv3zDFGO7lXX1+9h/Y2cPQX7SHa
FpvmMfnhb03SMGgKlZWVL4XFSTgOrryJrW9ectVcz1DRXeLgRTvdU+ymX80/Fi5I89TE7MpSOrfP
zBoTFoIo6ITfD84P6siGLT9a6UZ5Ko7BXWlbxzWk0drSZukdvGlGVnfY9ZjwF+LB7tKVPHXNwiyz
qweJ4ciPSMn5qoKHXn66Hu0X3tgmKQV5BUOL4AjmYJma90fGdCi5YyYL34zWML6mvkcRsTBTuj7W
WMW7xEU62VYTvR3t2ncDeVNHcvKr9JQQ/4UaHTrbtli5JJaWfnqdzhKu2HP7zpsmHrrms0BKq/sr
zfklrzk1MP2Ak/e9WdZRJhfAaItOfovkdF+AvNeG/CaV/4Wl0yt19tqwkpSIEgLDrPpvkaZvwibf
lCmUc8qakMva5T3bNDFrsrwTuLyr4SCVNxVP7TVM9UJ+iAiZSj4Kipt5hVl+ELSD3BLNJkx1uks0
tCX2+osPjY/qSvvrzrlmarZvfSYm0SBQ+3bz4NB5xzQGloi4uXjv+yuv3jVTs43rJcNDqp1GRda7
m1oPNoO6ibM3VSw2qbBGsrt0GTCvhrofYm5ITs+MFV7WNhXCbU6HYnmFbojvKOoBYUFb649duOYU
S45+am7m6JUUqUMqYG5I6Pa3m0H84yKnGb9d/1oLnX7oSQGwMkBL4YWxzPMD1VoaBKE5CPhm22xR
3nr5TQ/5J1dOSa8psJW9eOhurUP+3lmbNWzpkuOT5FO2hSLtEtCjN32jxRq2fSQFwHab4ESkMdte
X+KKlfm7c0g9UQ8GblTUr2zTf9TVZ73ZXbex9LVOVjIvjiRjORbRwEq0XNP3nRKVNAil+xHuEtrK
bvjyv5mbnbFgUIu4ijGnKD9j42dKhpy7ve2HX67b+SjWzhPw03XNnD4sElMSpldY8N16Fak12uMd
RTMuzztjS0Ortc0Hcxf8WDE7Ic0vzJJ2kAaBjtLmuu4lIaR0UQp1Wm7QRHMs7bmRX6SBMm6wgRGg
HtaRDUvnewJITuoejMLP5XItX/I7L1PZ0yzNoQZRbrOmeWm6HCWD8qGlySxYK6ippfgFkRaEHcRe
uBRmZ49MGF2gTibXg4lpKyiPWtS4thmk4hE++Xfkv9d66fOzwFT02Xz55Mcn12egCiFML9ODCu2J
uMyV2M55zWxKfShXGgHzVOAfUwyyk8zi5hfJc8vjRJUwpRXC0RyMT0Cv7et+smZitppB81svdzFR
5r31PHplCAGe5z1ftzI/2/OFzL6SP9B1Gi2smJ0A+/j9qMK1+azwsLxuZ+4N/9ihsoIrkHjPS/td
acDgPuSctUJ9aVvDbi33wGtrWwzRvSJQ3L1ub+7wM3tzmYbBVHzyNV43Vl7BmFv6mZO1nmF7cvHV
dc2dF3h7P4t2/8IquuUTRSIUPHN2JGTktMoLCsohWXwDg2ke/5ZRbs7Vx0SRgFyumLtAbnys8sTe
7B6FeN+oBKpVjtfKPJIHW6gQP1NFxxteOu1TwiiNNmytcOXSuZiqnNudTuLJSVOl3BNFH7uSO+4V
f6cWT4Py2qn7mtUO2T6rBmcM0l1THfU1YqxFTzpZ8+xc8BBOGi/BNpAWPEfXgKcAo4q9e0njAa8l
K6nyYlQ5sTc7IWpvQVGRTWuV7zwpYV7U3+nd2otx8RyeWJn8+WRHxzz0mnLynMGytr1Wf+uqxsZj
Q7qMa6OVl9StU6CEC1Ccrh+4EGZLimtU6CuVi67WgDP7TWnnBRftxEoXuK8A+BpbHe7SkgxJPIra
3g+/u7rutN57uyaZveBKVJGhWIdhfZrOmr/2RDNrwthlOrcrLeU5HSVx4vnUblErKp3c4opsMib8
IlemNZImAEIbF3RmE3bbSgnMf/OxTfQ8ofOjazEvDbSyVBsASyjMBtXvxAxu4Ivw7Nj0VjqQi5/7
xM7MiRVkdSFF5AsIMkIIo+wItQxXybfgX5FzchJ4StOv0xl3PXcsr4CTJO9JckxhsGwlswo7sbKV
aLt0RiBZgcKBfFe7oJcEod9TFeRl3ADZMr38Tovdu6Y2366H16Vdg3yH0t3ERYEWyPlajLwVfHin
8YZQT191cYiPUCA0dz4Jz5uWRF+um7uAxUxhjjoV47MTm8OFb/ot8wxlQCUipn7e1kcIu7L2q87r
b7hphNgujPu421RrYIl5MfrD7EdZWJp6rHOMftalett4FNX/j7TvWpIbV7b9IkbQgO6Vtmx3V3vp
hdFSS/Te8+vPQs/doyoUoxCaq9Foa0KxlUwgkUikWQvWcDC6ivjoFxUtsVTbB6PbRRmIK0uUW8sP
jr7XrhWDkRKSYuhqoYiKjF+oQXzWYSRVtcLWBHji0ukHIZrehVaR3RSYkFbeG29CMixv3YiUaZfM
xG7T+DFUlO+jFL4qRpPeCdq8+Okgotc0BOLl7U+8DorwfTTKw9Q2xh9ZFLhMEFsB1Qi0TKM5u3ob
i/fbf/912HD59zNuuMjbiOSYYECS2E+FV11+nrJTlvuq4VRgz7wt7PrUXApjipQkKchSoephBZkj
Ip2VKaGHIgWn92DNw0roaMajHgzleAYzuyq33YAKDlANQbZkEf1VTb8ryotQTKBiPqTySz3u28ET
g6MMYszbGl71C4Cxh6IRotsSdSwK3Hd5Ygt9KLNa6VRLlr5JqUOrhfXg6uS3rtqAdm/a0VbV0TXH
lyBF25555CIgf82enz+3/vkEjGJjzh8wsKzJCFqpGdMAo9bnypUqJw1qq453HXEjkONWwn0PMJIh
wTHW7KmW7KL0Jtld8GRBpxJ5kNFtHm1qROBgLwOyi90laBF5LpDHahxFjGwRhclajbzRIDYGZq0y
eSLNZsYg/GQ0VtF+kCJ0UuHYVd9z8qttnkzjnph+MmPmFBjtgMLL8qde3xUFD4tmJTykq/9Hdcaa
41gPlgJE8SjRpA7Yn6wJYEHhDDbX+6l3FOT85uRR7XlFwZVDdCGW2fRkmjDnMELsMHv9CJhhrOMT
uqlgbOEBYHCch9K1u7zQUqHv7fPQaRxTow0hrsQTukPLtJjt0mmyOgw9goxGmz9Fg9dGvHJ0z1Vk
gaLjCoPKQjGoSI9pwGdZUDwBZ+/CLZjI+PZr4/3qBMWbAj0bl7oF8xxoaQ858zIBPCC3muCpyH6Z
6k7qT7ouWKnpLKlTzW9jkzqa5MnKJ6ZQrVHVLDkfLQEQrZVyHCe/FVNLAK3u7QP+deXe+kDmBRLk
IVFLCYuvhlh8UPIssHmSQxzOvA4Q9V/ZLKGdXXb18GGJv5fVPkUttRMLp5iAxhBjKMU89QqYkup7
AzNNjX4ntxrvZlvdr7Mok/GBgz6I89xiHcNFdgTdNtOXONrWoBQAcn5ihg7RHw2ABUfoZq7f+go1
oU9SGpzV4n0Fcx7lOpj0NMBXoN5vkeCzbiWr6HOe070Ok3AgNMqWhiZlpMVZZUVzqQppUq2sPuWy
FwFZgWRWFGOC33R6810vv4lYcLyM8e+HOpWuaH4bGyCdP3Osg0q6so6zL2EULgFhqCgtvqRFnSap
Nz3AN4q0BuXkzgwQ9DaOpNAY+F5sH1EnDZe7aX4hAqawk00PqNwkmS2534Fc3G4NN1cBthQrIHxC
3ix717UYb83Kv/3NK0EfXT2CCpSG9o8rJiYhzUbdHGcV9CPvgeyj+iQokdW0xJ+AcB0Mi90B+Rp8
UNLfMrV+3VS0rxxNIUDGYG+q0Bi0cogXFVMeI0Y9wIzt5MLwSTq0St9Wct1C/khi9iU0goAoDSQB
mxYPA7SXR16HTL/WaxznzJPE3AVyjk0LUkgKFdEJcFUuBQAzswfCS1Jf4ZExq8deA6SoDX2O4HbQ
x+cYBKV8/DbbVf3i5PGpFxJXhm8KJXsR7iTRl5VdGKMxAWHIa2a+K9Wrbiz4j+/jDNyTwmr6+8JE
n2/tlvIrQs3Z5NU5V70BzSAa6ILX0FJ86dsxmh8A0xYfrAnB3RR1jt7op5COcXST4qUyENzEBZkc
3clN83sa/GwaASwyQewv5uAAUoDjndYt/+yDGL+xRKSeQPaiWgVQgsq5siUR5IDmoY1kQFhVyOjs
W/Fh7DRLj53bBrmyFkgTo4mNZgEkTPNerkUu58IY53AURRchXyUcgyFzu6zioUrQUiDjkCBHBzgt
Jau4IuNBQwqYqHR44EkVElsI0VKTzBHATeYO7C5BK3j4/wZ+EKB1EdwqhYVyH2CMB4PHRL+qMIXm
Rw4GbprtoAtqpTWLBF4GrGbbTB+9eCncsuPBta8F4MAf+iOHCSAyJZiTKIecpGk/phCQgKb0qnSa
I0/AJSvVpyAct4aYHkxxsHMSnbRRuo8J8dQh5c3dri7+2bcwsUKfmpkqqtjkniY7VH9otqJ2LBfd
MsN7ZbRRGdnp6qHPOSeN/r1Xmy7TVYBzBWo9Y9cZQDmlmMpNk50mhbbZcaoBaydHVc8kMP5UGsgc
iwVWOTfvQv1tUrZtvknHN2U65eUOPAtEPowl58yshfcXUplDAxTpMCIG9FL1F2l5C4TAz8SdUDw0
8e+sA963J4Jy4z8cVBCng+tSBi4hm5tQO7xatRmaEg3nIiCbHNXNsjA5j1a6YFdbdiaGWdBGbKJZ
p2LoDE81+sDODApXmR5LRQNOPyercNVygrsDkOV/tGJWElG23AkVbqm0fJByT0iOoDeKw19ZZCLT
4OYFbka7LD4lgrb3kRNxrLqCf4VjnOjS92VJnkldBrertJE7muL9oJTHITM4p4Anhp7O82dSliLH
lUHHSn1su/tEe18CTjFp9aCdaUJfM2ciyliMxH7CrqWLYIljbQ+80TieEow7S8tOVIHDDRcSRb4y
4XE5hTuzbN3bVk49Amt+qFiCFQIUmZQ151KRsJ6AbipiS1o048WAFQmMo1R3oODYCxqPseErrmOk
IQagmNhIkoDVjyp9tmwhMSq1TbAztbQb5t9qJG+KblOXk60lmF4z78WlB/kxYhI9swTdF/XWN6Yn
s9/06qdJ7kTlswTJuuIQdJd1hdOWpUPGvaB/GFpjpx2Pan3N3V18MBO5lAkqnxU1pSSV23s5mZEB
Kbufiln1gHkF2AzIX+LXMEyKfTQvMSrA4r0R9Rkntlw7tvBBiBsoIxRw9pht0vtSCkiEBuoOEzZu
ZJi1IyuNeJCCEt2UamhaWTGONjGTpyjD8Jk2LuB2i1UZVz0oFySddwDWXDLoENGhBh4gtBZ+rdzZ
VqKfcmr0TlGtJftmZqKlFu9hmll6/aIZ23oCjqr+JBDh7831Yj+YdUCKDe/bEvsR1UiByFon4rHV
D9s0R9EY4OeVFXYYm7l9RqhPvGW1jIsOc9mIgSiEO29xC6TQxgJj63HhgsnA7hNiicqLgdG020LX
TY+O39FsHkW1ujwrpJyUQptwMtWxsdpdkhlwMuAecYy7TL8v5uY30fLHBn3MHMHUd12p+0cwix8Y
DpgmwSrTR/VzP36T5N+hKTqV8Vw22y4Bq9pyqvR93U9WzwPiZb0R+ofQ1wYKD/S4gViB5eutQ6WI
iqhJbaQMSbQJGwO372lJ/dLk7OmV/f4jCrjNdFYNrenM8iZZrmpDDlHBCTPdkqsCZGbX2bHsKp+8
w8L6ckbW17ecnRVZqoK6SCBrkPBeu0PnwcDDdmMvpC8R4KaUwehL+30ZdZpJkzMpAFdTVx1Vs0S3
0uNts2Cft4wAFoE0Kzpkl6M8RR7ppRg9LdqXga8pm9tSVlcKrGl0XJFS7DEXhA5urbrtAfOs6ID3
8QRMByQjJ7Bb0wScGsDnoBwQeIldHqyyWgw02cKTR2gky0Mv1WYrK13pr3sH6JKdC6J7drbtopA0
JO+ooLarDmlupkh9SwuoBdr2AU/gwG6GHiQXmvZ9EqUWlNGql2mxAvANDDbcXti1kwUOK3q8cN2j
O+XyW7JOWcpFRqJJTz1RnmwpegzFfYe67CRxKstrpnguivqXM7WLSq7ReQlRQYZxDeU0Rry0+7oE
DfP0tAqL/rJLCRTpTwftBYy99avyThk4AeSqhYCA6X9/P+PwzQJwrs2Ev78uPlF/d8ICOVxTd5WY
l13/6lo8d7ZfNoK3mkLpsAEWyxgjDBEMTw1EISXmRKq6mWLBU0OQsmaj1y26M/RopQ9B5peWh06Y
72Zj3C5tbzfjYCUKZSUWrXg0N7101wfmaSw4a0Edx60PZIy4G8oe/KD4wF54M7SHSNuhMwE9RnW3
q6uN0v9luwC7HowDyLtINaMYzBVp2qLpvsNEGjDuS2Dc86YK11wNfSX/b+WZ0A5cHyrGBqBY0jiR
8tIJd6Lo3j50q3aKjAdg5UGJjKbESzsdhUJFsQ5Ax4l8iFIJ6Dq81rmrBpd/1uuPCMZUZ60kk5xg
vXo7rW0g+AAX0QtdHZMl2n2/FZzid/zcPxm8DAdPNea+GRY9Eiq6T6j+xXfdA9DEwXJjfYoHVB0c
ya5sXpfxqgf7s5js2HdcZCay7JCYAZQwa59bMGtl71l7EPLBub1vK93U8NxnshhvGYxBl4JPFrK2
y0HZK05tm3emXbnxtv0p/pQt/TBv1MoyHhdOLylnXU3GeQam1ow1xcaO4mpTJvFBI9l/uGPPlWNc
Dloc5ikBvrZtar1fKuN9oRZWpmcc4+ftF9X07Bqoh7QhUoA1nNEpgzSzDlzEOnXI8DQmf5tjZE4B
S/8Gbk55HjSsmtwRRytfci21NIOzbitd1JdWwXiMpB1JK4JAFBPP5oGcJsf0gi1Kjt+6feBlu+Fx
tnjmsO59/z3ebBIqEKVYN1vsFcpEYpOiOHOcx2OtJVajOYXkm4p32/TXBSI1g8AISQHWZUm9Fk9q
hpG95X28q+30kD4sO8WO326LuWrV+NoxtK8ApRxUSFfzcRVe0iMhkKPHhzjfBdN9ZiTonXjTgPoj
ejH6NyRMrWEkzuCNZKw6fhDXGGjGA30NG2MW05ImVQLRUbsrerQ1YCg/SnyOgqvmfyaFMZYh0VM1
olJaDGQsT3gne/GueisqN9TsZj9v66fkBZwm5FHa3hbN049+2dnBw8zmjNQNDoNp+InuNxhUlrv/
4qbOtGOunbpA8W5RIWPKQ7sAdAm6LG5rseoIzyQwF0w4VlUsCJCAbbQCobQHlfMOuKro/2ODAIkA
fSiem1/n/WyhMFknLwWlDBft0Y8fM0f1anvZaK8eCgb2cNTeYy/CpWZ47eFlttoN5wPWL2/0Tv/v
AxgbmTC2XmohPmByjoFj/oz3zfZXetC2yZ0CiFWtsHa8KZrV830mkjGOEk2yWpmDjbswkucEMZCV
52BMX6JSs3VlBmV1Nj9mYfsBXGWOXXLVZYxGkeOp02rI1o7RYOmhY94nnubHp+JNPeqRLfiUZpdC
rHNsadXboNiGEXQZ6XyV5Qep07FNDLrTsRqeckMBBOHz2NZunFSHodXtYhJPzfRj6cAxl7gEDY+3
jZluJBtEA9Aab1qJIJXDkvSNQj7KjQTN80RKE0/UZ3FDBgE5TZB1HQyjlF5uC1zzAbArsPNRQhQw
tV36APCtS100QGEzsqS0srTifkE71G0hay7uXAhjvpA9xRWBkEj5GaO5q9xkiIn65rntX29LWl2/
M3UYq52meg6HHi/paursfizgrxdMc7e2wsOt5S0cY6MIh7SsySGpMz/CcKOnT7ru3lbmKrNH/Q4g
jlGTFTGpBOToy80hGmYnBHrsa91ZDsTVHLCQ/FJ343O/j/zbwtbOuw4WZlCHoq3qio9eluu6jccF
5z340GMv1TH1WFVWLVqj+aEIXh3+uC1wfQH/FUiYGo+R9VWytBAol4qL/KU1aZ2XAz/stpj1I/1H
MZYzLJ1iWZoBDm/Lu2awn9vEkT8bpEj9ESlgS0ocHqfiug3+UUy+3LWqVKVGLqgNYpa+cAlxiuxJ
4UGUrl17Z/tFmOBcLYCq0GNSCJNd7zn6LyvOw43399M/P7vz9FhbUGgUkZyZ7KQLLf7E66rF0bDu
q+sAPQiXEoakzWgJCIGP/tR0s51Mrw06f01ihcI2nt/EgdcWueqHKN4CknrgtmJzWyEQZgJSQqIp
HeJgsIvEK8LRGnsJGQTvtt2trt+ZLMYKZCMTVLXB+lHgFEE75QrH1V31MXx5hzMJjAUUxlyQZoKE
WkPT6q5qnsrwsSF2Uft9csiRRUh2AK0dBcmSNLvgNjJTDa7uKlSYKO6ZjJoTc3WAwlWT+gAWiAkE
DP/k+oBGtVhoTKtJjBLdOEFhD8pUP2a6lt+DnDMtbWTYIwwlLaTBTFbIO3mrLgUQpCiEoBp/BUWo
y+FYt4GCLwLuk+y2464zOT6ZJ4Ie/rNjoeTmXMcZQSiY6HdpDwjiIrkrMDt923pWz8aZJsw9hstl
MOIFYsCL1u1VHc1vgSDtkinGNK6a7MC+AKyHJNyTuuTlu1bDL/CG/LuMzNU2NpU0yzqW8TEDefS9
7AbfWqsrNuJeOeVO48qPFHKV94JdPZxnUpnLbuz6WB0qqjJwOkTZa9KnMvLLyF5qTji9ejT/SGIH
xJOkHYywgaQIXfgNEa1O5hx+jpWwjkZXSl1vSkjICN5UlSdPjUVyTgaUpwbjYcxJqrTIxDYNEhr1
IOPptg2ubghwmBAcgkMGIBKXpl4kSTGpNep4MdLzomrnk5NkRyF4SKbNbUlXVWvqyvA8wzsb/gxc
KYwqaSYlmaKVuDKN2QqU/TD8zujYwJ3QoPWvdEdlo+ff5uBYqQ8AWeJIX1MUhQ4RfJhIoICGnlGU
pNESl6hDjCfTI375uGxKgKptO/cwOzq6Q6xDY/etLXBa79blEpARAnUHwTf98zNfEqBdPhFAkAwo
6PajiQRPm75HlXk/qc9KyuvfWPMomPQwEEaCcQm57EthZYn8hrEgJyVjFnZa9nnyY1IMSwVfVbEf
Uqftft1e1lWBADIHAxKAS8HTcSlQqBCiVEiP2qlR7uf2W2sgDTrdRcZoL0H4vOQAmEoTzl7Sv5S9
kxA00JktcOoA0fRSqI58jV5IA4QSwxLTrTzs5+G/5IVw36EmgPeSBiSLSyGmMfUoKiHX1pDWa4MF
TfOi34Y83oDV8B8zqSbUQf8noOQu5TSjnGqpTh+DcXacm/tlRuK+ae8wae3mHfGiOnoA0uTjnLS2
mX3c3r4174J5QoxHmWDVQznwUrhmLgVYCOnbA102wnQYys/bAla3CuNHKEODWAIVtEsBaOatJ1FB
+ICJHPBR4ewLaHcPDY5F0Av5yiLOxDAXtqhkRqnTOAx0UlYvy1afg2/uiUTObXV4cpjDLJXSOPQG
nhkBYtgYoMNp/lFLna3ycGlWz9WZQsztHBuB1lcL1q2U0dNifpDKItlTR+573SnKeNManMbD1Y0C
O5IG5wHERBanoBp7U2xquEdQds7Lu6gBtIjTLbomwsR0JTjnMFMqs/clCAiQqRaQAzWTxNYntwAR
Tccrga1Z9LkQ5pIB70BCogJCcs14ELX+ZBaPt22AJ4FxDIpS5OWcw/vU6mBJ072acbZi9TGLrg1w
hRKkIdH5whwacY7DscGpbI03sbwz+/0sPwn9SxKdpMKOjsIRWfCF94Zes+0zqexLLUKsnak0fzOm
C9hFXjvMelQGMJf82+tHTZc9q+dyGIcXNuI4FSLkSLVW+LE8n4bprVlMoDD+zDGwaenpj9sSVw3v
z3qqrE0UqVKmJQ5Tqoq21gLvvX9Ma/e2EN7yMWaRy60cNgHUGkwfHLbWomFM2lIizoudJ4Za51k4
UertqEw6xFR4cWbTbOXaj27cVCKvNZg+zG9tE13UM0FkljJdRjuCrSKnH84fS4ANOwbVYzP1VphW
tqzKiOT+QzMHyk0YP0I1CH2EbMbDTMKklel1mA3iriv0u6F/vr1Ra8eLVrRMdCsCpQc4rpeaBSp4
hM2AitDru5qmBTDHGEe9lSeKNY+YkhV3ulI4o/o+he9yFXIC4ZUtRC8JWjeBzUUw18ysLGbcpTyW
cYmIqJaPpZ+Q90j8rsacc7Zi9Rdi6GecbSAqHCFJdYjpun4TdKCII/XvrhCd28u5cpwvxDCr2fVL
PcQdxGRtciQgedXBSnKadPPYlIFlIj1wW97Kzajj3Y/+CUBJXXdRJBKI7RMMddqJVr8SuXSj/ncU
hL4wPtH5+Kn8Yca8TvVVHc9k0j8/W0o0ro5q3cnUZTnN8tSkJ8tSqthKOk6z1Oqe4Z2AuBZEC1cs
hVXb5GFMBYErxO+NyBuWfFcvIedNwhPD6KNMTaiPIsRMnV9rD0CXzf4exQ+hFoYLKAgcDjPbydQF
dVWkBqgGhtG0itg1G2StrAEhE+bIb1vEqjaY48fUIsabUOK43B3gc+BIUVFTNDq9tlGm3s54+ZJ1
IYA2RfwCzVj8+DZXMNOvGsg6jYWdyS8zCD7VkHPzr9mZJAINB6E4lo2deg7DSRbCHsOCJJH8IEJl
IyGAMiezYw6m3WUTEqcxj2VgTTOKOWrQ4TAMYNI/PzPuZNTwMK5C4PV1hmibTV47ujlgMEtZOOqt
Ob5zSYxHWhYdQMsp1ItMYlc9ORSDuQ2LyMFNs/17mwCYxxeEiQJAD0apIROCzEyRBK4mzR3FxG8S
zZ0bk3MbU+fGXJIAl8E7FLZOkYWYSx9gNmZWglgWc9WFFc8+gOYiY6/p1px4txVaW7tzScy9Hwn5
EswTFCoEb5lkS9N/DKY78KAT6F9zSyFm3SRBFkOoCzHqcq+Ppl+WFceBr2tC+dpxlFRgl17aG8gR
dJREkdHKi9/zhOTtm967I49WYs2qUVf7Vwrj4uIUlOARzRL31UPZb+fInSaO35HXNMH4BTI7OtBF
AP9zqUk1DXkqJio0seBxPqtD/DjvngU7208b1Wv28VbfoZ57L1vFHbqX9yfRQbz2dtsw1hQ9/wj6
kWfHN85zsx/pR3Tz3aS+Cn1sizwQO54MZsuaaWxw40KGQTwSvo8AO8Pgw2091nwfCvKmLgMomxD2
xE6ZnE7oVEYiMll+VHl0GJR8nyqJl4GTQK0Ny5CiliNzLZZQgA5Ds3OgvmQjMbUEW1YXQq94qBxJ
vEtwbdR5iemn0NYqt5dREONYP10q9oCdi2S2awCYe1iJ8Bh1rt+hI86Wx/znUElubhreoOeb26vK
05DZOQIEASXQsKoADCjtjkwfQQWyimxo38tB/CaaYekGsXmXox+Zs7hrpSuMIGBISUTlCNCHTOkv
GaKkrmasLlrIPCWOt5Im29IAXmS92+CyQTYycSiHxjAoHvpHXSP8EIXwIYs4l8H1OVVUApJHVcS0
ObAr6SKdHZExi/IqnpBkznrTGsg2rr4nxrume7fXet2C/1gT43IEsU+nrIK+iy5NvlghX6ga4uDk
uvAxlcE3sZSOkcqrqFwrhyoNiO5p6xoGGVmSiHDJ5bkS6BU07vFaU6bUwuRZE/y+rdxanhJyNB0Q
EYqMzATj7MiEES+thHa5rB3FVLPnTHOAg+rXQrLP02+dkW/VKcTkzLwJ1f7nbfGrx4bmD5G41pCf
Yi5abRiGBlgCeDOVP7s0x0mJgZA/IJL4yIW/xSREyIqGjD/CmLsWfxQHbasjFyYHj5X2mi7p1mwB
eC38l8fMuSRmUdWy7hKtgVozaGMRZ+z1Qkc4rm/6qbxPOtFpos4yFu4syqrRnGlI//zsRBT4I8MY
ITdKqo2cNXYCsH61xvSJmR2nebbRn/4QDoUtJ+Im6LunvNLu9XjEJGiX+XXaW9LAI3lb3eI/7oKt
NFOg5QbgSTg+KBhkkQdwGo04Aap384/bxrR6UM8kMdqPemOWUgTtyfSdKIBU2WQofqFJJADwgTZw
THf18jyTxrjgchaJBGw5XDIKhgNnYKvIlgR8y9s68aQwzicaUxVg89SSAK0wukRtACvOo85YvU3O
VGEcKfDM+kiiHn3pu3fwjBwikK0NwWvQRC7RYjeOPgoMx/x/acbSrna1oAVTDqGBKDsEkBxGG/uV
0HEu5rXIF1xBeAUpwEoAuvHlkdCztlLNFA+8UFe9MdE2yZL5/0WTPyLkSxEY7AE1pwC/0g7hLtEj
dPNHr8GycMSsHu4zTRhfWSodKDhmaELmcNu01VEaHqXCQI8PD+RmraSLblkCrjNMGqKpjFk0YnYt
QIJMBJ9hbwF6bFEfs9ZSlVedgEXV64N7QNMWZLD63gV87O3l5Epn1jNCWN6SBorKSKSV5KRFu8gA
kv9ebtys/6HhS4DwCrxxGS2Co3tb+qoTOVOdWeVWH+u+oQmBMm7wurQXzQ/j3gnzl8K0iMCxzrUB
1YuVZu6kMIyqKMeT1o6WO3VwK/T8q4O/xA3CN8BWP2ayMyWc3oNVQ6K90PRAKGAFu7RX8BSMoCSB
zCqItkUD4g8UrAtD8HuoeHs1V50/Jt7APw+KHEyQX4oaZjUHFgVSA0D/Rkui5Ao9AahHay/kHbHl
XweEFNuAGiwgp8D7zUibS4C3CQQg2XiKgE4pzT672gRqXghkLcAnvdzWbTXhjPATE4RgPJNFNhcW
lqYBuCOIQ+Mj8du0OnRtXTpqF07bIZk1v9eUn11ct0BO7EtHmYzQqoLlKdcqleMbrtcZobAGOiIE
Uag1s850LBulR0dhZhNjdOUp22omEBJbAgzOb+FEOFZ7fSldSmMO6DIAZS5pIK1bJKeWZTfTH+rp
r5OZVIipoPmA5oPZDhY5SqdQN2OMrubjz3HSpgdDH17KpCs5yZ4VbWAsqNQDIg2AzWz9UiXAhEUY
DGh14XsLPq0+drmYGNc3LKhIEMfT8oeOEUG6f2eBmdRPI2B76DHXfmTBdskckK0A/sKZ0n1Zvk2v
t01zTSX0/YCYFRkXZByZC13sRKThQgD9prMrGBvVeFr+vktKoa1F/xPB9mFV8ghcqgoimvqYhd9q
zRUKzkXAaoF86QUcBhv7yH0LoFNAFGgqpQj+RhucB17Z92t7z1/urBRmrYim1UMwQ0oCKJ4hbf14
fi3nBag8jmJ8AJtAwgA5sFRBRAXsCUSxkbMUCcA5n6qkc9LYK7t32QSiKogjl/fb+3j1Ovvn4wAN
DBwx5LxYj9YWRZVXswQs0P5lmveZslUyb1AaZ1o24fzZBvuc2CmPE+uKPpYVyxzwdFkUwSwAODdS
95m6KfBH4ix2O0HAcJpjSIZdBh8gbZaixiozoEbrtlAX1hz6mfCYy6BOxFy4nQCutDP2Le/72Dv6
6/PQCAzIJvh5jHBfnqYyAaFgJGBVNDI6yYzCVDdYZv8Q6Ns2/TYvj5xd4MljDFEoQ2SDWyxHEk8b
YD1K8WhFkldV20zYxdXLYDyp6hHl2gg1VIEcZx2ABuGvZHJi6aRVNedSvbp4WP0Zk0W2PZeGhG6P
+l70y7bJQAoLaJQ+fpEFO+1fZ4JWmey5nvFFLmcx2AIyI5xlokDEqE5gHFaBvtoBe+mQBZWnBccA
ANk5YNaqTzP6mfx1DkYCu55Ma0HoN0LHAhOVDeJojLVggO9C3KoJqK3BXaAeFOm1GR7LklPPuM5w
ob38q5KMEAm9jWzphM5MDouA7tV374e3/fXw0717Ch0eXPb1/DHEoDQDAHj0UQE3jwlXQqFSetB6
xfarah09z7IOlu9btrvh1PzNq4APgkDrAihA3G460DAuz4scyFkph1VsO0fn6L0f//nheUfvaEEs
fuKH+//+xW98a2vhp/f17z9/6FpuYR0OtrM5nTa/Txtnf3o9vX6+bjjWdXVRAs8ORXQkGPET9KiM
aed1p5KgRLJ7tFvb87zY/vqx4XHrXEMyUEHI2EpgNgFZJNuMI45lnuYzFt/ZO47neFDatThx0toO
K6j7oTNWQUsCCFQuF75RzDyv4zrGmPx+/7p3jt89/+0nsd5czhZfXRS44y8kMS5KLEIpMCNI2h+P
2Dbb5amytjEYZQIvLpiwkVZnVIlLs0zaGCnI/dFx3o/eL8uHOdgbTlbgK994fh1TRc7lMIpIQ15G
aQk5x+/ffzyDR9NarOfJelzAWr7g9/gviHYPrr15+l3ZT7+fMAOCf37PFoDA6f+cbpvkF6b79RfR
JmoUhDBaSMOUs9itARJPEbUSLIUel+39Fstr2Q5039g2R/2vv+yWMHqUz4SNOlqo1JoKc2D9lvfo
42RCkrNxOKK+3gRXotBQjPFB+DgQVF6KEqc2nDuzpaKO9AR4W3rsqSOAetDPoT//y1qeyWQCixC8
uX1bd5AJTBMLv6QWwEqtV2iLRJr9y3/zHw4Ph4PL2cTrqX5qVmeCmQukrwc5ElMIhgcsLc979r/Z
dzynsnrez6WQyyXVQ0kGwQZVzzkCBRQe9MGHpb7wzOQqAvg6JWfqMDapxVkjiV+C3h1v61t3PAlf
mfcr6wBwFuJOsIWoLOi2kpSFkII+g+7UXrfeB693Hc9/+Fm5P79cpb2hZ4Bz9a4f/zOxzPFPlSDP
FwliqX2k1ntvv7+27ojrYLY7p3UHx9FxKizclMTq8E+G376BCcDuXCDKW5pV4B+sP+diMtmw52vF
zz6MuZiMIgKtDflna+k16hy/fsHBoYeH3qi4Rulhpb/gV/w44H+/DhOOE3449BjfPk8aPS83dolt
7hTqoO7Fi6/6+jbP+ef2pl9BvwU/cSPQH7wvUKhJs18go7MJKR7MXqO36dLkyxIguKQB8wQVjIji
6wdc5KP1Bu3v7B11k87J4wU1VzEN+rZUExUrZAfQWMgW6dHCHymDAblDPzdWD3Qv2ewtM1VdJeOR
yn1Rl18oyQhjvHKXFEISGQouv9K6D63QwnvUHqxf+N1iTfg1pJGbC30tqO0fHuzH7aO/dV2o//v3
6RPLsvXoQXo97Tcn5/T6uj9teut36IzWJ6/iTm9i5mNpf5aIgAB1yKtGDDUd8wIjCTR9KgaNjQbZ
snZBbgmS73oKet1f9CXehk2RcZzsypagu02V8VwFxhVKbZemYARCPS8EDZiTZBALz7feAdfVuzpj
5i0tGt4kx6o4DQMOSKxg+ojN2zQ9RgOGZUJOQPhO6sgSTFc2A0visRxcj9QBTQCmLQIqHL3bQLK/
1CscY1EJqCCpARudZvdAVosLtAKD/YNWuN/D4KUtvKl4k3Uf/Bno6s4E19D824f9+lnCfAdrhelk
ij1tRdYSEE/KQKMxPTDG4w1MqiM6KYLioMNxSm4NEB4jPpgCJ1NGnS9jWRcLwcSA7SJU2SzjA4gU
hfaIdCYKjlahxiUyI6mbh4HbyKp7W+0Vc74QytwIgVL1akIblrspcpNq16DXEGVEYdgI07f/IAoN
XyAOUtGzwibG28Ds5drEyTGBRCKEfoXMZhM78uAEAeeiozZztZQmXpcosaD2zhqvkZY6Rmhpq6Z5
v3TbfHhbeCje6yIw8kET/aLIFnESkQxFTfuRI4wezZMzS7+z8P32il0HItQmzT9CmIAuaqJgAR8p
CvitLrYgARFbcKOG/XuOkrOrGQnZhOkiPhVThpafqhoPXQV0V3fqhXibZrHKewhd3UfMBzGBXh3J
SxUT9BFHsqOLdhMBV8Zw1GCvD09BdDLjbW16cW86mn6MVbuReB9ABVzvrI4UCCpogGJgwmqgepFF
p7P3Oia7OsnOBVchW008qq1dqihoCY7Z2DqgnuufhNced11P+lL/j3RmP4SZzOpcw4RL0Y+6u0UP
LDn+YczOOL6Jhpc13v9xdmXLcetK8osQwQVc8MqlN+2rJb0wLNsiwR3cQPLrJ6mZe93N5jTjnFcr
3EUABaCqkJVZVysjXvazvyZnM85kIrp8atLSg480eRzKm4x+XXazxTOA/TUxi6sLoYxqOZmA4o5S
/YKOYWbfdSOEq9bQCmuDmf5+lH/RrFDsdGIZ0OPhtmg/CFM2WrT29r14kB6NZ3aSswQ4yaqbrDTg
bikB4NpK27VQ5rYq31pDs56l7jOfmB3bBcuT/2Uz6Md7CHdTdmua1z16dCAe1hygIHJ5sdS11Zqd
2HjYN+KWYLXwnDi+BV+1o+/Gz/Qz3Bf7+LF0qm3yDIf8NFai4aW1A6swcOl4aWGA25+unamLtAq+
3zXLBy5/hjGUN9a4wldszEl+Wy1RM9nhIUckAWSPEkdrdxJSF5encCm0ORrJd7XnyAs1aNdINHAC
lJXqz9Cd9tvGUzqZOKq+snmXPBEM92guBvwLsvKzzQuVLVqxCA+0ELICpUMGsYzhreWt0xpXMthe
Htbi5B0Zm21jNTXMvlNhTAbSN8OHGAj4qvu8bGRx7o6MTB9xNHcBTkBEhTBi4drTupvM3KQQClSC
/WU75yUFbCsdHU14cDUAbJ1nPnaTh+NQ4wqHirxT/Oo76eC52zNUvxKab0dPKSSC1AIpQu62lTfo
d1H/s2pXPmNxuH+/4rvOeTRcKPV1nJT4ihy0IfJnbxz09CkgK1tryQoKssgnAL7WoMF3OqmM4Q43
Ezx1N+MtWheYfUt6D20Fl6d0yT8QXk9POtCqOiPwMssuqmUGtuI67AFZe69B0SXjlV6c8xIb1g1E
rXiHnXpxzjLHQaqQVZ+sqOBudttUpBQKToW9SzQBqg6c/wkkQMa0Ahuv3d7Y9lj6SozOnZvetOrK
1e3UFn8kQa0UOotFyDR3jKPWs8NU+6PUqQHaxgAtH35h5IrY1AMwuj61s6a5BiK2V7YgJe8RmVS0
pB7V83CtdWtpsWxwJiMrRmkP786ni5Xmmgq4OER/hap5eeBnKiTGbKcdVl7op+06j3TwCocYBzRX
iPRn90pZAotPLEykqMJ2g+b9L8BkqXPZJxaNgBIATYMTnelc7zdoaUQgnoukp6ivOFRF0ViycgYu
zheDetgkETtppJ3Ol9lFrRhHIA2mFi2v7z8qtXLM3hg8MJKtbKSl4YCbBSJZbEIu67M5C/DuIIYB
p1MyZI5dPHTp/T+fL8wVwDMTsc8ZdMtmHQiPUwzGmFRK233c/Po3BqAOpEzQFyQvp7PFwrgPGY2g
CS8tMNsprg1tm5VF/77g5q6FPkA0U4I/wYAE86mRotIyUcUxwB91sFXRZqYho808Ynq68RrG0hPk
OrcVh61BIRfX58jw9Pej47Qrw26o0iR1LZH/7DrLpaG2sm2W3O14bLPtqYI5C+LSGFuovRuaDlwQ
MBrGZljDBC2FfZDHhQwL0N1INGcLBSURy45HCH9VFvoRIvEL7YEu0oCqi+9ZD35SmqfXaP9Y8fDF
4UEADg1v0FxAR/jpDGZ4fmyCDmbB1Ruhs1L3ktj6TAv9NSe/L7vispvgnkCBGhz8gGGd2lJQLM7N
Scu+K3XXDK6t4m4wbyO+1/Q/hdgZxgPRnq1ud9ns9KtnzomrH1cUXvaQv59apbwYEBRghGYV3Wtg
Ec1/CwiS2smWys1lU4s34rfeAxo1KPrRTk2JCJ2wQ42jnAh2Kzn6LKR+3YSJf9nM0pqh0A+w5/+a
mUXsaU3bojFxkg+B3jm67N3MKhwOGbO4XSOmXrM1i9JpAsUg0sFWl7/b6VWe3KTlbbsmfL2YCONm
Ag0owDPgXp2ZCTM+1DpuYxfJyJ+2jl2htI4F4q3WpE4WVfdJnnqF+OTVGvh/8QgxoZcDEjOK/o3Z
BihoF1lCg3uIBuldrVa7IIzXuEbXjMzy/FixwCE4wAiXyasMlGcrWzOx6Oa4q8CRM8WX8w4UMlis
HwlukoG0f0TI96UcXAjw7mz5IapuxdOXEhG07v/X2mxAuoIkXxY4FVt1RCCttD5Krk4of9oR+RF0
7FY1flx2+sV6KmMgMMUWBk+0MttcQJKSjBOYLKLyQY6Zq5b8xbKL11wZHAkRcyNXvSYHkWagv+ls
8LSWeq1d+qAHW7nwluf676fMNmAAuGiaClw7zJCuINh6t43wW6Px037F1MJEo7FfRdEcNwMy5Zl7
1pU2iuxbD7KHCHwN8mgoUuxMK/NC+4OsybCsWZstK2/tBr3uObYh8mVzfBEhyBc0vNMgZWIHM99d
XtOFwwVN3IBaAEICWO6c7qYuK2PUZIvr27C2qPu15LfRPNqjWLnkFu5WtAbjaRSHJkABc6pf2leE
V1kHgCUQWNUz6MwNcsjpTgVMvtKQPZcr9eKleVQnOP4keA8VkdlxZmctVJAD3HTpeN+DSSrvrzR/
38Z+19Qr8PAFX0SzPSrgaLNmGoZ4eucoxKxCpcSdU7f2VY+4ArTfABODL8QJEuvepP9UgxGALhi0
gIJCowakxmZjG8OiDxKCozqW2rYlttPgSUNin/1z3zgy8/3CexTaVbVWGs1kJkBaFNc3Ze0Gpbbp
tZWTbCkqAeMXIGRQcgPlw/ffjwwJZrRNOUpEyGUFpdmQpAkYGDVxNaT0gfQ1f7D5oP8KBDhzh7xI
NlFstmCEjMx8lR7v7Nl6mls8WqEgAspUgKpOF5NEtpY1topvia9LG50TsgGD2xS7O7q+IQoONLyn
MPHz8lwvuuuR2en6OpoCaONlfRdpiN978iAKbMTIfC0ie0vYeC+sGOpqq/Kh01BmYdnJUGdxtRH0
gV7neuqW2p++9Ptuq9F9yK4ttrfoHWteQB4mjNQx4r0MVlLIpfPgeJpnh6pCMtUaJMbL+w+ufEht
k46T5vIBzEQhqx2+VmRdm+DZuTrWgeAF1MDwvEsA9fwhxpcsCB2tiF2Zfaj/mPZjciM0FwCwiL5q
UH2drmcrm7EIC7hRo4QOqXeNpW8621UgcC/rlVfG8/6fyRhqCpCHA/cCaAlOjSVhH3SEY2y6WSqo
jXMAQOQA9HFG0ZGvBr9oGJd+EkntoCnqEwlU3ZNWY7ooADNc4lG2v+zNSyciQAbgIZkIve15pY/J
UsRGDhKIMrB9yyivaLwFuYpNkq3I1tq8zsDX03F4ZG1e0QO6OWxKbqA+ld+1Kvj7RCUgMfyAw8uN
CurJLPbySrsR0aZUPc219iZ/LuNrHNIke1QsJ77vJ3WeNT6WhZAT3zW9g6N8NunLni4L0WuCkhpm
oce7aCLKO1wNKxO9dH1Dn3QifdEM2zJnW5glQVSRZjqtEm4l3tAlwJcPltxr1Sj4hvesebq8tEsW
Ab4FqBGsfCjJzHytE3gxs3Ng1dFyFd+1YY06mTImN6JTOfpGmzVqgmkE80MK2cjUbgIYMRq8TycR
yYdBgGRGUl4TL2jRCQLF9j+Xx7R4AR0bmZ2+tB9rRUYw0hHGnL6MXfQn+qmhe00snaLrtyMqKXnM
HsDnhNYo/vvyB3y76Mko0fqKEAJYbdBsAnA8W0cFqX9MRtSI4mvdi/eZL33m08EhAMro2/grfLZu
cHwMjuX1v1q3bVZi3HPM5uwDpmU/un84MzM9sPABgJFtyG7kjnptfzXXb7/tzXDovfCqv6Jfmk+d
FtiFq+QZgPnYVQ63zeiKwIH8wMoXnfnZ7INmB6ilYVFYjGRKDL5ZF3jn23B0/4RrDYVnRxXs6OCu
gZ4oaPPPlH3qdGyDtg0ApuzvQKzh1mIjy/tWqzelXLnjz+68yRSa881JbhAw0pkrJ8IAJSOFKbto
2UMC4OqDTOsrsFtWu6IDrlQb5KdeD/1Vwvtflz3s7CyCbTAGsKn1Dn0x84NChnpPKnuqcsLLAyv3
a3VldGcX7GQBETeERNDIdMZMEILUMs3NKTk0Wt8ihsOs5iop+Y/GGtxubFwLzan/YlBItCko9gCg
Uma7JtZbHiHuRhAh7mMQ7jbW9rKBs8MHYzLQboAmgG88+vywy+KK2QKds0F+P45eIh7atffz77tw
vvWh7YoHHHQi4i12NggLfd1l9113+ejvYignb7vNBgQEu3BrMbf2Rt+XoMuJ3cxb22PLtk1o22Dp
LBAXTx57tOtts+pVbiNzSXYx+paf8g0OV1f6NTiwXOIKj/0ZTXe8CTf96NRXqw0di/P71/68NUaJ
eanTHvZb6M3iWgZvuGt7o1tspb8fXRl5qrtyf50/tk9remRztqa87+I2oshqosKJ92iFOlhvpHA+
8UL9q8fgPTAk+cGP8maN8eYc+gM/RboGOjMGWp+zLqxSK1owfodTp/QPqJwqQNZ0uz4EOUoIkMt9
h3hEoGXOVBw01V125PPT9NT0tHmPFrpsekCEdZjWrH7fq75UTcT7j2PjXbZzHorOxjjzqIZrapCP
MFRe67+rzfiWHSjE4KrYNXy64bnT7i5bXLg6T4Y296G4qWmcKrCoDC79KHbgbb8bbsLHbpc62Q0k
XV3DzR+gnfai4vo8lCszu+BPp/Zn/pTHaqBw6D240Z7csafwNd2L19gD39XzEPojtHKc3BXP2u24
9vRyvntOLc9SGjVtZN+oEUA+NnDcyY8oLzfNGkvt+aV1amR2aVUBl3EtMbxRBX1XC/VRrXysWe8U
jfIaqo2TVdKpJXMvL+s5hvTUkaxZSNZjXEkweayy7a6VeMcc4fI/A3Na6Wh30usP2pW9YZ7+fNnw
4qSqDKEYVJAB85iNt5R1oowUkzrJ9Grgyyteg7WHpsXdCIYv1FJR82bzY1cTYUe6yYZgZreTBvuT
jOodZGzLHRK9zb8Y0F9j8/3RQTMBdT8Yi/Q/huKPuIVDurYJzqom02odGZltAgsSvWi0hxFKrgPq
deZ1DMxinumbSjvUqj+WvzTydnlgK7NozdwfWldsUAPYZFzLvSqNb4xuoE7CCuIXOjCol80tOsbR
EGeOkSlB3ltFDIfUH6LgXnRuu9ZHuWZi5vMRi6PRCjmWyv4EIFxHRcRaI91d3lgTwBXFc8hAzMEO
UKMxqDQwDoPdENUdxU2BxhDc/vouSPcGf7YIeI4VRw9R/LmjqRebEEpcK1lMDnEa9cBhjr5iWtyj
C4nleok0FV/RV3tFd7Sod0BWYiU/o/4ua9GoG3hm5LNVcqVFpzmya53ajSq0l5Y17A7xk2aiVXsH
9KuHesBlZzl/TcOGgBkGegTUM8/kguqxRQEkgB1CW+5QjEM18a4VFJ4G+konGjK8r6keqfUDntYu
G5/cZD636J+cit5AZePt4nSMQo85ysbQF4nC4VYnwk/SNXbqaZrOTEB4CGgGG61wZ8qBPDAGVcPw
EmEfqEW8VGlc2esfZmHtw7U7/jw//57N/5ijynT8HHkL+BBFMWgJuJWRoVl/yl71wsCh9SN0CZ0q
h1J1sclyuUfAeHkql9yF/necWNBTwyZX6kGDlhPAYrUndHMf8mpjgQ2tA7DmsqnF8JCiWdsEHcnE
2DlzzRTkDW3OYcuu8XLQ6aNjtyOaBVJvMDvHKHt/+veq1m8TNd3hW73RXnnJWJ7oo2+YxYkCdcs8
lfgGYsXBc2UReZWZOfHisYCAmILymSThuA17eziUXKvusr7aNqBQW4F8/D+Tgfeo7zZsSGacTrwa
pRk0QvAhihm7QeN17S62fpFmkxibkDqF2YMQxOmg/duvnZCLaw4hFwirAI8ONM2paW1gLAOYFHPA
PwBRSPTfbKoFrQQ4S2c9ClroOQK0zgCI6tRKTHqdFGU1xRnGoTWLXQTKcDl8rjjV0lmAsiIOIXCP
gO195sBWWnLVjhFGaR2O2B5yBrlFMsdoUCgOWvA3B3jViJssgNKB/OzL4g2Efw+CBqgLZ/pL0FB9
5XRaPBqBaYHEPBBwGpsjusDGhoupynB21Jkf6MEjt8ZdA90rIkEPEvAH2ma+0Wd+mK5EDIuxOmog
aNKEX8H+fGkTQJF1vC65SXlfmf2WV/QzHRInax7RQ+mpYfQHjSbQGXnpZOt05TtYCSNfVtq+NhIE
aqAbZu+XV2jaUfOTFOsCpSKUghEKzhZosGohmgGHNe/R9NVBOW/YovDoBEF/W+TdJoB+/WWLS/59
bHEWN5XoMxmGERahSCkcHeFaraTv3IB6C1l7Y1ry8mNbMy9XSTP2moStBNE0k9yxytdS7i4PaOky
OjYy7YGj26EyCLrNGYwMOB/jWDgcLPjsECCR7/zLppayoWNTMwcq0qaNAH4Ac12juXXug8PG4h9B
Enoa8rwB5G9lu3ImL5sE2Bz9iTiN5npdsSx50k1qYUogYCl2q0TbDwzyPia7DSZut+wuIeMK6Fdf
iughdojSKERqQBc7G2katCYBISYi+i3/QVF5Rhp7XdzoTupeEX9wgz277j2KHuPspvRGJ3h+Ey7d
9wf+HLyJ33RljZfOMQtkU4Y2kXbhrf10jUlWGUOk4lBGvchRLPuWh6sx26KzokLKAOvSED/NLuAi
z0bDSKF0FTxAfnxTHEK/Y17vahtjG24Sr5SOm65sxiXfnRYVKhRT5X+OHShK1A6KGrphuWkN5X02
dDLzEpyahsfTUrpx2BiPdY3OzZVwY2mw6NsDQB28byhKzQZblRnueqhZu9lwl+ibBu2Zci1KXDpp
8PaJexQCH6AMm1z7aGMqTS9zbkhwj7c/yXgbRi+cvZj25vKeXBwJZN6wZGiTPesfG61+SHGdYoPY
/Kltu9e4ihxbjv5lM4shCfpmJ4kyeAiyp9PRNCwIQqVH517KbozIN5MrmW8GcB6294rhF6oPOizN
vFa758uGF8d3ZHd2Xke92kYyGqczFPXZJN7r4rHIyMosLt1Dx6ObbbA45GOYTV2jkUVLt9KtP5PR
HeMU5Ldlbm142YK7Ls8/Lo9u2S70aQ28luNOnvmIIXOh15Nsysgzl2f2VWdB4HUkdwEBMYEKmUDz
67LFpaNkYlj8P4t0lkwETcY7He23rl6Erh1DVmpNe2sxxDk2MXMVZHhUmCFM2NAFKlvsLD8K70P5
o4Q0rbbT0FkerD3hLd0TDAEe0HmoLp/dE4FRGvU48d8nXeHbxjsAI26fSE/vmlteQV+AZteKHPaX
J3PF6nwyKe73pOtg1e7vxhLo13steq3IfU13lXAFXfGWpb1wNMg5BQvTWZsQHeZk/FSkV5GO98g1
OtUljzy2MdtvRV8VZqjBBk1qkJM5Bo0cbXqAHryhAS/AysZbG9Js4w2ZnQxCgTkr+pmCJy/v/dWe
p6WyPLqOcY/D7QFvnz896knYiBqBhNsCNsk3qtaF76BwMH/xMWEbsEDnT31hJ7dW31SjO1Qhucty
BXB0mYTyOhJpetUYNuCsl71nYewTHBC0uUizQLU9G7udM142yK9RhdoH4aG2esfugpWbbmk3QlyK
TjBHhA+glDw9uEH2VhV6h0KhlMK4JrbQ7sPMuEp7iaSyYtuh06SHGO4GT0OgRIqL8V8ME7AcHfEb
2LOgkTL7AMuqyyxFMhvYTza9R+eUugYbPWfSoXhVPrIxO3L0rhxzhpq52/DYTZLRp03hyFHxrKDy
G06utcZyos4Eskq4ic7cJOscJVedBAK3A6Ddva45jfJhoSZ4eZFNjG6W4Zx82Ww/2VYignoqnFah
z/RX2WIPHcK1F66FUx3ObZtAewJ5fUZFYHZpDcYVZJVa9ZVUz1H1cnkUS7+vTyBFINQRA8xPHjD+
g3zVwu+PmKcB2ke48C9bWPRT8MFAKgKfD2TNLCQLIQHRGCGSi8K8Ys2ur327gDbbO42g1mdse4mS
ywoM7xzSDbc5tjkdhkchWhVN1H3od3b1J6Y6wxZ8HQ59L7bsdsSb82t9zTy6Uvtd2vRgBQP0aQLn
nukspaYOOddiStfIdWpuCZK2fO0dcuFaMo9tTD55PCxVCZSmmYYloGeCGpE3ZjcBfwHYKwHT41oI
urj7pnZg6DojMERp49ReHESWWvdIT1q385SXnjudg2cQF7K8Gw7lm0nwhlw1m3T7L/S4JhkIFPLR
UYgMceY0dT2EZqsjT+PqgUaHsv+w+UouuHh7HNuYOUmRJ7TNQyRGytZy+C70tffgut2wbeSYj6Gn
rlSIFh0EvbMoEeFyAAvg6WRmgvIomsSbbRW3wi+Z3QzNigmAu/Aj81NpyqcnFDXSvTlmson7akjQ
zOCmhIuXicrm01CS7hV9p+WuLQPtI61ztg94TG6tPG4OcaZmfowep11QKNE+jKvmnfaB8lPERbBT
1HDcxMQIUX0wC31bdGGwAXC/PSjm2FFntPLxHfRgULcI+xTu0VOlBFLRrrxsiNubhqfwkdosXV63
2k09WOSuEkHfoL12GLdCFeFPLVbTGzNry4egrPtrGvPmPiVVi6oUhLSBZMhYD6aOOvRCRfuEOi/Q
7jmtAw2MFmXz3Lac41bo+K1hVUbtcQMKQ24JoFLl5JEFIN+I1qnXxkzoFhMnH3GlhHsV5Ho+VCKj
Edz1Nt1FZV+UeJoS1TXX9enLgnjfoXnT00Sbg9GWRkBbskJuhGlUGyWXLNu2oWh3eCqQezPIeOgq
Y6S/hOloH6RZQy1e6XOd+wFNB8j7Zgq91kol2IWS9bFT1kpdOy0mcSPR3e8Z1Ujee9XMyK5rU+62
ltGxTWx2fJuNzHzLmgiYA0UhzzGuuI8xsIO7upTUJ2qkty4HajV1OEBJ1APxFe38QUnUH/qoIdUP
e/MqzVr1Z5tW2h9acOVeWmnsF5XKkVMGaFLySF6kP7LElAJA5SL9nQdGf4jRGfMaq123L3J1dCs5
ZDf47+1NZNs5BOss/SYgg4oHWD3a270W32jcgIYieBtLR+BZ6AcTmvkg85DFIOat9NIpqZ3KTZCF
Ybpty0jbF1rdPCSxLjYAnLLGjXV9OECFT35YXaQAclXhUckG9+5WgmATUBpAYu/tNKxv00DEJdpH
pjAHjYxPYZLlj0U+moUXl1G5bwsh3kNqRnhkVyv5k3YxqZxUHUbjoEVp8xYnFtlAB6I8BK2iP+dt
qQd7EFfxXZto4wN67PJNlgyGSwJiPRiWCPaNWht4uqd4w/dFKwLVMXM8nkDRDwIn27Su+4e07IbO
6VMWXEuDZDszIBDo5CVRHQsqO585gDrPOuYlcgRgrk+hatS5B/nB9LmIaf+khY36wUoWu2HKlMaB
HHr+nOud+GmkqDw6Wm42NgS6IvGjkCl7CFhYg+6u1HU0TdDsypaQ6Rnbrt+kRS2fNTFolROSqvgC
NUHvq0A8PGsmz2o3tfGo7GRaAZh8xln0pCcB2AO4EUknRP76rA0a2RRBq0eOUigpZBaCXr7qVSj3
QZpVUH6UpnklSy24DfUGG7hQjB67aKB7aDJ1V1ImyvtQ6KqjJYLi0w07yADnLazbrELhy1HhZXsR
cIKjw6ySAVwkY3WgFUnuh3gEJhMdxmIvoP64yY0GdXVjjCpUKY3+miD2+g25AflSWqzdZ3bKAGjD
Y8FdjjJGHg4i8sqqqH6GdhDd4jRsPVJlw6eVaWIzUp0ghcz7yKmtEvC0cRjCK95xZHdsMIOtoHH2
1OO43ihxrXUODIG2hJViA7xlckPLIn4kwRDtzEg3sB2SEhvJjBo/1NGSkw5jtykghviesZo4dIha
PxsSaycVq+sdMzQ6r6oGC48DqgZoptXiWZoOFshsqJA+j3PqF11iyG1pmhVz7YwaowNmy5pBUZaL
xtOiOo1Qt6gAXzFKywIFASgE/Nbije5aoZX4ppqkzzbIzGsnr3sCInOIxgzuWNOxdJlSJ1/oM2Eh
FFVF8yoKFviDXpXvFg2aXRelyWagaf2uh6TZCbC8uRVpG7+yqtIDwaZ8iXIy/qBqq3xJmtiOZSXF
A2Bi1nUILtEr9NmNexWOiGYLAkTa5ZByMfSeCmMT8QbyrHlwYCh1MNS4STPmQ9SoqVJnEJ6dr4Fo
l25sQ0fvE/wSZDLz7i6pxcgtE0SuenDQyB/Rbe10pQy+ZmKKz48iOgUkTSA1g4nWfmIdd0AQoqzx
M6zZmP5+ZKNIqg49xYhM7eJLTCTud335+G9W5O9MnQWmdovLCMMocVQI44ddfASZK6u18u5SunK8
IrOV56oWhaYBOzlaavSXuPvnhRiQDPwdxywkJAKXc0AxVSLzBWDjtfGq2q+X52ptOWZxYJxoegcG
NKS09SFuf1TsKQkeLptYmabvlOxoxaHKDP3hCiY0aE+n6BqpVtoQF8dA2QRORjkF2//UpdCWmwxK
hsQgUw8cvAUZB7HOWhI3ZRfzWBaE3P81MluMToecgNLAiPmQ/RS34e24I67ptRsJwSG3/KnsLs/a
YtZ4bHC2MkkKyCoIJ1BRcVXcbffj7r67AvTqXt++ME+5XktyloJ1QOYVMCRAhYfNH8sVm4BmsME5
NmTAe8h7mzy0xk1o3wGdfHlo2tKReZwXzKoVOk37SibICwwHENZN9dbs76Qf2q65je9Nz3IjUOy8
NQfTYdvyK3dxRbxQ1dlJFFb8y9+yhMaAfNXfHGWWVUacDGj+D2K30x9HvlEAB1Gtd439UIAaxNBJ
6STDhq51li9tCkCUwURh4nXoLJmt2jwq1AkxSOqtmMgjq2pllhfT8yMLs8M8bEstZBNckLXDR6n+
nnr/mIJ+Zx0vXvwXS9N72qz1cS/WV6iCRikGRISBztbTvVjHtV6r8ffSam4KSA0KDzu7RfNKeMc/
V9ZuqunN9+SxsdmeFLUVtz2BscRGbY3vDfBBY/ODt4RHu57/COjvWHytGJ2c85LR2b6EjCuK/9CB
dCMOCrnqd3ZAWdmlvxQv9vtt/rJibhrDuTkkG6B5BZpvXnugihBhQCZwyUOFvqV0/8nd8KZxrMxB
M8t9sKn3eISwb8O7tdeqJQcCLuu/lmezy6oxCoPJRat0A1GRr/Ba+VW9xltrBYd0JnaDch/YQP8a
ms1ozhIOUT8YomhoeSpeN+OWOxm6sqhj/s5ujMfoE+ne7aSXeFu92Cv7ZLFKAewbujohzQsw36yq
WyOp02iJBb0pHps7+56Wjr0VCLNc5oZu/FHcD1dIqpm3pqa8WNE6tjw7Bw0WFSyaXKl5sw3nDmGx
ugWZkAXiNjtyhk3lcA/8Up/xFuqYa22NS2+tEH7/O+7ZyceJTnIEziAheZXIyXZ3quWkr9IrD2TL
N2t9KEvXyyTmCmICvOyiinZ6MPA6SjVzQhIXwS3njjQ3TbmV9U2w9rS0FA0cG5qde2BKGlg3AXxJ
9dxWb3q4b9co4ZYO72MT0yccRTSxgLvy6WgdrT3UIrehqv+LkGaS50ClGq3NZyrCBZoYqTbhFCG0
Kwc0KfnMWCkRL13CR48Zc4C8Wme1AsEezNNoX0s7PTQ8ATMgB8mo5l0+xM7XnuKOnfgIIQeHzGV2
KaQpsfU2RQsSHUCHr/vgFHECwHpI+qr9Y7INoCBwn0/aESBuwO1wujZKprcdYyDb4CBJHuPcR84o
HDifU+KEdS4P7NzXTo1Nc3zkCGORp0EvwLihlPeodTXyJVkrey/OHQNZEEPjn3rmCSSMrBRwUTRe
ixxiuMSx7J8UApuGWThJZKwM6PzMx4D+WpvTUQhTNMhwMaCB06fIfh+rt5CND3invFJy209LIJQQ
iV2exYX2olOrsxO4ym1B029uijslcsPHvHNF6iS3zB9vuQta+Ge2hWA5+DfQOBbcFvu1Jr3zDX36
AbODOA0F0UIVk5wBoqOh9trFK1tgoQ3w1MTs/LOIkpE+xsz2G3VjPEXPUeR1Hj2IbXklYmeMXOvg
hu/KW+Uwr9pcnuFlJ0IAgZZYVPznD2tZVqL0EsE4jb909EiBzEjHXZu/GOXKWq5Zms0kKjR9VE87
olUOOGGA5XR1/tB13G3e/82Y8NKMVkPLPiOfaSIDVT6zBztRojhWc4tiWWc/K9WuC9YS/aVtPolu
QakbuHEECqfb3EzsgevZxJ0CNdSklCi2om9Je708oIULmX5re/3HzOw04RGJC62CGbILboqfBBKd
j7Tyk2vpGfd272Rr3ZLTD57GlpNBSE3pgOmC1W92LqM+mgMzN6Bh2foZ61/9UKDP/K42Vy6zJZ8A
6B54OvSjQKlttr3bupVhFWGlQnLdhntFu03llVY8tOZKwWQhmcOAjizNvE/JjKKNmskn1HI7Vuwq
bljj6LkO8fiy9VQ8EqWF2GrQIe3r+ndpvF1ewsUJxQi/uTLss1pgW9nj2LBpQtGwxwj1QuE3OKvD
r8t2Fh3yyM4sNLcJSXUaK5hR+yo2wPyxIfXagbW8an/HMovKM7xMyFodcbc9mA/qPkLZ+aH+k6HC
uTOfGssjL6B2GV0OVo81cYulW4j+Hd43bvboWk16E5U7jmnsux8DqxzR7+J+cEL9awj4RhtuFX13
eUIXFw7kiYaq4MkcbCqnO9yyB02ixxQXQPGb0sE11a9o8EIouVy2szipECaAiBwgzjB3aicbeKvF
Bhw0GXdV/LPkzwSd4OWdsYZ4WhzQxBGA8eCRd37ipyANKcIYdDUsJej5/gIFK1J+7iqVWNnda5Zm
e65KAz4EFSxJ7YHZG5r90GvLzVfpIBdvUJB3/ndIsxtUESlIEQLwsDBh34xd4ehmBb7G+KWs6WOV
tNdcKd0+etbK15xH94CXOISPvrTfaVo4Q1n5o8ldS8R7kCHuL6/r2iRMAcaRx7apIUwq8G2q8Grm
l/RGibyKPF62Mm3rs/MaLBpTfAuM1TxTDQWTmtqBhMfuP9L2q+tAoLVXxGEoXfn7sqlv7PklW7Nl
jTLcgyaFLahwv2nb/C7qNjWIA8LGQzjmKegYit3icy1NnCbq3KzFJqoQAKfn1GB0iFVpJ9MG6e8K
9Q6Pa87lgS2uFHgw/2NgtlKJTsohETAAKg0v1q+HxksFeKPW0DGLR/SRnVnMYGlFl5kt7Bj8g2ej
Y6gPavJ5eSyLp8mRjWmsR15HKIGc8mRjaDMnTt76MnQTNXLj9tFeE9RYnDdg5ynqlSADmZNtyf8h
7Tp65Na55S8SoESJ2ip0nhw9G8Ee28qicvr1X8nv4Y6aLTThe1deGJhqUoeHhydUBV2ZmSOwqgLl
3vehtmXZGWRBmn3Vwhco3MUWVnUvazI8f4gja8Re49sm81r5nvobnT5f377Va2YBxt1wcpD2moJm
TfQr3MwcWrVX9RtLeYaMUF3tyujbdTjBDvKyaJgJQ0/a+Cc4eG/Zdii2ofYs5FlfSWchBkJYPDPg
oE2Zf9frxaih82O+t7OjueneZS+wIYPLYnu8z+36nmyNp9b9PtqiRNqqxX8B8x2YSsGSNgdFvVNL
dDspINowmhu/MQWudtVDLGC4K5REQ1r46JNwQJBuR5DBVt+uf6eVHPbZDvJD76WmZWjGAsKk/tZB
RlNWu9561fVHtXwLVdwqyoEyTwC6epYXy+JutyHsUJhJAEoK3GZ5aSMah5B3aOPxg5TgzzYimzB/
bA28QKxvQxQ6UvvG5Py5G9DdgqaBGHXw679p1WAXP4lzlVIrB6QI8JM6EHSZ9KkoNlX6WInYL9Y+
KNHQLy2DnktTL1rRiibrQPQMGj/VjcbOySZRb/Dqy2oBcXH0SBRQhkSKE9wmHnpCQBoKrpJp226S
n0itYuDr+s4JATkjNVggB3IOQDDg/c73/qE7NuhuqOzpt2yrYCvcXAdc+1TLBXK3tRUkRpVFFHvY
vQ2yO5gPivlORCVCEQpno34Mc9BKrGpMfw0U6wCF6PDRWL+vL2bNkWBYF8VcZKetC+oOo2d1PJRY
TFY6Jh4cRN9MsWh+ZM35L0B4b0XR/RaqFUBKVIyy4MkCEVP8QCu7jo/opHaLrhYYxdrdtkTkbEJG
Oa5PVSAa5UYPINiHM4425/zU/0yEHKuCPeR9GLXaDkxnAJPYc9K6Q/eiCa6zFZILHUTmChjuMasF
rlzOGppG0quxRVaXVPWzaZT1bhjVjVlO75h1SOwE6ujbocZERxR06oEa6TtkJjCvAgWk6BMM6SeS
9RttmBpBDLHmSQ10PUOxe6a65WfILBBihzJDCop2ErKVKJcZPlLN38Gx0ZgCt722zUss7txVAQPL
ag2souxRN4boSvWpiwb1147dEoTbaIREAR1bgOQjBggDxWVpd5tJiY02+c31o7fmiw3QR4NSdK7h
8tlzhH00hM4Nrj7FJUNih/n36wCrH2cBMK91EbLKMQ0sMwNAoGB0QtUc8MvZfvfKdE/JM0Gsv7Ya
8w+PuonObUwWnIOhlXaUo0EHXd7wUfSf5V8LISC8Wv59bjFl2Opm4IPc10L6NtBqNzSfmyET+I21
LVuizP+/2LIcXeN+Fs+rQBMw2fqypysd2iXxwn26/nHWrBlFZqQM5tv4Qqss7TNGKcNNPOqoCtYb
rfU3qinwG6sf5QuEbwfKid+ptQwQv8xtam7DTnT7rp0Xc9ZnwdgFXqnm7PqXG1aBs3+IcU1p5W6q
oYSBea/H+N8clQUK5QaOcpOgYqBiHWoAhbLfgy8kK1nfKVyA4MvB2DLh1tG2BP5lBAJEMODI9sgt
GO1dNGwT2aX+vqjecEKTZlsEqKfivOKVed0e1jfynx9gcEuM0VpRYQRzTqeGTgUtV+OF1e9Dt78O
s252XzDcxRjIkcKUGutUFPSt4m5InyxR6LJ6iNDUhGl7HZRjvIqqP2ponEVvP0ZDX0n1RKK9nO9Z
7cWi3OXaLY9R7H+AeJ8AAYwgnknGkUVU+5u+fxmlnd68V9lOF9U6L1mZZwe0AONcg87Qxo6mdoR9
rT1tzCfLjuwxxqiCfX+y394mx/ZOnmfYO/S6X/9mq7a5QOYe6hDFyNPRBHKMOu6UMUc4NqWKIDjz
j7M+tqBYhmN812Zu/Sg50i34MrfBjemVbrkvHM8evOCpd/MX/RS4ovfs6kt6sbu8+ee0MsJJgs3Q
D+UpuGWvilugA/7pl/RR3ysPh9at7OrG8K7vrMCADO40MHXQ63Emx1cz9IODzBssh+0JXdZ68pEa
ghmdNTDwZs+CViDiuWgqngJLT9vZGQ8J20SqOk967Nup2tWKhWmnAe3MhWjSae27gkkAHQxQ6VVR
qD93z1rjR5GfIjRFr4GvyTZqypoW2Q3G0cs9oXbk/0KsbMflbaKeQLjdDNvrO7z6wF/+gvkXLi4I
iULmNOrwCwJ2qw7uFLik3xTpTRjcVLCv+NHHg/ffYCJvNhfAMJfHJzbR69M0UPjFowZ61L2OSvN9
VNxL1TE0MKhuZHbJEhtaWALYeTP5fKo109ARHXJU1gXhFUZjoEYFWLDBST+LZKpRSkFTCfrmsn1e
x6VDzSndlmYxQBs4nucu1R6PVDrJ+GUN3XZtnwgC9DV/PxcDZbQDoduAL4K0ILpKKjXIHL96rLW3
tNLwzf++LR+prwWIev6N1XwawbgUZmBLhOzlwaB3CJdi0Ujwmi0vUThbxmiF2UkyloJ3hm2Wmm36
u+tfcO0OXiJwturLSoYJYiCQ5KHPkDUEhm5hgtq9jrN2QWJSVMb49nww+WAjodA6Kqo4g8Q4mvxM
675SpFvNGI7UaLe12giWtWoDs94PJF5n/jzOuZdIu+bWhIl/QwbXefNe0t/QMxAcutWv8wXCh5oD
Sog6WujhwOvWqXQZ7Q+i87XmQEGJAn4XzL5j93hvHfR+kPtYB7pBy8zOfkt3EWjci01+xOMmOple
j6ti8iAAdxDqas9//OJwg6oHFIQ43hcSEAoSJbSsYRssdDrLxgV1gkhA/5TsEzfGQKBgO1dN5OtI
8Yk6koCbPGhAITJCsYwFn61Uggn0Z17cl6Jqw6p5fEHxCTtFH2kfRVjZEKQuRihP0RC6Kqazrxv9
qoF8GT1/wydZFJPJx4o60m4HZXiYcP1dh1hdCUiVFAWsEBa4x8/9kIGhsg66b5lTF58amC4ScJ0F
365jrDVQmRQpApAaKhi05ScgMiOtOjQKY8jFmTbWSXeCQ/Cr2oVvwUPxA4lH7RHM7epPFUW7P8q/
LN8nb9d/w8o6z37CfFAWd2pr1AEBy3rmgM3R1+3Rl+V7NINCyEvP8zTyrqOtJVghyotmJjwb5hF3
bltlLYUooI4V65hWADMRtLVOPpq3WhMNOk4xJSB2DKF8da9VDbj3RIzyK8f+DJ67XeQOvJxGUuGr
6hsJpakBySbXStE1LN/JkuC+XItXztC4W6auM5YkkPZyNO2xQbphwuxbHdhm+NpquNiRgDv5zb+4
2s5AuYuHjOCbalTscFjcFUGPIF/0vFx7vpxBzDa1sJlAo2ikT7EuSXrwyaamnhYGri7fEP89kbwo
l+zqpwYapjj0wugtjDH5P3rI6jgmFJOiY298ysG3sXwGoYnIwC5nC6BsaUCsQrFmG+NVPLUoycpo
wG9ri9cs+V1338kE1Qq6zapnfcK4pu5SNggu4bWqO0WbLCohc3EdbCbnO6JFhKUhxaaPB/mX/g3z
hN2udImTPBOnPSr70utlW7jWFceOZ7yMtyR4PeAOue8QxlKTSyrO7rAZPfW7/6F606dlZ2wT/Mpv
jU12Z8Gy9/GD6Pqc/zB3gQEYo5Ma6ChVwt+e8qj7pWLUiAQHO9ZeDXYTN5vrnmJ1bXjazDTBBIE3
t6OpJGuDZrY4qaq2NYdPNd2MQe0M+XYQaRGthGoULc7/QHEnBiN6eGkxQIWKm0qu3O6sfDuaggWt
3FlnKNzHKoayscoaKOBNHdS7muaCa371oyyWMS9zcSr7mDC1iAAQqyBSeIm6TRgJes/XGvUscLmg
HDJ3GxNr/moLjBCj5lXUQVXEjGSvAzsoVbws+ZH4bqScMKAE/bk0Um00AwgWt+ZLz5C5e0rS0kIj
GpBDCI2gLJ6hleUHkoMT6hSFW6FIJ0pvrUKC3BH9o+jaQXKVW6xixX6qdSiUIEuT1s8suFFaCYk7
uxlbO85aWxrxfhC4kpWviPGBL1B+nTKNx2QWTMyne2bcy8pvQ6R3s3IJnkFwMTz05CetnJVFMLkH
cdLKtMHdfKL2SAUf7c8MNecnlkh8sa7uGtIrMpC0on8mbXmIfTDn9LFdFyDNbCAhpf2u0ndDecJr
ojRO2RB6CkXfDbhhkhgDYeE+6ozNmFVuYLyovuxk6mekmjaaKO2O5PdDT+5izP1f9z0rDuHsZ/NB
StSFoFPAz+6Qz1DZpldeLfRL5t51mNXvADoj9BRiCB1dheeHKdBDcJWMUFsZjUl/jUCt/BHADCs7
07UQzxACz97kBvRh5QT894JFXvojAm0DnGHFmBnGeOavPi2zvAkidGylT0w+5qlgdZeGjL9v4nIC
BIFGGbe6rCuiyp9FqmoUaq0SE1lysrHk9+t7uNJdCBg07iJTgjodsM43cW74IIxA7DaNHivwrCcb
WduC08gIArv278jklp1tWqfGKZ8JyPwdZ+Y62Ewi17i2XIxlYfIHS1YvmqWbsFDiUcVyS/aLJcap
GaXt2KqiTunLa5FADgmC0Ji7Q2GMzzI2aa6UaVMiCTfa5BkkIq78mh0gVn5DKgfThTfZz9zJjunB
FPilP+Ie52cZyCDMlw1I1VqoHJ9v9CTLrVTIcMBg65hCW0Kj428F7YbHkaldYstpg17+ppw6J2Ja
/cCGNMebJVMqzVWiiN0rSE3doXcLWl6ssGrMy/W+6vV1BS4LdNxl0CZU04DZmNUOn32zrZ/7ieHb
aXJCd6ofi+7j2TAu1oNeb4pFgXeO9+5lm6WGHleotOsBcjOF2Xog/1AcU6LUhuT2aaxShOhp7O8Q
Z4naGVeGJ7GdeP+A2hPDHRdjEIqfos+8wuGP9+qH/13DRLWEHLUFnmDfZe8dUtS7vrdz+5Dd6bfh
r7/vPDnD/3P5LW5ySRmsSraAzzAhahz9aNv5byTbXj+eq6fia5V/4okFCkmKLiYdUGj9mGBMDSQb
uvJyHWPtSJiQo0XzF+ZAEYWfG2aLaeK6ABsCUrPFvYrZ99DStoY/4YpmNpV8wUG4WBJamQlkzCGq
RpEA4+kizbLLIcGOJDQ06xIMp+m/rSY7IHcs4iK/cNAzEAIBaCdjMBtyu+frAgcLuvIGpKiydvzG
Siu0NWFQenHT/cEwoOeLepSMdNQ5Bsawsz5vgJGbUCnHsB2LoVyoqziRgpTNZTQFKERSoFXGoMfc
5HgORZmEwYQJiV2jgYbwobG0IL1pq6QYbB3ZPmMuKINny+jV5FZvSPiohmp7pG0VCnzo5ZrRQ4wg
Fr/EUMGHyP0QovUEvOFZ7kAL0OsNpDwYuqOJneePf2mYmEpAxzfEOcHOYBIeSOt60mpWmTt+fcqN
jwFkfmm+S1o7L3XBZX5plOdQXOyP273QwKuLaeMRnVCYOmVwLOXL9fWIQDiD7AipwWgGEJRCgvqH
JXV28tdpt3mSA4G+ZSE9iqibe/ZFtKvkIQCFZFJUrpF2u8xMNyAQ2/31UmYuHgW0qki8XTTbjspI
/EKRcyevze+40bembzI7KAJBCmhly5Y4fACMpnWGZuUJtpaBPbWQNrUEAT2ibP/FcjBYgG2DoDIy
yudnS7K6UapLA7s2+h24vhm1LYPlkC7y//4YKxilm+lywUyLgIszgqAEvUCWInkVGYWdUY+aaMO8
oSxyafVhFOGGgkMVo4rXF3gRKs+UFOhuQng1S07ybAoGxtBjPwIqTdPnoqpe1SLYxLKErpocLP8S
OGQCy7uOueInMFAEmWqs0kAvBxdZdloQp+0UMUiCyptOgxhGv50a3x1RdLyOdBGKYHULJN5K/IgF
9TAAqaEvaNpD25Mn+cSbhg+iggzbK/+aMGr2xVDvBN0uWL1gNOf2QsBXTi0JvjipmpfBTwvbV8FM
iFea4LJc9fpzgRoqz+AVNPkRzJhArYbOraeaah00qK3YCWbr/Dr88Lv+52Spr2GmOSrL7xW9FBiN
aFu5U5E2zA/8CtuKyVbb7De6eRv3G0N9i0zq1dK7KSLIWbUYvEEQ+sLnE35bW1NvyVAnzFGM0R7D
h0EdXTC3dCLmjbXTAPW9/8cxZK6/p4IyQuEbWFgMsfJkeNOtaZ7qkch7Zr2B5VCwj5eBCB4as5w1
jh7WxY8vmRPY7oMKzrI0jipYKDU8ra4fgBU3iYoinVmuYZMIq87tcShTZoYt/FdBVdke5T72kiYD
46JZiB7da4tB3c2QUcqHN+HFkxCLp1KqmrmTBoVNyL0wpLos6uCmB4vOnIaGLwat+Pli2kpOksqH
rxpAyWgXPjmaGWk20hjfhTK4w2udHHy1PymSdKC02ksqeynL6aZQgwBJBviaOrzPNTCNpqQ7MJRw
fQkRWSBrIjKjy2rM/FOhQIGHCA4p9uT8p/ZVRwlNQgZePmNTKNlODudshIwuarSRQPG1jKHFOnwG
E3FjJXCsTsR2tPLlIbCrQtpbg+wrHmLnv6AufNAnjNJMGX0IOtMOqkeUyv7+egSIhawa+P40SEue
g2RpVmbFGMARwAn5tbw1kNcRdnVdysKAFEqZmVkopBAvA/Y61adYtXAshw3ZSLc/Bjf7XtsVGpzK
2t6On9XbI1iP7/LjKbkDhejrk/QMUuIP0x0F613xuvMvAVc2mmiVy7C+jctcAa89w02SeHn7Yo7V
hFn7YQdqWnBGti4mPx+VAq2BpBa5/NUvCh6yGR0xHF+UQNhdohwCbD22vo9D4wyFckzDScA+tHKO
scQvGD7izStUf1rARKyx69S4bULR4NfK/YEHC6JD2KeOtmrOK0HcekoyCd/TqB51/7bL37V5cOKR
1u+6vmuFVHWzrZ9lJGA/S7zZ7S8ey83YUH+MYuZMpcuq22S0kU6CnF8/HXTpw9Lspn+ROkEkfMlX
N6Mi0EY4AKOF7Oo5atIVFhpIUuZYO6nZ0gfZY476De8hw9XdbN9tk8+ff+3tzxC5dWqIqbIiwDVZ
ZPLdqLHDEJC7SCSBumaHoP5GmxIIzcBcxHkWo7QiS0rR4UjS0auacV9WtavkkcAO13woDASs+hTs
9Bhy5tx9Y/XJQAeGr3YXnoZNt6+dxFE+2En/jG1ZVIBRV2xkicaZPdJzvjLmQGs2jSvtjG20VY7V
cbpNbTyk/5pfBbYBNiOkp3BXghiZ28M+pmGJeB6HbMxtrf6Ft+t1U7gsnHII83oXNm+aBWnBAckc
TbHTffOOSQxbluzGNhTIRHeHyfmOOc+/rl8CVceNAzErvNAVvlwLsvCJdkYNHyU/K+SgIQ+Ziuxi
JUgz0DUIGdn5QYvQ93xlPqlUvxp65uT7+I7ePBs/1T2UAw7yU+KC+752HTwLpci9vqFrVq/DZcH9
gvQErotDTcaQ+VoLn4WaSV4ZIF9AhkOUO72cIZo3cAEze+fFZxvzwAyrooPTuEMiunMREYLM7llt
7WRr3rBT9WrsyqO1nwSu448sFu8jl8DcaSMFSL0hzwUXtf0YADzdYQ4LXmujPYFX6VdxAmeU2wUg
u1DvYrt8kw5e2zrpd+jT2GRfipzn2hWx/DnccTSkGFJGBn5OU3tkZz7VTnc03MJTnwrm1pvBg0TE
rjxFd8mbg8Lh9W+9Co4M8tzGBifHv/oDgzIrYbCwyDi26TarU1fpH5LQzf1fVe9mIgnmFYs2wWSI
6iSGxkBwxu192lWVbiVNAWYg2TFbqBL3Dw27j2hkpzHa6ET9Myu2DJFRlFQoaOcIkg7nRiaNHSmR
DWJOkneT3dBPCMvCUaiiHt/ZWDmbQuyJqO3PswDql+c4uaYUfhjJ8/O7kg5TrzZO1pHBuf61LitV
uGBnzh7wP+D0oAf/HCYOzcDI+hFH84V+mKfGNW10EN9DnGBjQEmvdafDPKR8QzdgTBRgr23lEps7
r2VcjSCaBzaUGX9nr9UJDVZHjGhSGKlVOBNGbuziRX67Dru2sUtUzmBoUsJgUqDW2XHArJgq2NKV
AwAKYmSiMGYDDUid+3BqC75wGuLvS5VXyHZOEzumz0p9ChNPDbajaBJ0LVY6A+RuqyJJrKYoZsCj
sW1Oysk8TkfLk37VLtoQFFs+1gIPs7pEXFQouSFMu6BvSHufQIoQtmmy4dBaw9ZHVc2wfmvmD7wz
bV8xt+hvFbT6r343NBOjOAaxL5z3c0vtu7wEza86h/DNzgx6DC2K2hzWLn6knnAYUAoA7z3/8NMh
B8BQuGVOgLS4pL+m0R50Dg2yGGj57V5U8BxM96j0B9H3tN12CK5Eke/aKpe/gPuYCRm6ocx1nAl/
kg7oNVLv9JJ8Xj8Clz4TzcWY0sB4PN4QcJ/nW5lJxA9AWVU4bfIkgwg1PjTDsdHvJPmg67+uY80R
xbkfO8fiPlvSxxLLZv88tt9NfZv7djyclOjGEvWcz3/oHAhKPotvx3mySksUWAe+XZzInoR/0eix
h2iAwGutpNNMjAGiCAbmErAtc/4fOq5jNFizX8YrsimoowwoIUZ3JWOb6zu3tqAFEl8MhWxKFIWZ
AkUpbdplur9JrNibeuPxOszagkCiqkPg6c8AGLdvaaKUcYtykxNU2Z1pBT+GKrqRkXpBr52g8LAW
oVGMUYM50DQNBLvc5kGMCYIwAbCgP3Bs2+B+Go2tWUHemtJNkjQ7WbtXoMublqptDbeq8gSRiFNQ
E7vUflRJIlj6ZefYHKZ8/R5+ixvoc7C6xe+ZiP/GOsXTK+VAivwQJ+F9jUICJFVcE+kKYkJTcMj/
+hwCnsy8ueY8y8MXiXtM1Sd9ExQo+KBBUtkPCth2nBREYfNAtojjcMWeKG56pIEME3NDfEQxGQH0
ZooIaBNGsch2TL9PncBJizA490V8lkAdJoQeaZTbk7/Nx8AtMUT41yZ7thLOZIOyGGSlxkr0ZEub
b1J0G6ZuGHv/DYXzklBoahu9xVoMdNQFp1TbI/+oiniD1ncMb3Rt7tGFRz73xVSZYqjvYC0p5lUV
fQdeNXu0BK5k5Yxjw/4B4ScgwqHt5amaP710k+t3mbmLR2cQCV9fXiswZySw0TRmoerHh/5lbvrx
YGLDpFpDxNrsC608tXqR2l2qOqDE26q9qOqwtn1zBQCzf8gUY2jhfPvS2EwqCz0WDqVgbh+tk5zl
W6sRtXOsXMsQikPBDS4fQPzgRZmUsTIWJWzBUG8wp7Vl/o/r1nZ5T85prrmJCVkbjOFwL/Owr1u1
0vCuMGmUuX0HLqIk7DNPqfOPHoJj8ItBJvB/lx/s/G6ezWbxYJ6Lpq3OcDc3gZvR29h/sXwItUJp
6jSof1+jVWdRtrlAayGtrs8/ZgEGtQA9S0p8qTCiexa+yRpx4gzsiCaGcXK4owH99+mTb4miusud
hTAqcJVZjgKEX5y3mBDuNJaO+LiJ3M76pmue3x56/UPI5L0KhDQ7Mm5ojrkoXES+orU1Q4RatO+D
8c2v9kH7WqmHKRcc50trxIq+gPhrq2aJSdIekYFSvZsJLibRUOtlgI95Sszxzgk2NGLy9aha7ybW
NAZiqeE4NfdGvpXCtyrYlf2xUI8QKPtb2z+H4+yQBRAOq1rApcXojPJ+gki3H31Iw66JU8HdsfaR
kD1EzQWTrNAF5RxGN2GyFf4EV7782tB4B/mpB6ZVHmT5bLSrCCKeS/ekwu+ik0kDrQ3+5U41kZo4
YPN92PcZlKQ2PX3xi7++p2YMkARYqOuh2Yy7QVjc0ZH1GFRq2S8yPpbxCWyjscjRrtkc+EkMRG6o
zV30eCoKOnM1c0ZRHgwfE9b9w3UjWHVGuDrwsvvj/7itauWyyDG1WTgsd40CfdWfgX6nxXuoi0Hy
1rkOtmYFOKP/gHHOCLndsIUWIa6NSbejZE/MB0IK25T3teh9vmYCJvJFGIdB4Iuu6nO/14C5CLJt
2LgSI6lptbUgUk1CUUi0igLmZR03r4asG7d7YcUIqrQpxG2kh9HCfJ71KJmiQbXLMAL3xQKE2zVa
9jPrIEAmHE62r6NPCAPLoGf6Fx8HJX1ExUgZY6TjfMfyoqjNJAIMTcgxkyVph6xCbevB8GG2xo0a
+JngCK2aAyaG0HuFxgWNr8WGJMzBBou7yc9+zoEEOGdLaS/1hduw7fXFre7hP1BoPzlfXKfnTR0z
BnMYd3WyL/vChhRnKBofWrWHBQzn5gyflG3bA8ZPPaP71oaPRfR6fSWrm4ZKjImCFjrd/2TFlxd6
HOpVlGaFo6oPXbxpyEG2fPRqOkYkcA2ri4HzkUG2Au+gz/+/QAp1v+i1DIvp62gDSkonTrP3AZN7
1xe0+mkWMPP/L2DSrKcG2nMLJwEDaho7Q+SNCni+mKAKs+ZK8Qb7ZzncWY0MM1WVBDgVRkm0lr7m
UyCwMtGOcScVyeMgR8GlcLrgkUR3kXU3DYKAbv3zf62C82u1brUlmQ25VpJNGBxbsItgxjrUmd0J
EwezuZ4nd+B5vraMf8BUVtrXpQ4wSF0lNulr5FSnrUQ+jJa6jZl53aSDIrSNnZh1u2Sy/tt+8lGD
YcZ+VwbAh3tt1edO3/q1KOMv+GZEPTc/Ne2ihBbASCvLNcM7ubHAziDwrQIbJ5xvLQ2G2SeIUjhK
4FqN19ENUQ+mKHW1ahuYBkGP3awSwXeJa/IYhgpkh52++PRzuxy9Ln1I/cAxIdZy/dCu5GxhGgss
ztRDpY8GswOWulU27SG6ZbfsBVWunTlB82kmtbpvd+bzddTVbwUeNYrNwgXFX1GhbtZ45BRwrzIE
b700+2WKPPj8uy9MfgExe5GFN4qDtIGUHNZl5K80/zEo3xPL6egT7VUbvcHX17OSCZt38WtBnIv1
wyZV0hILKpitRLb6LT9WGNyBeJNrbbWf19HWzeMLjHO0YDlJWa/jNV1Jmq1FrRsOg4P4uyc/GHm9
jnU504Kn33Jl849Z7GPSDDWpQ4DJ4y7zZCd6BaOBZ952h2qX7K0Xyba8zmugU6Vtq8fILUShmehD
cgZaBwHoFBi2NqzIDk0F3fBG0LWraN/U4qZT/8WLY7lczi2j/S+pAh1oaq7/SM0xstH8tBkroeLX
qkv+shheV8HUggINhdjXJvAq/5nkrolOpCneDa3LjB2LcIeGO182BQd+XsCVc8E3fk7KEJLCAK5f
Ja+dFe+t4Zn4MyZmXyEtraBcU1aCCETwDTXONzN/qsMgAWjbV5tMfQBDJyR6t2r9DTSHdtZ/Xjda
gXvhW0HkKSkTeXYveQvpNjNzqqZ4TKHUfR1GtJWci1ExQTZ1GWBk9klip2gOZusj+7gLe2e07Fr0
fhAti3MyQVqE0qABzx9vILLD2LNaPl1f0vyTr1kH51q6Mi1Ka4aY+qdh/AHB9et/f6WL8cydXHQF
Uz8w4g4AdGhep1F6xES2XSjhQ4COrtEgxyi/K9LAjTNj/x+hOUdSUbWU4wjQhs5etaw9xWlwNM3x
kOrRobJkZypyG0KgHhlkwf2wbv+I8iE0oqH4OjuDhRPN/TZrtQaXUSzpTip/ynG4DbNpo0y+m1Xx
zcQMQU5o1VYQQGBUCY9mkAGdI2pTog9pPJ840nsGpMNzRbf7RNSOv3oVLWC4g623tLLiEXvagJog
o9Sp+uiui1Q3036FVi3YxpUCGKxnUXnlVmXg5RfpGTKu/ocU2tFH9mDsy5tqF0AQZ48b6BAPtvIt
3osq9qvfb4HLLdOoGq2TQ+AqjWI32azjum2YW8kTRsnfkk7go9d39avAzEWZOomnWpVQYPbZq4R+
XvpWM3cCB6zobl0LZ+eMPPiyDJNczP8SoybthOYrJ4rk/SBZRxz+h7gybrowFJnKmrdcYnHHT5Hy
HBT5OAODmmxBLdNDdGraIavjWZIdhIg1MSl4/civ7eMScv5Ji2OnZ0FRphGWV6e/M3qU2t9D85KE
vhNKmnsdas1C5se1guZszHfy7ClV20Hqqp0dZ7IxfTuMPlR68ke2UVWXBkSAtupGl3CcQWbM1Iq2
BlyJiMjU92mo2hJ9oOgymqwTFBGK7FdrGALYVXNZLJK3yzBtzEKbPyE6moZtB5bEBA0rhrq7vplr
zmu5uvmWWnw3jZlx0iCP5bD+I5EdObxPRkGcN/8J/qKb8/Mq6GdBukm5uxRFojYwSvhHRtltV/iP
iBcEF44IgrtLcyYVlIGzE4KU/gmVHa+sRQ/F1Y2aJ1Ghtg5GBj7xhqRSGeUUjkLD2LISfqtlcPcQ
5/rXWD24/4BcTCYhERbReoDzM8fxY2qeIwsMHkj4Dj9q6SmOlAea5ALI1a1DwyuKuqDnBOPTuQHk
aKmgfo2vk4wflXWvF+71Ja0a8uLvc59mkPOxk+YAMTKMHbWiuzBBx0DAJM8f/03ug6Kcix4F9CKC
Y+d8LZB6jPpIwVpQ+U3twJQgFt02hzIUKeGuG8M/QDqXGm3NIVUTAiC5wJOiePu/eWGBS13fuS8Q
7gaWETeZEV666MDvMKJh09jGLEoUCo7nSmMlyp0QgEYSZNYp5rvUUfFWaYd2ZGd8IKHtP7jDJzsY
MbRCQJX6FmyHA+ic3GTv2+lB1AG86ssX2JxzzaW6GamGNUKnjNpBGjphFmGwbIicyRrAkZvueryW
rpvkyl0FVkJMRxMKekLUIc7NJM1JHGK+DR3XqRdBjLR7QO9hxVzJer0OtJarQAc7RL7RfosREb7l
Nxnz3MgMC52ApPX0MdtK6bTxEwyyV9Ou0X+hKeCWIIEWj8YpJqIuh7V1ol0KvcYQpcfkIX8cJrnP
+xg9Q3pbtq6Wqrmn9IlltwlrwH+r5q4cloNgcy+OBsgJkeNS4O4xOwLBtvPN1UvV6AIlqh2FPfRS
6Rg9CHnySeBVLneWg5nXvri39CaTIFcUYlhk2ld0U9enqX81JMOJ0vc6fpHZjpT7cnq8/kEvjiSH
ygVWUjFkjZFhcXopHZLJPPbpbzBlv9Wj9PM6kmgbuW9XdTLLc4hS4Ca4J8rL2D01/u//BMGLHsdt
2uZmgMWoyeSoEUaltWkzpfl//FR848tErZC0/bxpII0sD36a2S3dV+pdR7xe+RkrR6a4spHt/9vy
ONcShEOnyCFgA/JegTOrUx6I+nYd48J9ndsD70kIBXVKVuArRX3tFB3YAnvpndL+WBH1R0yfahoJ
4jUddn0WTHGI8/8v7H60kirVfSBW5Y0vN8joQAFJcIRXMcC7AG5dOElosZ9j5DWtlZ7MhtGGt8zq
Ib9i6az9/Bd7B++LRiXkV9GHdY4ip5iLRgMhUErDHSWMLd/46eiqeC+Uxl0AgpH/hsftXBZMYwLu
NHiM8rHS7/xkk4ynmH7L/IfB+Gvp5PkzLRbHRVWmHKG31wDYiNGLUN9XqAqHiSDxsOqNFiCcq02C
rk/iGiB+X3pgqHHkyHLklN7VbBKY3aqhL6A4d2ug70VNZECBclmzNr7vNdOPcXjS1KPU3Fz/UKuu
D2K05A+nDubMzg3DbOqxQAUGrg8E9WN/UKgblUywoMtk+/yFFiicOeS6WkjpfIHQm/Cu2k07dF3t
sxvkpdTYVm2D2ZGr7TFidpNtZCSIb6inCr7fn9rLxWFe/AbOSppWB4dVgiPQfd5BnC14tWz68/1Z
JRAcLd3OIVsTsyXjG/VaB32KBFOLuuA3XBaluH3gjGgakiGrA+xDO9q5m/UOeRyO9bbbxT/Kz/BB
+x9p37UcN6xs+0WsYgAYXsE0I42SZUmWXliWbDHnzK+/i7rnbM9guAdlH5XLL6pSE0Cj0XEt4Aq7
EasV9/IhK5sadbR2TqOyQp31toZccPiZEisZ+vp36q/gV68x2WKyp7L6Pdtrd6hyaIabi7zezctz
JH/9viNDGhCCaZQY8unjjZWz6CU4ADYBZy97mJ341l8H39RboGCF75cXLpLLPeyJ3lZUL3Dm4FqI
Z1chN4vkCrnHBVL4vjsjBXDTpGF1cfOeBNfgskmTgS312+XFrB97QYH5ZKtK20BLrHUTUU/PIuO3
1mkMrDlM1j6XSHYQTjugJxacnUB1vkaKj46OFEsTDTOk9tUvKSBOlu6CKAP+5nfdYnA0vMuLFNij
rxt0JK5ESmOI1r2smwJcQLVNtZcuFblJokWtJ3okJWsKIqcTpMjJR6u4be/U0QdNXbD2skQ0gbLt
Pv/Rfr4Ji0qAeEbnUmtLQ4uyjU27e9lw4qF3etB5lU4PjEeje45DUQugaDO5a6f2tSzRHMvsel9N
ricwKkYisFvRVnJXrNPmUslX02IBSnf5Meb7fPHNoHAbA4C3uqBHRnAHvvBMjg6Ozk3cD+vBYQhD
6l3UiOUCapnsF3VAbep6EhGHip6ur98fSazMSorjBoeX7QEgrV7lGF4/dBiky1h803qAh9Xsb7P3
lPnD1cgoE2FZbvqHf5TnC9/8SD61FvSJrk+nlHZuaBhAWRVcudX4n9sVioYF4IEDPYpzAYZeohpR
4W6Y5XMf7Q3ruqufo8w1RLlkkSDOC6CTVJd5AEHV7NXRr0W+KiY7G51emHTYtsh/lsS99fow5tFE
IAkVzHJk8Nay2mClaMh4+2wQvINDHGA//Nj8nGiykukpnpdWAb5Yaptkf9kcbt+uPxK4GzyDP3Qx
gSgGrkRwK8c1LO6K8UUOQymxDPn3djQEz8xXr8+5PvyRyd1oABlHVi1DZlzUL6kKrLk8K2pXtrJ8
Z7QV0VhNJG1hGUKNj7gnQAmXQM6R5xmgY4pY0t7Vfmk/+qmUDg0xp4M8TtUb6aLs2yAl5CaOwaTI
TGuId/nSdk5S6Y1T9535mY1y8NzP8vwOTMsIfJcTcWawqVv23KElJAVO7i7sDOTKOqrBk6ms9MYY
wuEGGdwQI5n69Jx03U3bxRQcQyWZHNR94g80Qld7M7XobjFa8juS6wS0acDet3WJuok2PcqVkfvA
yHzUUCzakVKlbiPF96UVS4ID3bwDKxg9sJYslFS4l0cqVKPp1QKBsvIKELEZeNCGxkh6mES0oee1
lNXZPBLFOX16M1qmBOZQ20rUPab/WWTuKutVAkGNYlynUYV+ITcT4YptWWgEmCpwlAnaWFVOY+se
k50FwZ2Yp5wBM9abi9Qey37f0ALlsWQ3563TdqLx7a19BTsJmk5RjMbCOSNWDIPRz2aG8AxNupnx
MNAEgO9VC4fMuhH3Im+9rMfiOFMWRAaV5AniUvlhzFq3NZ+SLviHIPpYCGfFjMa0FnDMQlfK3wVC
pNRBu1zdAHykvFYDURHsHBwG22biCQDhpIJecR4EO86WsZqsqrV1zI5kwc/RZBVaDrUANLvfe9y/
tmNWMTNr7jDLLfDUNzcUXBSrdGRw+QRFJpEqQVUJcaj6C/Brdry8dCIHesuYYnjlPzK4Q6tzqjXp
1ODQUFWMF38MVcdI4EG8qv0v0goc5+0V6UCIw/MJYEbejGppGdIRNx3kqkyODJe8T/Sve4bXM0Mj
5f8I4QlC05HIREpLuMtl+4xudQ9QU+7lJ0iwDn58T68WqeglrKOtYjdC9FjPna0Pvy5L+S9O8n9e
HX4lc7AYjd7i1SlCV6p8Mi0sx9Qr1X7UMrOkw1ICGcy1BtEl21re+oD/zxvOLw90x4ral3AVCsSf
yiSxACYxFXWniaRw+VHJyAoQ0sEqoueV0t4OQHgR/P6XLQT4CObZAIVn8LXfsLZIWswQ0ieP4eLL
49NC/RQBYhD6eexJ7XsTPcWi/uStWwUq5/9I5V40gun6tpkgNWh/xvVzrCQo8lxLw15LH1MqSpdu
buSRNO5Ry4x45fuANEl6jbUPggrLInw512LfmQd0JIR7w+apTMLAgpCkegj6O9W6ncD50JdXc+S0
YceK0h5DJ60kgcHfesSOX+x18Ue+fhVZWbZ0eLGNJvAXNL/mcXTbj+FtY8w/jTb/B8cfoBkqaGvW
miRv8C2ts+I4gT0clOcutVU9gdlNHLNCFDNkzmXt3FKTY2GcmiBXsaigZIQ3MjwG+r1iVg76es2s
dKixj7q/HTiHXYSThYE+uAKw+Vw5N+iLygiUvgUCT+WHRgN0CeoWqeDRWr+Z15NjKdytTmTQ2IB7
A4la6zYAZJJu+Kl6n2QCMVsu1bEYzrfpx2mZyQIx4VLsso747dCzRjO9KlVBRrZST9/JSic4sK2b
diyVey2tNAitsV+lqq9W/6l2V6r1/bJOiPaP0/cYE8GtqkBEjyYjNJii9gFQ1depINet8u2yrM3l
YEIRhZZ1RlbmDEdhZHk3kKG1R2gCKrgY9aWvTfzXdCyr4iH9//XkE4PvA626MpmVHmIoQjd7Mq37
viKfWlj6uXAcd8NcAEkdBOR45NF/wRe8myQGinraNDY1d3cqegrG4VaLRZMU6zlzSn4ihbu4xUzK
CAwzDeZPdtXSsUbklm2oNwQAA06WV1YU3nWf9Tme0wACaNo6eWKwRSFe2X9fGsrkQPqI2py1ZiAo
fGzYIwAurqx+lg62bn4WBWgUuhY2XWPXBrwmIB9POnkwqoglxaE7VDR5uKx/G7p+Io9/U0LU7wMJ
8qTB00DJ1Ja7LN8vbSpY1znukwkU2qOFcX5nEel61kYQpIC+muyByt3pftq6qfUMXGm1LhhSuOAl
o0sPzHWQF5GFXV7qxlU7/gIeIhyBEUgLVHzBPN9k88xUc5eKaMm3otsTIZyFz0Oggi/r+aXS7AYT
SBoTMJNP7aG1ABVuJG4Pa4IpoMcSIY9ggf9FOOAlANQLME2ZuxNoRljmUe0bW4PTSNEuKJngEnsp
yGMLROvA2GMSF4yRArGbFwWg+f8rlTNhUpWpo2wA1tjoPcxpFaqN4NCTwSZdsipHiVU0Dr19kH8E
cjo7BlqRSwuW2bQ3tXlnTXY9CRK6m1sJMgAFGBcgljljRJmJEVRhNUJd5bi7naxocuR6DlygJuTO
ZBWA8NbVnlkRqkWULDobSKkJ/K6tdSq4NaBQxbA83KFTvyvXQYCUjktjhwhvg1C11eU2Kn9evhVb
1vpYCKczUoY+nmWYG7sAv9SU/shUXw4cy7DHxr8s6augwJvsY1GconSy1TRBhvXo4K7XAWr8ENOX
qHqcOt/C5NtYuVl6E2Xvmuwv/W4E2SfYsWNHNV4vf8iWzTv+Dk5/uhhNzGi+gs3LQ7vSngt5duBb
swTdZpclbZ4gVRBqY6wL7aGci5SunbBRrWLFgA9Bd/KsShhZ8y4LOW/Th2kFHuJ/pHAuUWRVUUYy
SElo7iitg0kSU74awGJe+4BOH4zcC9RDnN4oBmB0Xmn6GSzvbST4jK2X6/grOG2dK1keu16B8Yld
AygIANXEyC3rInDjNchbdv9yO1boQoUQQOzy0Ja6aQSYMYK8ZbEqJ2sp6juG+pN2VBQlfyHMnSku
gld07wEb42x2HIMdQESIsMGUgQvNnRzKUDGz0Y59C7jE/cLATerGV+BUzD6b3ezFh+Tld+Xmd+pt
7Cg+HrMXkC4e5J2osXZTv/58GD/Vhlxq3U8jPqw2H9MA7EbLPtUEMcuWgVDRCgk7aKzRGHeuizbO
WVZojZ03z7UMG5HsuvmKLq6iimYWtny6Y1GcLYpnS5kWDcsBFKyMukWqisqCIgmcCcrrLhvTBRJK
kMm0Cki8RdWkzZfjeBGcdUmmKY/JABFxsqfNdUTcMf8ZybuEuL0E6PyDIppt39ICoHOjlQUuPqZL
uEX1TZHPibJqAfFk063jgyUScc7IABsDqGdE5JYBl5jH2AlIhMghgRaAZPKq9Vrfspz2I/ZfZqf3
wGLjBHbAUInMgci6K11J8B5vmexj8ZxmAJQREOTrEuOqsWXYaXjGBrmKRZD4m3Lg6wMuF0Qa0PfT
J9fURzQ4xVjmPN3FQG9P3vXyjqqPly325oEdSeEMtqxKowWiBRhscHDqgCAHqF7be5eFKOu38lYL
IC4aho10lZKv3x+lbUY16zFpjjy9Zea3kuw308TM5yB87hem0fI6te5zyCemZ2WuJbppW+KBk4QU
MMG8uwyoy9OtzGY9jJRyRm/fdNeS0ZmMByN6oaAhLr5LgJheHHS8mLgU2p3613QrqPHBX1qn8VDQ
UnjagdZA/KlYBB2SsvTLrGonbKloamzDlKCxGogBgEAHrgg/8tenA/rWLR2502qoGNiwPGqkguhs
400F0CWy6HAdUH3giQXkUQHT+hB1No1MtsTuAvyfxvzsY7edGhabApXZ0P4TcZzp0qM5l+MF4qQx
8QLJvNGkiTUDfHo67S5r59fTxGknEHnhXALNeaU24uLByCQDBrIz0I1elSzyRhuUjUAaYqnTX5X+
kADEvnTf0QPHKCg/ImbYCQudjxyQ9potM+O1ESx+a6+PPoh/SyUrI+NC8EFLj07o3zOA3mCyI9At
DuFN1cz/EBBjA4CmidGKlTibMzVDSEtiFJCnKMxikp0TB6v+aH9EOytlmNRmpcFSEWrM1zD2+b7/
EcvZHrUZkJ5sIfY5dyeZhTXrfWDQs2BP7uPDsrO84TpjE2AGrDek6HP209r/bHdByDQWeu37bbk4
nTfbQib2LeUDFh1w3BC6ahjLOLUXYRfLqFXiw4InyasOodN99Cu6dnAIXaVhFQPNsp3vRTOZW9f4
WKx6KjYIM0lZNIgNW40p2sDMl8uavtXhiYP+szDuoDV5pAPou8Di8jE42o64K+hH8qN9iu3gkSIH
zMJH8gPDVwztCM5V5Kbs8//4Cdyh51VKwyzMO3u2W9a73btyIE75dJ/ffLxWN9QfXwIbJy05mH51
5mvTFshfz+5c6f5sAedDWqBlQm0VWyDtbqa7/NO0MZuBUbD9x4/SlzFmBObaN/JoPlq+8TCzX5fF
bwWeJyewqt7RSzg16CMiMZZP7+5MW/eHd8WZ0G4aPnwoNoapXc1uJiYotG511aqagSEYdIXgNeIt
nJUCvTZf0s7uA7etgFwTIzsONhrdQWFU7m6k8AqlQzmxzc6W3+LInUSFgM03WPuipQLoHrBfuH2f
K6PSjRH7vnQIrrUO86OEwShjdsXXtH1p3ZktC3t0CRW3i3kL+pPLO795p00FaH/KSsHKv5HSpC4l
6SF/pNdm4oTJvrBC5IOf/29iuDs86pqstjLON5BgwuryAGapD6mJvimdiLzxnI8droWGeQWgP6vA
BeUn5aIi6hS66pJ1F9idE/nBA4CX99N3oOb72m64nr4Btfbzkf6C1+HhKfEAbM8mu30R3aqtuP/k
U7hlN0lrjKGE3QXNEXUGxMAITRMvB+UYBE6NrbLBl73lythf3u+tGGf1eRQ0klkAnudT/NOMqRoF
yPa21c32Yky+pFp21+BopxyzDvF8hwTrz67TXLUdBcZky2AjNU7QvYxI/KyUkUmNVtczrpUaYvrl
9xB8u7y4DecczLqrV4Irg2CKi6bkmVpjuD6QajTPEwhNSyP0JiUExFqbg3jxsrT1r3GWEdOd8O+Q
NQZkLw8WBz63qDCAF2iDeoR1kvVYN6YdU0x6xm9DJcrCb6RqT6RxhrAJlEYP47X3qgjtIrvJGzsI
DIDRfEsBUpa2N0QTqMq2RCReQEy3FuM5C4SeHVKkLQwexljdtkGcSF6SHNNfufY49p8rytaQiopq
W8UGC34EfEsUW9HvxT25CUmGTqdoDlE6u6W3ahsyVS0YaVx53KuZKy2ZTSQUzX/SvmQNgA01gX+7
ca4nWsS50klYt3M9QYvA6b4HiZDXtZo7m4OdxgS8lq+XtWjzTkBl0e0pmxpaPk8fuNZQwhH4iZjo
BGowWi0OkywkY9qUgZjYQgfHV2b8VEaYlDPQVqrOLkFXFA8lANPR59+YbhqU10NRXAXjykIR74yG
sKXtQUcIovtGs1VKBbA26ta7gt5WgJTiaQFhGHe+6pCH2tA3HRDCTbcCtQGxgut8zvwpmHZKpnpF
kXnG+KiUup3Lmp/1875QFVabFWtocgAKHEApyj1AJ/E6vyXFzxTFStoDwijNbubYHJnUZSicGwLj
tWk5DRT2UC0BAzrc8NNdTIkaSaGML1fqHwYILC2mdq+V6ffRPRBdp+Jal0UcEFsddBjq/iOTu/VA
12xkuYXMsE1ZjK6DQpPscHRzTfLk8m6ybpQsY1aP7kSv/4e08IlwTjWjLFCnZIbwfpSeACZ6pZvf
W6VzAYrJpqBmZH6/fBc2vb3j5fJXrzAp8BPW5VbotUSOLypeUySkdeLooc7G2tGanRxipIgg7dKx
TPZjCdbw9zhfG9ZvwdesqsgZ+JP1rwbyyPdEXSwL5QlfYyStY02Hr45h6qiTuwSpawT3dfFDBkhB
kb7U2W/JfBTIX2EIzuQjeQvyG4Ixdz6jRVOlqcECj/1Xvzfwckn0jOyLqu6pzhrDs1L0Gopq81uh
NCgz/iNzNSVHayaxolQTGWB7s8do8Mz4apZ0ZmneMFWsDAW5wQ3DdGLsOWnRPGpSaOFR04zyRwGU
lr3VqY3A5GzY8xMh3L0l8SiF5do2GQ/hPgxjW6cPjR6DKDzzOvIPzWuQhrIfRm9h4HiaBSMBSOi0
4NW0Ytk11MU24xcljr93penNCRwERYSesn4/pybHEimHZgG3TUmGfu3YRD9vpWa7oA3tNPuHDD/E
oH9nRegA8AJnDSTAt49lgmZe0PECiExa3mT552WN31C+ExHc9Q9UUHCra++pnBQ7JEaZPnlr20ER
OlMU26qIJHNTM8BMZMhgLLbOkCS0KUYDWVljSQUbJM1rg7sm9k3QdRezc3lp237NkSxO1YfCmpt2
hCxjKeX7uaturFgHrpPlVwO6ozVVelRJ3DIFGWUAPGXzfYB8j1vT6KrP8uSuM/P8SfBNGwYO9Cx/
1s/dDGuoxsGK8U1BnjxrZfuWy9VtlqUfwficowCYBoEzSoFP04QtpECwH36oeiiyORsugWUhHYto
F4y2QLE/tTlVqKFNvEZrXan4Y/2z7xwrfckBlyRY7pZDeyyHT1NRqw7kFqP+4A7NAM0Z7wKnRzEb
6K3U/yndzE57t7i5Ez5KB929LHzrkh7L5gK+wRqS2ShX2cD0olnioSK0zzXRVp47KfAgkQhe6baQ
i0P54HQvSd+lalnLmd0DobKsfw79k74Ap8GLpJdJvcmj2Zb+1oNdRaJUgK4ndO2C5OhUJHDTwzRp
4DFmI3KReXsAa5vAhJ9pyCqCmIjZV7IINMOdilACJV0wpgGntD3I2bWBQF31rfHh8hmdmYNVCh5b
qqsAmAFlw6kUE+wMgC0mmQ1M63sMCQF5qH6czdgN+/4WHPACk7De+BO7vYozoPGo72Acjm+ulrtw
BMs7Znu1vm6vW720DvpiPl9e05necUI4fcAIBOaeBgihdMK1qpmUpE6tCgz3ttqtTZCg4F3B9LkD
ykBLUCSpntkDyR+aEfRSVrWPx2gnBSvQG/iiK+t6pL8Nq/5rt3xdIUqbhipD+TRzNXJHHgtixcgK
YitDD5PmdPGrAn8lalRvAHrd1Od+Tt/GcvJDsAJd3trzAQNIxnSQihYf0MdrfAKgRDQHiuXVlEi5
RwrfWF7D4JbMfteGbt88qPJ3U/u0ZO+y3C29ORbLHSmiAc3MtQBHmpSepPmmPgk08+wdXhcGM7LG
OSgY8+nPJlRCrW1naOZYgJrYVYanRPKJtOvREJbFonrj+sH8RSAUEy3g+0AyhXJ2mS4B7n6E260o
iKpGO+mI3SZvpRS7f79zx4I4I4zR/SJsDRhHUhWP/VJ814q/7lTE1hFDwawEOJxWYvFTbYxJkGnm
oKJnpPth9vukvi9EWbSt0zkWserHkcJTucvqHCVioNY8wbAbIEBTCLX70O7q+1oRXO3NwzlaEGcU
rdSSaxAOZfacXinNYAMMjo3AMkO/5+XDEQni1HqSErUfUiwrCYAZ8jRkN037zYj2l6Vs2UPU5wny
LQZFZzVnqKZkMRc9gIsXZib4A6TXqqp3Y1gInpKtOwqXEtcUbwlIUzmVDiKZLsSAaTDThFyDtbxn
YackT5cXc+5UQtuQ1MZQAv7HnDV3OHKXGEU/FlCFXnrra80H/A6TYtmegXI4TtFhbN+1EZXYufGs
PnRDXCmzCu0MXbqCT1lXxF9iE/nktZsU/UY8UL1W6SPmU/PMbpaOYGh3mFg6JawBS0MJSqwRI7cl
po2tKmZtstgl+i4vf8GZd/e1F38+gLsWulVnuYHkka3jhSt6LzWui8HLECuHuez2ZcngfV0WuaWy
x2vmtp8GYxJWYZnZVjN5cffexn45as7SvV+Wc54G4tbG3Q2K4CE2FKxtBrQehjMKVo2GoxvNVdgh
G4Io1DG6d0AZ++NYuAnKVZkmZFEWnTB3dUg6qGAYwke0ObAEVZ+gzk3M3wv9qPX3Obrppt5OMUrS
C5y/LXu3wkKCpgf2FJ09p/bO1OYoJRrkRkqyCw2LWWVwUJPHznQS/T0ZBI/fuoxzRf4jjtvruoQD
IRGIC6PlpZhrdyD6VdW3yD6Cq1exPi+f7aYOUWQK1hICfE7+wejixAIuKRBeQDAy105Z3S6yD6To
f1kWAgLQb6MF7KylKIqXsicx5NT543ophtpHZcQx6xvzr1nWVm21QMkBlwizYPx7XjV5pDdJDVMg
K7Yc7jQJbOzeHPyMtfvLm7elGuj2QmcjgIRXn+VUNeIZ2Oj93MBz6NyOOrryMKR3sj7ahnJo/7pr
Fcs6FrZ+zNG7q8RpFUYGhBVDW6DNRZHRpE+6vdprfz0pxYlabd2RqDRdapIrEKWNt8b8kUn3QOoX
KMSW4lnQBBUwWgRM89wTpbRmLiOfg2gHvRppD2J2VWWVCpaKf1rNkSTO7UpAY7xYJSSFXceA+8iU
4HYYBFHolvk/Xg53j5J6IMBchBBKYpD4fmvrmCnUV5Tv+VyzdrqrRfW/zQ1E8xhSFkjQwp84PSQ8
NmFfzB3aAqJbUnqVvI+z76poYkIkhdO6OR+sfkLvq10VhcWUUHpbsuUqVtS7LAoET+jWOwMsddTe
CNYDg8SZ2kgDD01ion0fmM9ug4TPCIY3vc5YTz6NTNoTDfOBxUSvwn7YB6qCOTER9N7GlcYnoGEZ
sxPAPeWv9FTV81ytn2CQT9Vwh8ap6H4oGyYbH0MgCS7BhrEHsw6sLtBW0DiqcxdNbaeyXdaIIKdA
+4klD/nJ70SfdpZUXuehrgh2mEAnuMdl3VhgJiI/bBqE09JFaaZe03Cai6y7o266aM66bBLXIzqT
ANRYZPDRd0j4vsOiReqw0Qa8ltJbFd7mqIMnmaA/RiSD00mSxbKR15CxjKhImW+pIR0Uc/Iur2RD
880V//Z/V8KdzRinFNQv0IQGGHMa4JLqfaw9Kp1oRuCyHMoT5S3hgHTQgtXIZGClfBfF+x7skKEi
8Ba/nnL+aJATWHm4gUGO3tBTg6FiXKjWGoTVS4P2FNY3M6pcEcYJnUCZ4sgBWWhUunlfW24gy2Qf
jdO4T0bDOkxmhe/Lxih1FpAj+ksUJR5k9L8LOZXRnBTVxb3ZWeArTJsEGbJ4WkKDgdEyGN0Od83Y
9YWWyQBkQi07zSqVUWmZXoJxkV+TsA0PVlzNb1OYGcFD2qvaK+lnNBdEUtQwTIiFSIor+q8gTpd7
cMrlqiOZQ+FXVVUAC2kKR/R8Tk0f+E3QGcPBalKp9rQWSAG+EoZgdKXD+CI1tabZRVlGr9VsgvtJ
Ar9igbq3OuyCSi28MWkSS3DBt8yJjpowAMXR9kPO0GsrPH65gpxeUHQOuMgbOK0V2U31oSJubn67
rLJbF+NYmnp6wmHSx3OiQppRj6zH6KfURcAlEmUAtjT2WAynSG26QGlmiFG0X0r+kAbfhv6jLgVb
t5XfMnX0SCPhir93Bt/SBDSytEiHw19/VJqj5r5G7tIosbXqWkp8o7yz6ntdf7i8h0Kx6+qPnJ+x
i8IMUQByidqvYaCszL9lqH7rA3AuBgyX3rWS28W21O8FgjdOzwLFN6jRYZihLuvvjwSb9YIuHkBT
2wBu/yDl2zJMHqUP4fDUp+2VHs6uiTAgTOl+6m6XlD7gAd0vEUAcNMO//C0b79LJp3B70DVmJnUK
PoWgj5xpJXUkWjlE60KQ76Z7tcwFh73hPmHheJdATApudR5bJtCDAnwxI2AgS/2xzErXNKvUpnlw
20vlJxLgu3ZuHyti/rq80K+uCc4oHgvmUVporqSjpAy5PZTLPgDuvxKaOTDpJNLdyPowjXB80uQa
PC9GeZVGUnAtG1kc20PVRp/BrMmS3aW6guxvPtzL6pzsktxUSgYQmwyQXX3QvUYpnZ6HEPO1LCFR
fRWNA71CR0x2Lyd4houwFIQlWyoMXxQVCQ3TfaB+5jQpCZe2iwaMECvSMNiB2d/IZkthFcgrcN5T
t2nS78jD3NPMX+oUzctT/3l5X88BWlVUFdC4iTF4HKfMY/AZITXayepzW5+faCV7kZI/WyPqnEn2
aLURC03ZzqTBVtoGfBjTPYrjrKPxY6c+kj65CZTvk1HZkkZFt+w8jbCOO4LeGfdMVgm/N2YRaKSR
6xyjsVYIT71T7dhY7pBRYkEZudUis2R+n4bcy9qPoKaPlzdm65KjvYugPU9B4x7/CJPIWCQtlsEf
KuUvmhb5Vms864qoELdhotE2vObCkHxBhMBFV8uYTDqtodbzuID2xRsoMCkiPwfN2uX1bBz0mmfE
iCpBCIwyCCepVUbUsswZraPAuUC8TX4M4FtSnHzBHOkT6b2gZ1G000AVkIWYvtLusngfhTsZ7V1/
Tx8AJ+b/M/ug0WylTTg1oXKWLBIuFpJwNAfY9K6fCzubBI7Uhs3AycG4GniVkMjVyakUKbPg1kZo
BHS8m7vv6883nzH7yn6c2S5iu53A3z0/TLTLYs5jhZPAveY7v/poMLSpxosEuBSQVjoTfVPV56l7
u3yU62efmsJTMZzRh9OogfgGYvIJFJXkFmjxAmU5f1ZWCYh2wH0OwpAzlvhsjpWcQkKp9e4sP4HY
IS0yP1vcoBDc863FgJRkpc+ABQJn/OkZ6foSQBVgf1Ir6e47QCYfUO4UgTdtFB5PrQm3Z0ko0UHv
mhy1D4y/1AOwxKSZaUp0uwSfDVicZ4mEbEEUMYkyd1ubiaoVnks8mjDy3ArLEoACS9HCwiJQjocb
FQNOcI6C6XpJRWWlLQ08kvU143nkmsQjRgVAhpDb2oJ2MAVDGNO1Fl+bohhlc03rqDBqfxZaHDnP
Mo10ZLR1+B05UjUKIKqMzOvn26x7K0Q4uBuPJI7uSBZ3i6eBtH1qQBZCVvjkv2UFPvlOXwlPjPcF
ae0YoC1r49n3y9dsY40IwCwUvoHzgCVyj7NqmXFrkLKwx/wzLCSmFniZCZOTK8NK3H+QheQC1AO5
Q/yc3gJpbPIi6asCWMZo7SG+CoiGitpRC6SUvy+jKphvQEUaPgdQaHj3termWg3nGrJaX1duFgCZ
tZPCll6wfxtVp1NB3J2rtLnRswmC+hygnzdL5U/aL9V0J6RGjZ4NxTUqLbL6XJZ7s3V70WTleq84
M4n2W1Twvvr8seLTPS2olYVwRgs7oKOzopF2sW6PaxXUeEQPoa1qv1LqXz7Hjft3IpN71zRYMzUn
kIkxQ89KPCUPdoZ2RTtRHU20OM6oVHVHk2pqUHYHhSH4PbCoGYw/HwoNnI4Mdix7sfl6eXHnMTLO
88+GEq7/CjR2MzrysbjCQKbtqmudhbwtLUGQD8iAZv/30uCWorsf7gFF48bp8c2TPDRIniPwL2NX
m2s7bQ4S8ntpPXnAemVT9deEUWuC+0gid3iU9nExGjLIIJTKb6efEmgpR1P34ihnktA72TIviJl1
4IIhloJjdro+NGUlEUaYC7ubSmcuDEZ1CVQBpaOGz4UkCtLPzm4d5cHQJZwgOJlwuk6lBaM6Dn2v
gIEBjV0YmogKFumqncg3ZvKAiO3y2Z096qs0TGWj4QXu3dnzEMUYzMgCSJOsn5iosUcicIHOwQo4
CdyjEESkq8sEVQjdXz7iXbb3lt1vzZeuqufYfh9YautMdrC5XiSY6j27eZCsGxgdwhwGnCOVy90M
ZWvEdWZIrJARCSH70N225XMyJ6hjAxyh3VWjiKZYJJI7vCwfEYqqUI9wfstQ25TBqguWuMyrlJ+D
SW0rENy9s+CHWyO3u0DR7oYC2Vo2Tbem6mmY3lfivzWVnAzueQ2WcMmNCDIimOQg9AD5xyTgZouA
zLd0EcEVMjVIdEIbOTuCcZo2UmPIaarvmQbm6kqgi9ub9UcAZzb0tJsX0IdCwPSIjISiPESTwD0Q
rWFVkCO3rqOzBv5OiDCj0KOgxF6ISMcEIniasFJJkNVZt6mNdEbCZ9n6J50yMCe2evkG4byBYAJj
HMBNsIakZcCDa5pvqv7tst05n4ZdlcpEmVKzgI125tuMegRyuAGr0J9U/8fgpM/ZfgS1vZ/uC7/d
iXgNz+czOXncouqC9rJaQd7gKY/Kj+GHan9LgUfrqPeH8aAeDEf2RbwM59U3Tiin0aRb0ghtZdjJ
MHXCmtpN4yzW9dDbCQESk3EXSQ2r+xjTfkA0E1zbTT0xgSJnWRR5wLMW2zDVU6PBio3gps4xXPy3
MfTX4v78fe42hcMwJH2Ovy/Nuk20ARN1TF5uMhHhr2gd3JWqgcFI59XElYB/yJUdWNZsgTKeOYOn
S+HRCBvSS8kIelKGPAdIrt7ih+Uw7D5a1Nw+CyAw6F7uVU+1YAP/i07+Zwf5RE8cWPEyjRBrqfb8
7SH/lO2Y5fAIr8dXYPnk+yfLyakgY3BOL7ouFv8UIPDDzeAjmF7uJRm1JAlsyYAPoh+qP/vmTf3Z
Od+BS8vmuwh3IXSAhfAkX4u65s/De0469yjXVotOiABX4v+R9l07kuPAll8kQJTXq0z6yvL2Reiq
rpKnDOW/fo8Ki51MpjaJvrcH0w8zQIZIBslgxIlzRvB3RX7x0jhNjeYzX1orr5FgC1y2n/1ag0Aw
Uj3ArfBIoyKPSTHNIUByqH6qF8VFOnxvbMl6eCjehl3tAD2zT2V0bAs8ao6wz540MDzjiEFVjz+X
GsvJNEz9gGEOaeEYuleizJAc0YCpjttS95LgWImqnouDNVHQ1wBPxCXKP4NZGnRtKWGwee63vuzT
1qnWdK8/ZE5/GFegFrrvN8M68f8Z0TAP9sQwd7YarGqqTobh1D42sjOSJw1oxUrfXJ/UpYPg1Ax3
mmItUSdQYEZW3s1+rh99XzewGKueWuCONMkMAiUAytNBJhJ9ebtypd01jhMeWOgZjuU8sw1d36tb
/U60LxZOIDRCoF6MHnckMvhGd2UoI32qobpYsWeCWk3ljdp2EOnfLgRAsILLYAZIzGRM59GJmszd
CfWEc07zKYonUZ2iaB0JjtOFdULSAhQX6O2A2i4PwZCD2lRbCpr8xH62zXs5Ekjk/TJVnG0uZCB1
vMfQMAZW4Isur45UOouKPHL3g2e54ca+VR1rnXjBqnKaVbxP/Waf32toCBpc0G283PVr/WjgpUGd
/I7d4qzZB752PE5r6hZbBVRGz5lgDi5mmvvEeY5O4sDIihsJMN4Ine3HtN+nhq8G/7odYAJriAe3
DR5zNLudm4CoL7HrnkIDJ0ELzYP2z13z8++jpmP8Kj8CfHL++1Ing52gh75ko/6Q+rFvdn20or0X
iSRUL3yfM8TNVWgH2BdhGblKMTl9sIvNDy3z5VqwJL+yMrzb/MZCIMI2gZLjzo9sQlpSLVoMyDNe
Bsf0y0Pqq8eP0gOwwg3XzSHedWA1Ar/zUb/PHtDO5SECWEtPhS8qml3sEQDVf4nYIPwBJ+Z7L9Wc
ynlN+8glyg9oAtpOhEtamNQzA9xRljcJAWk2DOjm7RSsonxbAocqwi3MU8ZNKapu8D0dGZlZNPbc
R9IgJ4HezFaqmyyAtJOyabpZxxsVFe/64bywo05N8T2FZLALlQwwNUx3WrFu2a6zBAHZ0miQDQF1
g4oWSlS7zkeTFZEGNnuoShHtSysdi+4Dhv4qlFTTf9+7KCX/Z4m7MaliTEAVwVKho35LUcUW8k/P
gRS/NKcmOG+3qSXLRalhvtCZ6KAPVfEDr/RZuB4VB+RS7vT3+gJdPung06cWOZcL7YGRbIDFWlrF
L5LtaG7l0n14qBBqaV+65Yog0JeJa84k53+NNOGK0GCy3VHppkTJ1P223cGV3+Lc1UeH5J7kjevr
A13wRGSq4e/AMgJcwhcPm77vUo3pkZsjQ5c+a4af1AK8wW8xjVs92EC/kQpXROs554qqZEwdHYzI
7bzqGDqmY+3M2/xhcGK3XyU/hhc60Md10gM9/qh+7xwBdnOsI3jDeqFC6uWLAQJCpx/DeatV50xv
CjMCY1kC2l078rTRabzpoLnRZ+MHK+oMlVuAdvRXpzcQ3PcLR9mZec6T0ZUVWE2AucjUb0sDCZDu
VMlDAR6Z6+t6WYXmxsk5cJIWSsUmGBp91YGgwLFeKX72VLj5Q7Mhm2n93LnaKnNUX/Oao722d+0G
xRkBhcLicMFtDA4iENUhsD4/haBWbhdmaUeQr/ES1U0Qelq3ExMMduECQrUYKGcdzE0qOgPPrbSx
qsTG1MauDvoT6SkWtqIvHKZnBuYPOImA6hD5vLiBgeaL4ZCznWwb70Pf2kaf01G+1dehm0e+b2/J
9voyXnK9zXpXJ0O72DtxpVQdLDO/AGHkm/bTrqdb6H0D3XwjfVQHFuNeF0XwognlNkmntDTKCayW
6Yrld035c31Yl24B7BFqHhgcktkX4V4c9bbK6hBY00RpNnbQHC1tYtumAHy2GiIRfOzyLYSCwFwT
mNkpZ2wNNx6oDJVp2yEhEqlu7wPjj963xuv/TKCBbHK/dkYIm76kT0gZhO5fGVUegYfOZ/f5EYgP
QNsEzm90rmp8My5UIaUUoEHk7WMcNvNpp92Gd70jTBJcrty5IW6klZZk0L2HIf0xO5iYYAf4+HIf
b3P3VflSVhaa4AWx6IKPntvkzrQ0p5PODNgEePVJ3smu9t5iPr+t29gFQNfJP6nA5NJ0ItKUgYW0
sfV48q/OVKCbMnec6eCB0BKfRpBOuAMEUk68oumdQATUvbgmATlA4yA6TS3op1yk8yfADZNhmkoQ
F6T3E94pcWjus+FfLwfOCndmK+kAcpQWVoxsbalQ7LnL5aPeCeK1y/XizPCBBkAMKZpeoJ8zgYEX
0HW5dozoWJX+ULzMEW+8z+PnONh37GEEnlZf2SJ4xeJ8zjklcEgDE8A3uvZagvDUkEsXwjOOOhz0
8cMQoW8unGQe5okNbjbVoUHjcUhKV2YPkerl+afZ/GlALx/8rTS/KgTTenGmcea4WWVS2Mh1gCFp
2ps+fhHlybD3pb66fnJe7O9fK8hHoLiEsI1PhFtjphd0Xjs2Dm5XfUaiAGV5Zf4zwM1ar0XowzNh
oG7Wab7L1e9Q1Ks5/8TZYYgxAImnzozyNkJa7roGv7YUWWFfIn9Y0Icyana2PhJ/ahMd5X07P4ay
lq4VjeX/gyVCoDv3bQBldgF8VQY0B9l0KN3MeDDNeykB6cg+FfGjL80gGikAb0UrBfgXOUfolUYq
q0idt5fiBbG8DfXJk6gqiNwXPAHSLWh5QicU4O98aMUAjZdiC2g5uUNkJUeB7GRlpXnX/e0i8kHv
4qmV+StOIp/OrsyhNWBF0se7Eo+SqAIBnhU/Mgs9edBiu25uYe7Qko6rEsEiFCr5QUVNluGuxL1l
tsin1+xLbQaoFsuCsHTRzK+MGCRwLMA0z0eFOjuR8wF99l1SvtFOcnpS39mR4Al++aLD5OHxjeoj
nA0+N3/GyeSZsZHrWoRYI7CojjxomjzIRvQ2pWHix2p7yIPymCbGa6FWpdNNxk0Q5tBObaZqZrCz
tynTdcHNubSeKrBl+Cak83Wdiw9yvSTxVEUAtKuR00eAD0zHOWpOd/k/q91h9DAEdYdf4AL/tKRJ
XEYsTXK37Ftyk7QhlBxo07tk7vtBtVICiO+69yxtCbSKQhwOzg9UDbfzSJCDw5UAh9h2A3oxEoOt
m7Jggo7vy9oEBgbVzXnrAdiMhT1fVnliQV2MgAaW0VqBHk7tR/YNBdE6lKky9Cxn61reGWXtMO0r
sPxIe4/qbdDexaLq+eVjlvsSzsHSJIzDBDQybvqCDvDJqz8rr3In97uFMKMjbaODfhf5lt9ujOMo
8O4lT0LbLGgTgEnEKced4l2H92U3e5KNKxzPvMmhDToSTVqTGfuGxCOm//r6LppEp4+lomMAqUZu
20aDGVaU5Lk7DCCM2IF+Ev9+jJB8K0V8H5e1vXnvnthSzhdZi40uMTTYGsEkm0cb2iUOAy3fdGwm
T1XvR6ig1ZJ/fYCX/KOcVW5SjQBsqGzIcqA/06wDQtJMbhQC7rMgsMYbkLCqtyQw9O+gR9PdKmxa
Bnk7Qw62oUy6ewjqUG+alJmaUhrkrU06cKKwmlmVU6otUF+ZZBMIDIZo74xDXFFNP2tTZYpaboI0
Dp8jqo2ZV6ExbBUHnS7ArCyESNg4OA3Q0qfLYIk5n1O9mtD/b8FdpaR0ib4pCy8OX+xJYGbpdEei
H5gPgOFxe81udHLs2n1WjaRA0szICcRJyMpikT8GqmCxFl0EfHBI6KPwPOPbzu2EutGxvsad2I92
1vnAS+k/Ule3qTMGShKs7BgE7ci6Ng8ZjkDT7ShexejQyiNRD/tvOZQLqWYucvC52ADbqXyZahqT
TlfbEAjslaS5wZbgjak5g/9FPIgcrNr70FdBCo93L9QJnWSXQO6g8vNNh0zGsB99um5B3/+oHKpH
AGcFx/JCvHf6cTwiQSVFL0kVPm7S5+b3x9be4iMjbd2bN7QTAOWWFv9kJngf60McWNI8E5AbAmVA
L9XyN+kr66GV4uz9+na9uG+g54YgHGcguBfAc8M5GinKMs7DAg4gq6/myO4ZIpd/N4G0r41UCVg4
oD127mPy0LeDnaJ/JipBBqhWCqQOQlH+bDFQOZ007rCDmoBp5PMKGfd15JO94lte5wLLA2KMFT0G
vuz9XB+XaJm4gw7N7KC2TGeHDR8abVuSdZAKpu4y64PD9HRU3D2t6YVRsh42zMc3SNxsAcz6UNzo
9kDcu2lzFzh55GiHeKX6oeCVJpxQ7mjQJ7tmwLsjEvkxn6a37vZzcGa9Nn13l68HNxXll5anE2cd
Uq14VfE3o1Kq6AxqcRln+s9A75R2H4uCq0UTM3kSctQo6/NVvtYukrivEczK+rhOgTYF0N9PSyFj
3uxrF0cZAeUmKA8IGqg4z4C4VKq0v54RF844ap8h/crb7KAwHFFj9reG2CAkAtD9mW6mEgm7NBYU
LC6LP7PjnATJ3OqlmdyQWp2ds+kt30zrV9mW+hX4+zu3ykA2F+jao4wuWAdp4f2gx9I7uI4fkDE1
fDJKIpn0pWsTfOSYEtxqcxqdOwMs2qfqHEgn6ndD/F5FY+K0MVrBfhGZ4Q6BoE2qnpQwkxbHIPHK
4KYFtcGoC2T/LoGE8+xC7w31fpCCXXBAtH2WxqxKUaWGbO2qKwtgK5JDMo5PdvsaQTygzlq3kuPX
1pBWNJu2uvJ2/fC57ErkPmG+sU4iBEKSKMw1fAIAchF6XZ0kgsLi6Ff+LcDdrz1IVglk/Lb2tuud
RHBDLUWxAJOAZ0Obifh4Er4uZHmn6YgsG+2vZb3A2ZyhWNfx37wXPHMXL94TS9wBqCo9i8s5hq1B
P2Snb1HUAi4uOxGSX3Hbb8ugFyzuxY04T+xcroCAmY3+Xm7zSuHY1eocvyIzAlh6Ooxe3WqijPPS
UQReOUhmovdfty82xBhrjSzTua3OS9Jn8BEDrOkJfOQC9YahQOEB8qoWNHIB0jn3EbTbm1olIbqD
NGVf7IbxpbVW9XSwZCj8JC4xPVOkELLol6c25y164pdhHBS6ZMOmAtLlIvUIjpryT6ceVcCBFG8y
bqMKPbsrXXqrFDButGAEQQFjaxRbuxDlYhbvT9QrwFxl4R0PfYbzr7Epm7O3c3xb7EPb0bXvYLgv
E0cKnF55NIAHR2xJPaO+1dO9ipKpBc/ata1f9u9Z7BeJ4FZdOqDAAYC+IjRIz6ym3PcMBfIoGZ4P
uvw9sTcoELkg43HBWyYIWH9R4fwdBDYOpFgByAI8iztxTTsIo9qAJeZnXrHR1ggfVsTLDh2Ubzb6
6q13QG15Gzv2EdD1dds56I1w3yNfBSjTcoY98QH9PlpeXzib5m1EkNG9TOvAuS+94CbyX6776tJ+
AJcZyiFoWAcSnVso8D+wQQfhnWvgzQfPmeI7SxbcDss2wMcNVARgmQo3JSy2ijau4Ax01DcmIDJm
QTYSYYLDcU7R8DOPjTcnVpBDxWFyvsZ9mhVhZiO30jNqx2iNJfJtR/tkNzflQ1+hke+7Vml3+djI
hjvmEX29PpfLrzrw9YJ+E+H9RdIOF61UI02GR+om+JBaZ/iEsJZer6QVeNhFFHFLs4qmBLQgQ+5R
R2L6fLgkaVozSNGIP/UrW/2guSNDUP36iJZugVMb3JSmcot09DRvm9CboPynbBRIZICdFz2ShkiW
5/eL+QU8tcbdOeD8plESYkQxugF8mKsA+OjeIceWO6Fj/C3W0D4B+x4yyofJ3el/x42oaL50CUH5
CG2tAEsjA8CdE20SFMgR4hNqtCw4LfQAkjYRuMniwp3Y4E/qXEKHsA4bgTXVaxm5wq3Cok8zZ6Kk
14UlMH+BMx0NLCjKYN9xExrJkmZ0cYfmzsBcxyR0FROt3GwSHK4XZrDrdPSvIK0G4ZsLssKcqvFk
tNh4UrUNu3c5WENx998d8dQEF3VVaM1FkhwmKjy8pOAwGX48eWEnu8lgOXXhXze3OKKTNC13Yqmg
LmFWPZvrFFfL7Zto0P0xnh6um1naXqfZYG4Lt1VlADKO7TUlf1jhmTVIx6RXgz3Z0rY0BWNaDJ5P
rXGbWQljZQKwD5ErEAzZ28yjFeXPiJ2j8rWx/KIAcupbrrZZIlq9i+kEgEsHcyYuRAQDFy04apxp
TW8bNabyrk+Pmfkky4KpvMysczY4D8GSDayjsGEq7rCvduRBcmPf2PZQeLhvt90OtCvr4Z38/eeq
52wY8aSMduKFTE5nZaGV5hBO1ie2CroUmQ8G8ekgEFxviyOErhRqdohjIAPHnRvFROTUloAHltfs
wQIYpdsTNHFAQmwTHJBy8WRP3ptbRTCzS4uHPS0jfEJxDQi083umD4Mu78Fs48aV9RoH+QYCVjdW
JMK1Xr6cMY+ndrjNQPTCquoMdiIgCFj1HCPXZyCjzJQR1d7XYUJnTNc+srj3QwjDlWDKQkn7+fqO
vIghuI/g9ohm5iRGRg6LOaq3bQCwhsYgC6UdJCNEqdny9R4ipTB/3axojrmDGuzg+jBT6KFlXHUY
CBRKYvq5sb1uRTS4+StOnghqXDRhZ8MK+FctDGN4VpHBUt9AYJul+2AQkbLMDnl2n3OTyTmsXBhp
FZmzPWgWBx4AhdR+lUeBfy5aAdsrXBO8vCgbno8KzQUyIjooS1L1IA9rRCp9e6OSt+tzd4l8mQdz
YoZbonEC1C6fzWg305vZOupnAprcY7xrXo1tc18+GOBQ/hbReP5m3y7mEK9iZIt/5Se4+BxYIQat
DcxhXLzUGgDMu/rHNDxTuYXanQl8efdnFMFR5t+8ZpM7SkPIAppjCZtkWKXJz6CDtGd8tZNjE4ky
gxc3IGZ1DlKA6MDrTOflNYoIolI1w6bXrZua3rTRTa3dNuWLOt13IjzCkqOc2uKG1SrSNLYFbGlZ
BC4Bvww8rSgdqRdsM9GY5m14ss1iosWFEc0HWZv5BcKTqvgbgykroY1jUNU1Wsu/7pyCkelzPuLE
4tSHbVWH8yyWt0X4bXbP8ZQ4tuxdN7PkF+D9QgEOjQGI+ThfrGkm95Kpw4wJEbvsaPS7CcSFQbNX
yvV1U0sH4qkpbq0GLRsKYEdwICbboPgjm1s9/P7fmeCWiaIpoLJ1mOjJAHH1O6n8qgYRlnpxZf6b
Mr5+ZTNkCgMy+1zcan4i09ojTCdOHFjGLbED0VN70ffQ0jZjpsHTwRfzjKa0augpwN6gvExJEroT
RFRqqAjKGXVGpr4Cye9en8jFMUJ0GDWmX5kaLkCwtYiEdR9ACL2ovXS+SKDpHXmZ9vg/sQPWXGQR
ZvFqbsHCgtRo9zRrCMX22yx1E6gv2FLolqLGhvmH+PMPpzm6ZQH8BQM2d0/GgBgy4N9rRP9/WLkH
dz+IKtdDOnM2q9Qng8DZF/fVib15gk+2b17SsFcG2FOmTdE7quKFzbtJbqiI+OES9DEft/AN9LPN
5MM6v4OVuMfJjinsb+wjJHDIa7opN/FNvcueicvA17EN71B4/rbbTfopra4v4OJldmqe29Uqi5hs
z+a7VXFsM7QvOPQz20vr2GObqPhnv0QFj8woGzBimRdNz0oukQwiBL/qa8z0++YmmLxR2V4f1KX3
w8rcFYKYHNqrfL4PpQBdGacMIoXJZtAPRvhcD54k6lj97UM490kVbGxI0+GhgUo9jwwcezINeQey
6HEH0h1fwd9sTfbqUdnZqwZdMGsG+NcqAXwD0tqxpzF3H3uiVv1LT8VXoO4A7K2Kxj0elwXiywSV
Kvx2VnsRkIkQaS9XUXFX1v+Kw0Awd2qI2xK9FUaQ6MVwB/UrRCd355ns8/rCXba5cDa4zWB0stVI
6GBy5fvmULnG1lqpawBn1ujV2LSrcI2WUj9dQ5IEfWIJWh/lteVrN6L31UJkCepCZGABazEwsXwM
pI1T0MuDxdzwpf5CFbB1pltjDd3ib9Onm+RVvyG7UVDeWXhtnRvltmKs29CInI02XyP60Uxn2tSH
2NG2bCV91Mdxc32yL+/zc3Pc2U2sVI6kDuaS8cDIj9F9FZkgOhHNIx8FtaUyty3Bxku5tW7Qy3ov
genPCQ6v9g70rzfk5v5/NSi+jRwktGmjzAaVcZvoW1VeQ/n5uonLq+hs3nTuUTyCpicIMpgwH9VX
hI9e6cRPEGQTuMNlvQZ74cQHeXrEQZ6apB3n9dnWoE46dKlLVtlKe8Je8IvtuGo3z5ZPnXCdOUG8
sgRH9WVPMmefe12FRhhobHbH3g/c6KAdm1Xynvt4Xe2Hh27TYA+a2ItQotgef4Y75RYVLT/+DOCo
olq2cC6467+QaaIGDb4lfGl91YsOyYpCm2hl++kh+UTx6EVaJ8fH6AaCbmvR22shy3O+EtzJBzi7
rqfzSow7ww9AT+/YAFmRDXG+D4pjfaXv0r21ETWpzPPLXy8m6KZwu8x0AnxPeClVI4ALFrJnsbzO
mnxfh4Ugf7V0BJya4E6cUE3kYRphope6TVmGmxi7pWqpAGK7dEXhcgKDBKDTwJGo58GUqULcvmgQ
jRa9/ieNAIpmuTncFJH+0PeNtaK6IrhIlvYo+JtMoAZBKoHL+dyiNgaWUgXze48AChAeJ9tYd50f
TdsoUmdWlzwVHDxLMceJRZV774E7Wh7bbn4dFS9hUflDFX90dM6KdyISi3lVLhwD8qQ22Fts0AVw
l6TSWmkczA8KiIvu07B5MHJkOKXKeBr64KGVO68AD/f1Q29xDyDX8v+Mcq7C5KqqcxlxohlOd13Z
e0ZufVkQV7PNjxE1oDQE/e2MoSlG6d4o2BH6WmvZfJazwLO1bkd1c1WmoSDRtOBZ6DxB2wRAdahi
8s/fQg9ra0piCGBL92DFTcBubpaegQc9lFQFMzC/mbhpx/sDkeWsoWpCP/jcp+oCMVhRInaNksBN
pi+7lDzSlU4Zj6sYD3tTLYgj9yPSQtMD1UXsrot79WQBOJeuQGocBDkWgDQTaLbr44CWmyKqBAu9
6FwYiWGhLgA4BudcmhW3rTXgSMiHD6PRHG0MoZCNUvTdNGwY+Geuz+rCAoIxfn6nIlOPRzn3UG3k
epITC6PK8vdGpSuLVPf59EM7Fc1WoittcWwnxribu7KN0Kw6GAtY7ls03aRsK9uuEe1ZsyVWJIh+
FlfsxBx37NVhHet1jamcAkAsut5PdNkdYkmA3BeNirunW8mQpS7AcTA0NhSv/kSxJ8l/SPIKEgpT
+nt9vRaPuZMxcZugG+zaBqMxjnIIHiBc9armbzjQLVRCBZ4hssRdukyidSzPL36D/hSp30oKqOie
qDUI7CyvEkCWYBgFiT7fvgZBEs1MQFfjVqrmAGV8bIbMQafL5vrELd7ms1rr/zXDrRKo4vAcLnEH
lk0qe0ERk83YhyIQ+7Iv/GeFWx7IasjMajEYgwHZZK5U860DMKxZG5Jbiah8l1cIDTrWjCJFFez8
QNQHOtmBBP9uLAkKKXgPGsxRK5QwqSIIVBbHZaGbYCaImh/156YqYyAqZEOQjokh82k8qNWrCRan
qXhIKXGJCH+7dCohLS3P6uYAyPANyVSdwCYc4ainNYTp62MNJYWivB+7t1r71yZhTByakFWgY3GN
QVThfGQU2kdWQpGrKEK0UHTgJrhVlCRe01K/y8Kkefp3N0R3ISjkbRkwdx5r10ERScubkLlqnfi5
Eh7HUCSlpfzGOhc3JTQToEEPsi3w75yPKSmsHJqwKXMtJLd2epJE72Y4pj5penlCe0qaPtFA6n1Z
DYutFKv5V1NYBnrYguKx1Af5KQaE/RiOlPkplZqVlcQ6EjmWdOjVuju2DelBwK0Dwbwu1bT6Gqyc
vaXZoLo6I+UbtA0scMuQUgKcoxg+ZUnSIdFnmcc6swP0daH/h3Th8B23Rq4eh0CLtqE5x2kZlNJ+
jKEpmKdmkbItp0Hy+3DKtpMcAafR2Kke7DUw7x/0EvUEJx9yHRR9XaOM3jiMBugJIefZOykE1iEa
j3bC0gmmXIv8hJRQSQUEj+EZASpeP4PgjI+XZPfToScAFBCgco5dO2lt1YVUFt2ORB32CZHyAwN5
75OVTuULk6pnIJ3vYKrbDAU1I2eUp6lzGtMGF0ik5JlTB4q6irs++2jNBlw6pMweWtRHNyGzSeyO
ShdBVg8V45kUuy59zUgBhB5z2Vhreqb6RiInW5JR8IsQ5OgMdTB38CTJp13NtlLdgZmx66ztCJxL
h5rDEPlNJ7XNVxq0JNxpGRjq8NWltasbIy78SgPpGgi6BgXiOUVuo0Hc7g03z2rg5ht1LB+1Ok4e
FApQjDqx7ikva3C4SLa9Gjr0tjuVabSOpTH5YxgTlPnarBgNT7PDARzUSZCsTFVDB1JVdiGEtllj
PWbZ0I5up1PllfZNvim1oSSuMeXpqidk/AuRsdTLa1KWfi6l3fNoY7k8QgOjgEaOBptKrUevkPWp
rJ0WVvYTgu58M6JBS0GfQRWoNxOw9bZjAeZjbShpm8MACle6Y6gsaN6I/+7TSo6gR2xbge6otBmh
90Ztc3LauERyR+2LbtVSqr2g5yQNXJZRupNyWd5UmKlVgzD7b52VGt5KqWJSJw2DJ71TidcNcnPT
opF2FeH42rGIVptAauyD2oOCEFbDNPFMuQk3TdYnD7UVTFu1RxXVmYaY+EXQxGsNim2gMra70Ql1
vQ+9MjO7bQclNYoAZSDe3Nr1o0KmB11yXYyYolOGwDHCITiokpQ9ymbRf9vgaPFHe0rvx75oNuBf
J99oVCtBq55Y0z6lSeDloa7eV4wA+JEj+e2oGO0KWjUgtpyksP4IcztWHDMvw3clSVDAKmMIMt4F
lOa7OsgkFLUgQX6v9cx+bJQqvMtVOr73IxvNlZyq9nrqlYBuJlNiB6i6m7j19Dj0c8g03XdlJrde
b0kZOTRyVj7oUkP3imQkP4WOiMnpJxu1P01jvW+FtLUdI7W6/rGZRa6TpGp2xmSOHrDdiZ9Cc2H0
r5/FlySrQG7gD96pEIME7wUXIPa2mesWg6jA2FLZk6YCnZDoUDRtD81JPq66Z7361rIaNOs4MgH2
3n2OYeHR4kaXh0/Bx8zBL39on34MF6AwWS5ZmM4XURY6GnYhzb3E/BgGaEy34U9RfVWhfogCxGBN
A9Iu0at2oRJxPhtc7JIRKbPoMGftgQ9NaOu1FQWfheLWuQZ8GdloWuMbWeShfcS3VPtVMAFL7zss
BlIUc7MKJEnOby30tCXolMGtZdSfaaR5EYtWKmUfbfZaoHHLqbvCb4wi9DJo7dmlSClkIZpC2yEA
DYgD8Rji8/ga1JSHzKxgvqlu9aD9xFbZdXRHUaYWjPQCCz/73YkpLrQupHYym7ZmLpgNvNgGzUrl
I6np1NBy716MeD1Eu1YRBMALIRwBZQ6elIoKJgW+VJjKmRaghoeYCpefPvUvumJupkm2HJuablmn
D9L45/pAF8K4uU8fEHwolKA3hYtDolCSpqyFyRitvr1WOaEyU1dtA4DtRB3GC/E9iA4sJGwJQvkL
SpmORkwDIhLZAfWrCXvHFDWFLvnHqYF5fk8qkjgGlaqwYKBtqtgNJS0/0j54y5J0xBMpq7zrc7fw
LILWA8g7DCQ7UKjjdoOmJ7i3AZ+DAPVj3b9EyWtoCNKCi1P2nwmeNjGCeFIp9TAxqINnDMxj9fp/
NQg+2qUBwJWGAgtt/Wl1m9Z8/h8UptVfZSEg6XF4oA3ofFnUCUwaaUoQUM8KHxZ6B4qKORIhb1Qp
D13U3EM/1SmrXgRjWNpPEOOYpYThdZrFLVCqZqNcygpzO0acIP+Ucx+BmhRNPsueBlmQZLhEquLM
wD0FhYI522bw21fKh1FSGlTmjA/qNYqT3dav5Ij4aVv8rRpHREew5O3gXoXYHEiaQNHETSttq5ap
89WYkqeq8LPpUzL3iIuu+8eSFSjHg0PGxvmAh/754rURXnkyYk43obesBjfAgIZmhBD/jrpDJ/yJ
HW7v6qXdQGFYxmgAlZYLc8Om7FAgRM2oLKjSLm0qdHWC1httTjMJ5PmQBqnu9SSCWyDcOGTWdBjR
IXB91paOBpBn4VSY38h4RZ6bGDtZQ6gAV5BaM3Q6g5peNcSBSxXU26+b+n0q8lEJ4C/YVwCizcKw
nC1bqSQ9txGV+MMbXjtG7u+bdeVr7rQvV7FrPAYr0zefUXR3xsKpd1SQeVgc7MkHcPPZQ144y8z5
AzLmxMOO0u9U2Jw2z9j/f5SgQDsfpd1X6pBOMCJt0JBV+Te533wyN1hnK2NbfAVP7K5/rT9E5OhL
FWdwYOuzMBogGehZOberm1pbUwmFLVY7H9PGzJ34A1SE4faxkh1lA+kiId5keaj/meQWVA2nqU8D
DFV2uy3ZhK1n3HWNY/vEld6NjfaQ7JSjdCdvRGXbxWgb1Er4B5zAss1XoRS9HCO1CZirrYeD8oy8
UeLF62ADMMEaYq2VEz/W637/ct2DF/fjidX5/59c2yPJILGdQC1JGu5SWXcCRdCjOTvgpe/8Nywu
bJ6sDq/iEAbqA42cbp/80Jd4ZZcO+Xt9JItXwOkEzqfpyVAoNVgaa5jAHAJax+aNHmJfAppypYNu
FPRir9ftLe+8/wbGOWcYhXHXjDAXAqEHug5Hg8511j9dt3LZ24+L7XRUnEPifVyapIOZxsuPuiO7
lf/WoXFrGzzKqz9sEwuGddmRxhnkThTNGOKuM2FQ/QKKN7+ZZFeBgPcbewpBRSMa3lKsj6wi3hUa
MGaARZ0vGlgTSGJWcA/A9ps3tlbegWG5sW519GoJZnLpNjUh3oFbGwE+HjHnpljCKnvKw8ZFOu1B
few8wBubQ/IGXtUHTfPbvbVq/iRrW3BHLG7sU7ucX8bUUNMQdVCXfKV+9EK9GFzEqE48AJStu8pR
+0ggzLCObnJRUKQt7D1TVdH1jqQb+v44FzXiuIqK1EB8mcjVhtEUGWq9GUdPihLQNRU9hj9VqP6U
KrSn3dDSksepktlz0ZvEA0P5sCkg63lT1qUs6pcSfRvn181k1RQ96zgXaOcq4bAtwHkgWPFF5wK+
c372mDOM8XzFKzmJ1d4yEddMGhJ/6iOp3nsl2qR5ByVtQAry77JEi6ceCbIVy4P7f4Z5oamZw4rF
IyY+SMiqN0H+T7K1YHCL7vx/SPuu3ch5ZtsnEqAcbqnQ2W27nW8E2zOmcs5Pv5d89vm/brbQxP/t
AQZzMUCXiiwWixXW+kc5i3096sj5jQmU67fFXvpTI/2Ca1J8NsFn/XcvHKbP5EckCq8iuuTPkTX/
/2tqzXmaMy/bTHkgFToYnKdMfGkKeU39ejUB4bowVIr5S2qbpX5fF+r7bX2X3O25XMZRJEqFdh8R
S5oK92XyVQpbo3i+LWJxRTGDj3AOQDsYQr9ULSvHwTR8rGiKNgLkL7WjjiZy8e22lEXbOJPCGH4b
Cmqcj/O+hX/MYtPy+uAXoyZU8mYmbNlEOYqx+gzAGmJIETUpRyhhlxiJvRPvS0f/Lj1r0665cMOL
GmHUcgYmwqDZb+bszCQmPUMYnuPG6OQXod/HIuccL269DiB1tI9i5JwtgVYYIDAGGQq1VY6O44GM
5UM38eDtlqWAHh40nOjNZeH8+j6AJ+yhxVg/5r1bjvdVzHHIiyLQmYF3CTIXImtgVDKbrulx2ZXj
71scwCcgeO/rf2PHZ2IYCzOnFL873+BltNHUGIOFa1V/EVPO02PxuJyJYezMSkSk5uf7dBzXKQhB
jE0rODHvETB/LBs/zt0s/7tmKvP26K0wmxIKKbKBmde9WH0khmNJG3NwAZpy+2guBltoyEaODNOZ
yhWNhZBondqXAWilP83WLTt32JoYw18l29AxXWDymZ0zl4E4vm35yJ7JnZf67ARJWQXOkWqWu+1X
xlF4xHvukLd2c2jcxm7e2/VtRRe3DtNT+IMOcUwsXMpTxVYflDps7Ejah5Nma1G8iao/sVBwyseL
QbnxjyR2+zSUd0zcw9i+0W4Lz9R3WvEqjUDe2cRZjmTDpoke0oLUlNfeshx3nYlmLkilkkB020JJ
63tE68RrcJIe00NMSbYebJQUY8EODuIud0Te8PKizZ5JZu7IDrUJ2mRxY8egKekf02avtC9De5dG
+6HkjVgtNTHPhNoG4jtgxwBE8nIzxSgALmAJPWvDqQ/i1keRbDu5472xKtYoNh4UzBYfuT3o8/Jd
HUwAKqPWg/ZPmbUhJc/KWJtgs43TvcL3E/9EN+/BwVpP97et9RqoBk+SGbv5f0WxRhT1pkX9CRoW
b62rr8o77Sv+mx/G4zBj6auedh974gd9x5w/5+pZPplnolkjGnvwHs1ado5ELJKukp1xl63fn307
33ENZ9lmz8QxliN1UwOWsXlRPdBdr+9Bcn3oiGErYKKjtrFPDukXr3t5DmtubCR7vSYibvUMY5UY
tT1WAjj97queCDqagNzb+7h4/c2ZTEyfApOLZWbB+zhKIx/bGFqY0VYl0ltfXbC5LWQxGDkTwrjS
WK+a1orgcATNJ9LwiCrlbQFLyzW3+kgyGm8wL8dYRFx0aQpSUrCjoVrTjIE90eSQD5ZNi3qVGRWn
CrHkqs/FMRZBGwXzeQXEAWgE5HPUa6uDUHgpbyZ6qYMWYe8/ejEBtlwNwPeVsXCDp2wAxVauNTI4
w66XSLVDR5320e6EdU+yh4F3vnlLOu/p2fVXDFaCjDpEqyuQarq4FyYndi1XPVaFbT2AOGZFN5Pr
uxnvNcOTzPpOIHYobYrVtczPNNgCZmJM0PawbnloUku2f766jFlaba/1TQNBGnoSS+A3AcwZOBO3
TXPxKrCAIIa/6OwAFvjlQoZ12prNHMOWmUsB7WMmO5q8Vuom8Ukb7cTgUQBOawGIgn0kP8WZ7Qec
dN/Sgp5/ARN7in4fGP2cxWzSYzKe0EFA0MWCoiuxopCj7tKaookH7mQu/IDb5VJbQ4zTyRwQGoYj
gPT+lKmn8MqmPBGMZQpV3cnCLGLMpYcsQgJM972mK2zOxi1dpueqMHYYd1latBnkNOBGSj5bwa1k
l+Y/inZA27ETjHZqHQceN8dCnAIzmZGvAGA+X7CXCwgG3QRxN6RKVUkk6atrazCgElU6DT76xHlU
BQuu7EIc48q6HEwxaBjDw5RW92WWOWoDREZMyOJxx1nQhVvgQhRjGhNei2avzy+tDoQ7TbylNY+1
iKcNYxpVJxjK2EBElx4n6XWUTuZ0yv7FkxGKALlyxqHDVjGRetmrlp7PAcHQn9CEo4WbrPE4xreQ
JjuXwc6GSEIDpPwC9/II9kGMRzsWTQkGSt8bIycyLd0GwElTOKzLcHzgyJ73/DL4QHMuuktnCDRl
psm4NMEoAUVn3XeNLSrim5BkdjwC429Qt6GO8lKKikvbREQORbdM/o49yL7zlocosZDy/u01xTeg
CQMAfIzbTHwJXXW/z6F4xnkHfZEO2Oqq9Vp5JAP6jbrxPgJPlBT8ua3+tXu5FMx4y7qUSlAAYeUH
mqHxbp0JoGEdOBHRtaFCCEb70VKDDApilsslFgvUCHV9joiM1eSvxGhl6l/a9HZblYVIGWIwNo0P
xkgTvMmlmLjtVbWdX3oSvdfjyc5HcHLHybqT6k0XN+tQG0968R5LGDigmCMvpa2cBf91tISPAEQn
fBpIGtEHcPkRgiDLc1NNY/cNAGtAL5hTklYuqpa3tb32nBdyWJCGIUMfexZneEBn0aMSRm4pFR+T
LzqdTNFN8WcMeWBH85ezB8XEIQA0N2oXFtvgoE5p0klD0dh+qESOqkzpusr9hESDf68o+WHo0SAs
5wKYBCU55yzr9a2Okj0CChVdgJiPY4lSxiGto2rMG1vRvqL+vkv/gg91qD20nf336wr4T2u+0nGz
s+3moTQINJabBgNSr0W9iaL3OvyOi/dW/ObCn17fuVBKVWVgGqATAf9e2krUZ+2o9RVWVMlJ23lj
joePJwVHScOcj2civC/kVznlXE0LSaZLuczFMcSxIohdDZenen8G+0FY15VnfjwKL2blhrVbvXC8
zOLuaUBUteYxfIwNXCqqT4kp1HLbgFx2sk1tr6IsIH2K0XMwcOxkydWgff8/khh/lmh9boazJNTD
iCWTQvzsY1vl4prNW3N1GM7kMMecDoYymLOcrHG1R2kmFiDZVnkAqkHtlPelb2tPtw2To9nvFXL2
RPH76H/XMAT8b+Mfq/w1R5OwlT7elrPwDIN1gIUe0HBA3gCS4+VmTbWRd2o+zG8h3cYM75MHbgWQ
dB+lD3qaMD5c3hc2Wvin99uCl66ic7nzRX2mYJOgSTs3e1hl/UXRbE0P1OIEGtdonZjEOZfBnLhO
BIl0LEBG52E8S34pt74zbMxN7fin/EnqHaRWQcaqOfQzsXcVAQEex78sHoWz1WXOHnAKBUVIsLqT
LN/Hk+hhksPWoweUI++7strcXtMFvIhLhZk7cdSMZtQHKGyc9FXuSt/C0Y9B7kvvgpCMvQOQX/R4
iBsTAA4jUd/oatqa3+J38GJ6ocP5mHkHrw4N4PSBVIqRbcxtMzscGlSfAjhxcaV5+cpfgaVxptDx
pLvSriNCwc1a75W/0obiNK2ilf6sc9LBy0b2zycwyz9M/oihQ1ybbbS1ZFcGgAavp3LxoGKACG4d
A90oVF5qmSKvVIr5rGXxp61+MNtLwumkdz+3V3PRkM7EMJ4uHsoiEEuISSxSd19iD8ypQw4UcgzF
c2x22SUYIJBDByAKU2yMHE/xMAU+ZNEhWiXtn0nVd4382VDN1ns00ui9DXR0YDDEfzHR4hhjd7C0
2pkq9SBEpick9wONOf5wMWaGJf3no+Z9OPMXoMvDbJBY4lJRDBeY0K4AEpRxM4Z4Ir9N5doU75SW
I3Q2jysLRmZDAYM0FoNlGRcra8wVGTdnaooPcaqf+LijS4Edmlb/I4JRSwliYRhLBAVyprhVBKSv
lRg7QkE3o7ANMp4/WjwQZ+IYa61bqxGCGuKUUMQMbmEHaOOb0Ar+L6z1TAxjrb1eSEPrY+H0GD1t
tZdHoiMpIpq+nKLjOL1FlYDdCi+DSBNltEvDoIhDo66AYUh1SbRSJxiLGLjItNdvVvTIAaN45ptH
izFbStWzKmkQlTZ2Jf2AbrNOwC2tgkUKad+OpJEd6ETmNZYumR8KtziC6MhFHZq5mo1p0EtTw2YV
KbisKuUu6SuOg1zyXuciZh9+dqqEUjbMMoRaQhjZQnBMAHdFdaLwWh2W3Ne5HGaTwjLGqhaQk824
fPURo4zTgDkejJAIHHvgiZpX9UylUs6luFYhKpaRyDJJUckYD7CrZp+E37fN/JcLj3UQ52ox922V
xToGBfF8ENYtZvQAfnJoNqpr2fKx2A126iQEKDXutNqax+DxObKfqcN7qC15kPNvYDxIWrV9Kzaz
ZbaZm2ZuP+Vej+EtTdohtSLwJt6Xjtu5OMaDlN0QjrkJceiAehJkBPiRGmLYEGwNtxd30TSRbNXn
MSgLyCWX+whWq0kRWsTcaulNyr5QDyb9nHjWsrh6Z1IYT2VZYZLKLfJBYbrqzW6N2VggH+4GICIU
5j3lpSQX4O3gR87kWZdaZWVZGH4HrfKRmD/oF0/fFEd8UF41AMh3pKC28DI64lq+K73G8w/0dHtV
F7dvZpAETgj69NgrrVM0YQhG6CtEHYYoQ6TmMRzP6TtZdFxnQhiTpKMeCL+Lirl+R5Rfw5Z3wSzU
+bGOgN801BkpEDNGl+s4xShbDv78IhOOZX6f0feKrozhO1T/VN1Rj8BQeaDCKhaf/sX6ncllvIsv
S0Ddn098DXZpqQ4IUAyIxHuVzVZw5VfOpDB+BUPFaTf5kFJmd2r+Vx33cpsSXSW0wOhrDcxW/eO2
Xoun7Uwis2VDXpRWVsx2UW+t6B3gMbR+13h39YIU8JqDNhjAlei9ZSsoHSZ0pkaGlMIX7MhQvAQU
IrF57KSQcwsslKZmCvV/RDEbhdFNuTcw7YzBd2KdpA7oceFhWgkH9R4Y9umG2uPOepc4pcUFdzJz
Jc4wREigo9Pl0iyLWmgV2iMp2RQHE+MzeoVpUfCwSbndU7fl5ckWTvOFOEbJBjPORh9DXCHvU+FR
itaS8HjbMBaaIZDJPVOJscVBL/r/11FTAZ4KffuVk3aHNkFfEsp5oSt1P43qVeZONB+qbqdl93V4
rKnTwrEFnNVdetDjW9B1AlwSYPGwqWWpFjUB8xLQ16F3QD/Hzuafqv0Y7rt9sw4eWy8ViL+O99md
TrbBc83rDlsILi4+gDkmgGkoEkA5wKp8zx+8InAC672z7orAsG+vO1dX5v6rwBGWhBpEKdTBIBFm
JTCH/Cfw/sb778iLXnPJCQGFigL5vgXiXrH65CVHecoyd6MJsAgDwxp4PacOMOVVChZeAN7RDyV6
ua0sTxJzKyYGCIczHbqqgCnwd2WyHZPHejz5Ie/imE8E41nPN5AdsgQhDsARKkiq5H2lfjQxJ6Be
GNvG6LsK1kyMIWJYgy2gYepV9lUVFYFxwNjyEUgWQ+KVijdlu3FwoJxC0cKhapxoSV3wPAAcxqFQ
VAxwAIj10vMEtK6LZFDRWdAoTgX/NgwAqlpFAEGSga5h+iSKbWrpaJ3c0e4gBLsSyQNtpyt3vfam
9w8hEARloFv1dBX7TpR37lSTXtzFk9eD+GPCy0cho7qJTH/X+iMJ0RHZ1ZrdgBu6Hl66oHCb5lNu
5yqabaQjKeLdWB2NRvSGwLbwYKLAhud5wAXLQf800M6QwgewHXujICGT58KkIQ6AB6TAYbIOcWxb
KN9plXPbSJdW+FwU42zzXkWzlDyLCveh7mDiX0FHRSg4JnX0gpPZXhQmo0wKgnFcYmx1i059m6QK
hCWdRYZ08kRBJ430hn7nvL2LCl5RduFmngX9Rx7j2Np6zEK8QfFqEl5Eo3QU+QklbG9q3X+xiGdy
GK8mmb5S1PqsF9ql0jpF2eM711bKFKwKw9yYU8I5GAsLqYAkGYTw6FnEqBtzIwtyYPqybrboOXBF
WmzC6WNsDkJWHoH+waPuW1hFBSwPaOjVtLkznRGWZkY5WdRqbVnzwd72PPoTMgNez0OQXLj3L+Qw
plhISoDhBKOdW+iG+JBIT2HHcckLjvJCBHPtK5NihUqJdWt81ZaV3tZVToi2qASw0pFghLvSZcYU
5EnRaRZgsdSgfW2yyemK4DGLODHDoh5nUmb7OEsHdJIp6KEIKTH8m9KkJOfhofL0YC6vSAgsuZgg
ocR4T+kqI3JdSJPePjccIWzPBObWFIoD0tqDFpNG2/SmCs/LwdjlrBXLo2OmZWeoOTQRW+0IjBtH
kbjdwwsOG+Sz/9l1Rb7cj6qKywaVttYes+kQ6nvABYCBEZNxo+IUYbZPGxQDgh6PcZE0k4FCN9qL
A8kJuoxovbjyAUgT8+oE8xYxUcHFRzHnNutAfGEJWN20fTbzUzneUbpL6h2qUhIw9duH25u56CbO
1oA5vpEvdlkkzzYZ9qsuBExh+JrI4IjmNMfx9pM5w22HsbDCms9wHN23VblLs6fbmvAkMNdGXlLL
HERI6NU3P1vJjcSx+6W8/8XWMF5CD5MpiyusVaKJT2YUYSZi6k3SWuP90AmuFZveACrlpn60KA+n
gCuccR4BndDA2vs4EOJT6lckwCFvj+l0X+vbIbKAE7zLAMR4e00XjRFZL1z9qDlcVR3qytSpKgSd
ncJj+ZkbqhHpS0yItST51B/F5u9teUvWiNkTcAoawNxDF+fliTQHtUZHLOS1VveTVvnTgFxYC+pT
UeEu6Hy62YN2LotZUKAby2kZh50t7evUqTDAty8+jYN/epYfq++ck4daaG9Hi9eZaoxrNn0VDYAZ
xHXf4l34Ypziu/FvaZFiZ4Cxy3W0zYv2QJ3b67loNWdSWZT3wpATWieQitep2/9gelo7qJsAMJqk
iDjCOJvHtlSaUgEwcExQ2yh0OhjFw5gkCGkeTXV1W6ml++dcJ8ZtB1qUxE0EOakCzrNE3QU9MIRG
XoKIJ4ZxxK0UVErazGKADWv22wjZNV7Wfqlz7NwqtNmpnYUEozkaYzsLEdYoRqyqt+gp20tOtsvf
1FOkk5DjhpcKqhcCGT9sAlKzi+dNqrMX+mkQ/aNxAIrjhqvObjSwKBQ7+amriPWQvPzfto3xz/Cb
SRVWkKwo3735Iis1KcXn2zK46jEOpBtjScDoc2frBwXdTR8SaXbhVsuctodK+du0BdaDoxVEXpm8
5zbHoWiMQ8GtrQfAFu/mujgwd6WjikI80QuSU/ddRFsBj4dgoZ3qlzgbUEMquADB1XxpPf6YhlbR
AOFILUK87Y9pso0jN1EcOa2dMDqN5SHz1227KjH3Xt5FMeckLmQY5g+wkGGY+VJR8bz8gAlghZhf
wCS71QN4okuctNDsET1WNRmBxB1tRjCHTb6bFi5vo+fVvHTfl6KZk5ObFO1WBjhPYn1HDdQkwdRp
ruN+E8YHwTqm+b4q33JlVRkvlkY6GTDsuauIfyXpU8cbBXASQ/yA9lBiUdFVGjfsD2bprydwORjF
E7IksvA2UzRZaKCsC8B4Vh9DINpNc6QTSCSLtSIDrJNuOrX2KqQv6n09xSjUfJiT4AqNag+jJ8nr
aHKLdKOV21zI3LLfZCAajzZ6NhGwiU/mSh9XVXeKh4OvHDV0wtKIOmn2h4Y7moYE0J5WmjvWdJ9E
x0x2ADg3Aqe4WA/ZMUo30eiJDeLV7CU1bdFfR8batF4Ah6s0yAhku2R8SEZiSLFjVmujPJmNl8ag
S+z2mr6NKMDg90L3HBivFgr+0z6udrmS2GW8MfLHFFwu9affP6Fuklkno1vnOjHGVawcM5wfsQPH
cPhdq3bQHPvJ6wzZDX2ipm9i/Z4boY2SCEFQFOuHYGYOf86ik5B/AobNsfyeIGBpdIrlGlFTU7e1
4Fjht5xrtkrfxRHTgkehCDH0TMFiGa1T04P52VH+7Jfr1Pem5qcp7cjai/4Raayufjbjrx6jW0G5
7zBhAixJbXIza7DjzqOqW4tAR23LfUPHlSYfE6UnYm6uzPgN3UJeGrqAMeLd99ehE7qpNRBOAxge
ZSEWqDjVqA+g0nZuxrGljbGpvMZp3ZAk+5o0IhHvlYPxXLmwsJNICXecd0E8gFfAqm6BamAe6b08
mWWi5W01twlG+8SR7d6O7exYgd+FvJ70PXWy7TcKR6+1yyM9+u0dZQ7mhWTmYOpAgDUqXGq/7UE+
uJdKMr3SkqQIXe1HIEIdCrfej+tgYziFE60w1C461OHdBAv+4eIzGN8YdDX4O3t8hmy3dg7RoNRc
wRn3Xv72nBHccI6xj8mb9ee2Z7qOglChOFt45prritgcRQP1soE6QfpRyG5dFKRVePrN339rmZmb
DgNAfWloqF+lJL1TbWUXeDH0LJ1u1bj+rl63Ni+ltFDIutSNueHSAEMajYk1TV/AnLXJvFIllYv8
o/PZHO6SlWb3nGPE05KJmgF9kQBnFBINa6toK3+4U4T17Q1bukXPdgxor5dHJRgLU48ryIh0+iVq
60nMNiCTIHX/iYqTYyXDZ9MDCTcOYuIDU32UetKH3QOwBTnPLfm28aBod/kplpXIgP7FpyAYfLAC
onjZJnLiO9/5ileDMz3iViMos5DaM0ln9x66/R3AeJPT7TW5+g5LQXc4GlYVTBOg+Z05PL0QjIko
+wijxsqTzdIu4Vxr4yDzRi+v9heCgAaB1ooZSg7oX4zCQKQudDXskXiTMXgLwC/BVXhYgtc7zEhh
zqTcKVMygArZrkJiVmRCfEbyaJWt0Xu7UexsIDmKVzwMIp5uzAnNij41aBn1tpA/NNFToQHh2r69
T/NPXDgBRjHmQCJjKdSY84eISBTB8limr7Kg6JE75GN+MNoo+RHaiDe0umQdGF3C7LsOJG2TfejF
EdpkuinpUQ5ciTWQDOSXvtrJyttt5a6fzL/a/SOHeehNqtyFxYgFtBDXOaDXBc/bFihZmDfem6fs
sdhph3ijYfifcw6vn2WzZMz1o9cSSKsGOzZAjckC+kbc28kGp25jiOS1Ip2rrDCX4c7zSpx95Apk
NrKlZRtWLQTqh2YfIjO8smztwfjovWEVbM07bjpidmpXlnOmIeNYAY2aAZwJAkvNG5zc7oiMYWdE
al5m15S3nvPn35D2m6Y4e+a2WZJ3owhpgyMdzdXMZ0fq0ZXt+X02rfRjjcAII+WfsKZxzbu3Fg8i
3gIAbkLj5NUU2CjleSZPaY/GKrS0dmswlpJe03lKLh6LmTICA7kyKI+Y8643plFYWFYEW+1PuxJt
3RX25bb48u8Nt0I65C69p17T/yvbAdk8ShdzqMdeGq0JEHDdhFwUlr7VBzTWe76TfMlPk63Z5bH9
4hxLeWkzz+TN/3+2mZogJ00ABDXbAHD9Gojj6D+1wxXmE51eJC1ef5yVve4/mI/jmUTlUqLR+ome
CtDQ/KAjKZGn9jJP6Ejk6Q6QcOrj6BgrYYMBkfXPYBsfxVbYRxzInzlsvTJhUC8BMwb4RcAiv/wG
AP7XZq7MzijZq9KP2f69vazLSp4JYFwAOst6QKfAlzcDKBhMoBCokR2J5mPWoj21LSz0u6CUX2Hu
bVSRgg4IqIM/5T5Y0yKygYRMZN0n1lQe+6LfxCYIt/rqZGrglCiEkPfAuA7z5z05+1zGgXSxGZei
PN9u+kb/6D8nkutecCrWj0C0WZvfqTf1TrRVtoMt6c5gj87pv+6AufwEFmpOEdShSjSsWDptSvFD
aB9M0HSYrxkmbG5vzuLmI8FizlkOPOaYzY86rQQ1LvzXhFpXNhV3wyCubotYvu2MGb8ACPCYgGKM
fMgMPE9njzy1aJhFUN/eedpOScn43hD6pAHHs0KPpFd5twUvuq0zucx7LfKrWAkbyAXdw0Ytpj2q
1DbNRzcIvm9LWl7FfzRkgr0uGrWpoZBkWq9h+KLyeOCWbhl0uaDlZZ7pVtm4xKiLgPa0hElSbVUj
6eHfW8Njn62kLLlLee0eS9qcS2PcYKoXU1AnkDZary318obX88QTwBiEboTaIM0CdPOkSn8aHgTC
bLSsR0O+F6igM7AcQBAuPZokj4qid1Vvd8ZXrTl5s6pDD9MsFrVv7/ti/H0myWReWPmAsVojhqRQ
ETuwDATIOMfRIaV/qB97VFbQXJo0TtZZr30I3g8xa17EDtMMmpnf+UnNsfjrjl04DrA5qJaE2xpR
LLOyI1VLpcvwPfGPRCTLadBUVJN8f4cmJSREGh5E+9IRs0w0AIGiEACYFuM+1BDsAUFZ9zb1W2c0
9oWSYrrGBZfR7YW+CnTgnJCKVRGBgDv0Ci1QThtl8OsaFCmJtVXbErk145Dg2XpbzHVVCS2P8Bgi
erfxQoROl5bTRLQDpMHMehs+mtln0T3kg4MKDDy9HWRuLQhgBuIIvVrDWaYlg0ANtjLPiF7KFDCT
HOY+ZEapLdWnEO+4HAjcvf9/lDN/x1l0Y8htRMUMo7sjksrtacw8YzpW6uvtJeRpw1hEESH+DExo
oyUdCQC0l0onVXwco6fbcq4tYl41MIqByVGEyTOWXoYYehSbWZvk1HcPmXgseeW4KzfyuzH/iJjd
2NmCBRoaTgCiH9uD8UWNjVQ5NLdj9WcKV7d1ufKHEGQCAQCz3EDQBwjBpSDMlWjC2A0QVDzQynpE
rZ9THVuUMFM2KEAbAHowY9eKFAV+6IsxEs+gIXlVFU4MubTrwB0EQgSwDLSrZ2UbFGM9NDLOjfFc
Kx5I1UjsH7OQNzbJk8OEkvKQoe29l2JbTx06dzsazzQpEVBy9FlaL0zV//YGgIeERT9tm1SLC0A8
25V1lPO/SS9zbo7f+c6LO0pFR5YCTDMJGEfggmDsVxeMQhw6PbYL8Errmw9ATIDSwPU/6tXoAgqc
vBzkreJprr9RJvKaOvKfbkudhphEwCMvIp++S4F1OK64IMQLdq+J2EQVA7fggP799DO7r0QrysZM
g7GgHFIPT2LrEzDRgYpLI1V+sKwfdZ6uVlovjh4AerAWVOGplTFiAxgQnYJ/TC952ByL3wS6DDAj
zoCx7HGv2sSvDdmIbV9Pdv7U7qpQWil44o84luPESc5eV1uxO2hknIkf53uH7YHP8ySOAZeN/a+n
4n00/NgkwKUyZFAyJAALiEZJBe13W2qAd0kBP6mqnQGyM6Pf0pJ2rtUCnwGMfOPcdAVuW2A4Ryjm
+IWc3GvAAuDNpy14Q5RikGnUAOwnX4XYmKCdGkXoEzuc1qP6Kkb7Knu87aQWRcB9AG7ChMdleRvQ
qSZVoCZL7G44GfJmjPdWxzkUS9cvOhX/kcEc71GTSrRYQ4ZVvU0fKnYXsxDaXzn8aLuHhFZEa3nI
Hctq/bKhaWhcZY29LJpWzccusbVqQ+lPqLmq8nl75a6id8RH8Lnw7tavCObi9RGrpdj0xK59t0c7
xA9i0igDP7gr15xSPU8b5iaxRpoEagtRFlixqbTuww9t4twlC0fxQh1mk+IWiE2SCBlAjiJhQlTj
ZTRTYkk7heclF9z9hSjm2pKMsvKlAqL6/FsStkn9UwDlla5u78+CQqAiwcQCKpoa+sDnRT3zd/4E
xsdQhW8ZJfQ/+qDKFSZgBIf5fhCaP1nIzYlepSjhXeTZ78sA8UewyRRDRiMwBmqasS0LyNujydjp
lXZvYY7JmEanKi10HaSeUParSuVhj113NszC4UhVQPJoCDsZ4cMUY35qEhBsdJZT9eJaEC3PEHMb
/CkeJqueJ+QdwqIiEtplCnp/e60XLlYNt6o0f4EBLHNmrTPEEECythAe0q8eg8NyzctWLtiMhjQ9
vIhh6hi+ZPRLQLKKN5Af26bvgmS1lHZD5rbZ2209llzVhRj50mgsvRVEocIyii+ohNJn5Ut8Hx1Z
P6ioeXMMdOFUX8hiYoUhC6RGo5DVodo+UBKWR4tLVTP/CBuQAIMBTIS48dBJxexMXU3hVNU0sTNt
8OKkLQillmQbjTSuwEEbk0zrYyfJY+oMUTPcAYykJJ3Ua1sAVD50zcSlqpyXkPki3L7AuwcLk4bH
LPNFU9QDQK/FbTCWAA7VdTIZYB1ru51R6rYvo/HDKu4MU1mNmn8IDPoQlJyBzSXPgNOCUomKW1Vh
M1dK6COjXkQJBpl+EsMgqXnni8J9a/WrHA9DjknNlsnoC0kzgTHSPIBZYLZZ6eqkjjS4hULyFYJO
p73lA4cjKPPyvQv1CJkY8djQybgDyNYB2EWGE00x54D+7vPVV1hIBYKiDN6BxVrxwWMMCtwgwWNE
x2Sn2aXAlKB6qj4JViQ7TYzeFWINcRbsqrLEIQujuAf0WyahnGRE1dOgxC2agARD/TQ7qjixoCDx
V6ppvBXLMQvceMIvkbrR66fcCiWn8IugQtteM7p00tNnWW9wCze59CQ2qvBTZnW5Ap2R/KL56JJJ
mhEkoYGKdF6opi9C6/sgx0jN5L6lFZcG4froIYGEFD1WAoVjUWX2RAwNsRulEEdPnhwBb/Jh+ABq
NedpzpMye83zG8jKUq1IICVEt0N0avuQgGHxtnld+0VogmsHeGEADQGXxKWMokpzf0LpD3Uxkk3o
8DYpaSUSBLxL+/rQXApi4wMra3zJgKABfWSq8E3LA7qwpoqUnXdbpfn6vzRVIDWDtlRBCQE5IfZR
IPhtYk0GXFYIds/s2IVOY5y6/A5HJUbiK+VMbizEccAHQVMgXiAG8kPMCsbDDFvbgafXlOlDKhv3
mfYN2FgH6IekNRVvyP/c1m/xrlZhffMrBPiHv8+UM7uIOl3tWyNP7HZ0LfMBQ6pZ+5oZT0H32VoP
oeyouG+4Rc1ra4S/g6VgnguYKFdVxT6RgXGVFIi6gmY9SOh9q+OjXqmc5VzWzpzHuFXAbqP8dGmR
UdO0Va9Cuxx9c3H6VY/E8nfoYaCDbaqubGy7tCaF9F9bDdRDnhTgDBZylyycpKk2hq+nZWLrzfPU
noZiS6N9I5BYeBartcRL7lznZBFwoW0KwJUzqo3O1tfavC1Ael8ltto8p50zIAscOxjqbmJiRG9o
S6SQqt+ZPM6YpVDrXC5zDiM5yARMlcNc62YVGsO6H3ltPddHHaohqYTF1GdGaWYHq6Zv5CTDDtJo
DWTHsl+PZWprup3r03/tIi9FMfFWnFPQF+FdbpsUrUFUB/V3QsQ04RgHTyPG39NoLKcqgBhwqpNi
uB/iN/Sp2v74J2hzjkpL/gTlMFCXWXAoKhvfaG0g1QBPwE2rIJR5tCKLWNpD5Z9aEXmUjBNeXOPo
wA51eBILIE46HCfjvqRSABieMgd4AZn+h7Qr25EUB7ZfhMRueDWQW+1L1/aCurqnwOxmh6+/h9LV
dKaTm1bPHY3moXuUQdjhcDiWczBD5FZPQJaJkkDhD0344jpbxbzpop9TiSLtzsAztbqNMRqgAVu2
v1KB+QEg27x6yuZdYfuskOFxrC398fcJ9mrzxkitCIEH0w6g0OmnTU0ejOazZZIQ55zgc1kJZJKA
cACqFMA+nToeo3YaLbawEvXS6cy22XSfxZTHNW3TB25PfqwZNG2LICvh2bOPyrgqQy/jvyzjkI4v
hQPMCQx+2w+jtKC02NfplXb6aYKZdzpY28ZlEXh+NanotU8C5NLrxDfc5yTf2Infp7tS8bMo9wtZ
O9ma47e/gXbR34tB5eXvj64bzpElRuo+82b0g5eRSTGVOsgomc4vbWh4JGSJU46EpE3lFlEKIQOw
qFtqtVsCjPf4ebDQAH2ny0rpy8+dLeiROMHqOZ+siE0QZ1sJwIOpadyOgIZ1Zc/ONetFAlJFowqi
K0u8zLpJgcmV8LZG2gMTYF/PjzGeLab2M8skJ3nFb+C6RFLaBD2XcwbKTEIzyZkJURiEsJEUy0lN
o/Iu0mhqeGUqiRtX9utEmrBfQ6JHmTJCWprsZ16C3yOmLDaprdPc/DCizQCA1stxz4odnogU9iyx
TL2weojUayNQ284fyhtVZhgrG3YiRHA385CgQaCGkGjIKcAwEAdjWdFF6fdcEunoqzuG87TQg6kY
ABQUyovEzMxpWcPsiY37gd22KAajOGsBn7N4ZgmGDfrfTfEbs7ohOHGNGlggQIhTN5j6ZGzfRps6
zHytC2pUIsaso3G/QUSRmuCcuBtkmK6rS3P0ucLSwD92hc7w+zV4sdw6wlj/lvDPQXECIgtxZUsj
pPhqBzBqYJPChcs/S8tvlFeG+pHb0jTeq1NQs01lXLtaoJf3rX3Ip8Lj+qNrvWU5wAxkV9B5tyJS
tcAz+t+NQofwqXNq1CwcVBVf42KZAXIc3Vi9ZwETuOkx2hLRcHjr6nFrWfcF4FowCHLZ8FecFcSj
89TGYxNBo7AYCnICzbiEpiG/H91nHXOGgP0eZRA/q+frjxhd0FKZQ8VtGMQUzRurBz+qdgWGSy7r
suY3jrM3gt+oRvSV9SCz9Axn30//2P0zuiEmcuDRZwkgXGmX0Ur2ZAHCX7DqgQ1hiAW13p3jcdAs
vJXQTAQ4qIz9ICBxDw+jOdPRfTWQUmkR4kjUPAebQ+ALHHUHCUdNR8VIuDRJrkx1WNoZxhWal+5n
Hhifhh//BhYVpir3GMOKfse0fG1vnCtZq9rKPkI02A315f0EiJZTa03rloekJt9VH8fx83bbj8Ff
7yIBNCA6xEAY5YKv71RElZMKk38Krk/OvNbZ2OC0BXC1alOL+fBFSSmpYKwcgWOB33nXo/DA1ota
q8YQZoNe1iyp6Mz2c3edGJIS39raHSn2/Tg9ktOrUeSYuYv3hAJ2U4Jk0kgb2RmQCdFPV49UnVUU
8NxePCC2Dz0DbUAyLqkVZ02Q10G3OlISsAThbkltZc6NFPaHeuZ1A35BgydX7cCCMo+8qE8k67bi
r0/ECXcDU/CEUFTYXKb/TjkD6bFGMyXgzsHBWsoanGXSBPOrrQ6Y0AWk6bZfJz8TtHya9W7EoKv+
kHZfl2195ZpG5gppD7QzLYdaTH0SK3N5iz4+7wpF+S3wzJ/L7XSo903g7NGk+oN55l10XdDkVvlA
k05QbZNrHw6HNoFsvv3cck4/RVhmVQ3toiNK4hEA7trjoTV7WpSbywqfnzUIQTEdCUEU1s/6q605
RyUIMNKejpK22flcYQgmH4kM//P8KoAcw1lySmgRQR/j6TFI5qhUKwY5mvaVkgBprJm/6kVCe/sh
J4MXW5IX3jfAyWnUfypRWD68qxMtDCHRuPtgnvHWBE/Jnm274PmXS+c39vgrbwLmgeeH0aqlps+u
K5odyqdoMwdGgNTeVlZgOT+np58kmHKmDqU25ctih0Fd7Hr30LTvruUXreR5sFKaOpYEdpHT5UaP
TjUUixkDU9xAkjcM2Ya0IWBWjCTZMDe3EDnV5W8ztqPHWHPird25UizxVeP6d9MN8UGkTlo0DDa+
AsNJeDUEgCcL2s9MpfeTX1HuMxwbcM8Rifary2xqiAEA0Gah3fhU+bB2AW6gIvvc8psGdFSZ/uCQ
99HyeS3xhKtWfSRpWYCjGyS3EhVs55CUDpilQ6MCtzF6jYkrcxcPr735YLZ/fTdiY48kCufIMUNz
0gxINMgWbMazTlCOuAur/1CJWgT9W/UQ28XMMS7GaalHqMRjtmdpDe0xFo1cQN19heajyp5H91aT
4Wys792/YkVK0DBSk8guFv00H42etFbubRfTzoE6SF5kq+71j4JiEVyLarvJS0hSzMDKbob5Xpve
LjvX9WN4JEO4/DVFqUgXx6nXoN9XK4Mcyex2RhdyyKjV/wDxsDLte1lH7opm6HtGi6yFBBfyW4KN
JLER9U7KENsn10S7z6y3/O8jDmQPj0QIzpXZmMMbJuSo0uK+1e/r/gcvvRl0fZ3Eja+kLE8lCT5z
5OhEQokQD9G3FBCkdYGJnP4F8Imb6Nq4peggN2n884CY5645GAn9+lI/Mkn+43w2GDiT6IRDNxyY
hUC3JXiUycF7bcTAIW4vanTU3DoH9ScH6PhLCeLYAkCTh/ELvEmy0YyV03AiV/AvvEOSkvSQi27/
TH0C7IyDKTY49GTa/b2pnogSjAa9a5jwAgoUyIS+WuXN/icevLLC/FF3o/EXLblBe7fk3bRyPZyI
FIwoU0yzANIUXtoxHbS3Wd3W7nUhq/UsvyLEASdSBAMCakozTw4Uc7XfU//TUPzQfeTxY8Z2oS7x
KasagUdg6cFDdlks36vd0MTDgEyjiURBj6oca7woA0u0ZLdWT/iRHPP03kmHXjfSFnKi+U63/LB6
7mWxyvIT4rLB4OFBljy5JQZsRevEpR6i3T7U0c2pfkkHl9cFgM3te3DxjBLMcJAdIHMGHTQjsFP9
abb+eooFx3bphFwqU2jsEpus0lizBii9eKnfZfVoR//Fgo8FCP49bjV9nIscnYP5g4piup7ekewx
loVza9t9LEaoSNUJ2C4Xkk0vbvZz8UI4TUKJRa15mmMRgkUB1jaKxxSaOOWLwt7dMnAUJOCmlGZc
4k1XN94GlCwYZDBzJg6oOKk5AGAa9TWLXZtt5TX5X4MPL/t+JEFQJkWwUpZLVbnFlYA8UGVJorDV
DTkSINwHdVshh+eiDUCJfzDz2ZhGLxkkO7IqA9jGQB9aGoHE0iCI0UHEPqIEX453CsBvy2sj/7rs
9FfCV1s/EiFcL1kdNalZQUQ13bYL1p8Phpq+uuGg2ai4XxBX4vHXfLEOCGHze870rK0c3Q2ASTCQ
dYynDbcbXy/x5AJ8k30N/wwacYm4VaM+Eifo11ouSIuXVK5TXw/ajpEXYvhTvQNi8uWFXN+rP3oJ
l+fQO7xnMwR144eNSV203JoSk1vVBUUs7XtK87xlgbs5BmGQkDeq56H6weK9GaEV7ymRAblKBIkU
mBw0J3nO4fjVadfnz4has8rr0ZdlSwYsVhftj0ZESF1GIDRrNTS8eXb8qmQlrWsWuLLx6rUbeYF1
Bkgw4lVQ0Z7elCq67YGYtpi4QU03AgqAr3YvYf1ffNqRGMHStDZJtDiCGF19UJQ3rviXDWztJYFp
NHQJYM4fSCLfVYujl2aZ2EkRLo0CfM4DDlRxJ0l9g+k7LR6u1OF2LAr0kugFp4XbSLq9V0oiyBKA
5gF55qUJTuz7TwqDEaed4Yputat8i5SvryoUhdutMdIwQCfZKBH5XX8Qw49jkYsnOdIXngLE8Q1E
6ttizx6fiz1Q8bVXFxhA1ReyB9v4VnvQPgxP8WuFysh31qzGQNgDama0neIBdyq9NXLXmEFF5Y3O
XZlm1Ep2g4Ker/3lXV07AejDWAIUZGYdUwhN4xbYLY2DE1BqWz38p5/uJiLLP6+0WGHz/ggRUTLr
fOp4TiCkqzy00Pi6cxOSd5NsXcvTUM8tHhN322SSw712yR9LFQ/3ZKBou0htiivWlrT6+yFDqAWe
OuwRQPrQP3O6RbXez9Vc4UC0o2ID25okzdaYQh1wPiS1W8/qVDeXnMK1+9JA5yTK7mhSB3n3qczR
mDWUSCAzbM0CvI7OAHKfplIAGstaZ2sNuu5XTcVuwLyN3N4ERI7/YDB/lBazIyggN6mzKM3LnznZ
c+e9kzInLanBs5N3JEPYOT70Ia+AwI95133caHSoLTSf3Gft/YwUcRP6pRKoenBZsTNzcTAHh5Fl
HAO8NUD+drqyGUZiq8Gqam9w5+sxJY9p0UnW7mzzFhEIdxY3iqeZWKQbRn1szL6uvcLRAEMQJ7Ss
IoynViBSLD9LTD+EibNHYCeJ487u00XuMk6Mqxs93WLTresOSm80HHK1a515pYJnAlB2kmxXqbKp
+jO/JcgSvGYOOKSc9FjGivCOdqA22Ci2+txmvH5sXMWQeOk1cZjhcDC7qOHRKz53o5xPTUaa2rPc
8BNgymjbbGva1Jh7G0ryeNlEZMIWEzq6ESawD/BmwP4pburnuMltIFLqz2EsW8Tzu1ZYRcG1MDXG
eEyJVYyBrIXxphbpiUm5dhj7J42zG8zuINmrqkWAUWpwxpCh/rqs6tm9gA/ADwB/Ct3mGA0VgpZy
GvUqa/EBGkfKFf9zGYTT8BkqTS85d2cB+bekhTgWWIoYgFqM92hRzZGXSWvCOF0zBLRIDyxlnoBg
xDDpAoBvqjWntUUmiSNdOxMIZf4VK9hpUlZlaGgQy2tCzT5gxDdxzcZFCHK2zeXFXHMtx7KE3Szq
urESBYvJAKWVAQ6NVZITvr5d/2oj9lJUdaU0CeR4zLm145YOw1Wdfl7WYtX6/6yYWOd3cJuBqAwr
FhVfDBEPi3VkZaK7lveSh8aanzw+1KLx6eiU60xokwKZh3Qgn0Fvmeq+zMbkNSy9z+sKgLBcwsMi
k7rof2SIqs1iKzThSnhyGDLVr+xrnqR00tAZm4MncxO3ucQwVo3wyHsJtq/GA1GzHiJNMDBUpUaZ
1j2lBfdBfoXGLNlM9eoOHokTbJ51de84LsRl1kSNcG/3D7wBOrpsSHdVDjIGYEYDkACmlk5XcsC8
sTZNHdqH3fIqDoln9XmgVCm1C1kmZ3UFj0QJKuV26vZA6YSfanCr/rTHHUtHzxwLr7bj/7JbuD3x
CsFsGmYmT9XqdGeo8gIHwDI6h07lTxJnB67rsZ/jQNfmKDnU53Hz4hr/CBSZQCyidAWI9GpP19S9
WpkHmzVXTaTui+6tjfkd8qZUi2GmuYpjku0vn/dVnwJ4AM0hjgasTGEX+ZiVYcaxi5kCHFlu0HD+
DK1Q4odXbeVIirCBZa6XXZtAihozX+n6vRonmy4tKRB2JQd89VZ1l2KwCT45coZxAoaMoY5yyFLa
QAeadgrU6gTwvZFf1SYFt9MY4YleSi641XUESZCBjCAmbcUnlt7ZPM+GAX5lCjfjN622kfi20koy
/6v+648c8ZU1xRgMy5UexFip62XGRwOCWLBK9842AdKoVf/C0J9EtWVzTgL1xUCPRAqB+uigQ1Yx
IDLDhrmxj/u6z72Gf4CKgaq2ZP9k0oQIfXYqkFo4WEhzoHr4FCmPtnsTm0+AxIlk0BuyxRTeWYNd
2GahQpbd82BWfODUtDOCkZei9/io+ak0UyiTKASXaaUAuQyBnKdNyaa1ej9xIzD8an6Ekx2O+Y+M
jXd2V/2+fMpXY5OjLVys9+jWw8Ak650SYpfZIDR9+rGUsG6FVxJmglASGIom6iAib7deEHgXBmR1
plzH/UvN39oG5Hj+gt+OpFuxy83NDDqwMHlw1JjaqjdaV6TbG5VXg7f2ssKrx/HoY4R1rlne9BPo
tb3efswx0YZMLNB9JEJWV/VIiLCqQEBPrIFD4zQ9GPUY8ElWkFn1m0Rf0DAxyI5A/XTfCLYqa/sZ
vgxLqKFt2wypWlAH7R//Yb2OBC0fcmQgqWmEVYJxJHSStrTsEy8yXjRb4rvON8VU8c/SOQgaHIwd
nwqpM03PiLs4EgCaKD3blp25KTH4fVmX8205FSN4EIWwyEgN7L2j631QOGoYTKyVTUacb82pFMF3
KBbR276FMs6s+3nyUmeM8vBzsCRz4etyANhlYuIT0+mCHGesQNViI/YxW3urOeaudjEoZQztdrB1
GSrKuXuCUhiyW2ZPkcYWh+x0J52rEYCQyOG1NJ6eDMyxED9GJ7OVBHh74NRKDG91s44kCpsFNHQ7
jTIV95k93+KJT1s3erhsD6tm57jI4n3D67iCbfdkLEk9QSnFyD6LYjBfU5OEYOdy/3rOw0HBaWnh
MIC4gdldIZjKKoB5aJNZe0laHvR417fGrdnolL8DcumyUudIl4sszFwCORoIg2cN2V1T6qmT2wgb
J09726hPI9UfSq+6sn03Rc/b8BZ53acm4637zneeRgOncoUN0/A0cybbqj1Cn51Ddg3urGC+6zcP
mpfhzzpQtHT4YzChu/TZCkavf222SuD4VlAH7S550Tz0rvmuV16XfhsMr8bvyytzjgErrIx4Ysqy
7jDahi+8i7fxc/UKXAPP8d0AX3BVBQOAreYD4EAeC1AKbw3aWxIHdB7CnC7RYvNHznRWedN1Iz4A
04V1/arZz8h/m/n9ZOCmkBj3Srh7Kky4IpiqRwthKuwAQzvmjWEFEVprVWfT15uweqpRNqkkLun8
OXYqUjhQ0wB6PcZgegvuntExgGWgsaKkfbgjshtwbS1RIVExeobzi1L46VpGqhP2pUJwpEo6Kgam
K0I69cCBjnq/q6/y18vGs/IaM4EJ9UeeYN4FI2aVEMgr0h+tSTP1Nq8+8Prz3PJGmdADuYxJNa5/
Weya30X2duFsA4yMLTbBjNWoxGmGaiGiPzDbKKAQzKJAi12aVjtd/eH8PVcnACbA2L7kioEEKU7/
uAw8OxOHwDbdDPUHKV/GUHIOz6t5OIdHMsR0Fbf0Sm9rBTdXXT/N4APtup99yj7MJak6afdaZV5V
VuarzrDl4LFJ51eiGpKzeD4SL3yFYEBJxmJ8BjQdhsqrrE8eFg/5WG60sPCY/jIPEZ4y14rCQCHU
AVYtk+Su1w7L8SoIBpWWmpW7BVbB7t2AVxgyMV9n7dpK7omMUmDNio5FCY6vLPqKkwaqqsh21hUm
NYlvdL+NBqM0XtrsSP9fnM+xRMHTlZaRkGaGxHR6Tvh2zIF5nFPgDfpt/6MhUYDh3lr9+0zrqWEJ
Lm+sEZDMi9SR/ChRDDBlMZdsIQUH5+SaBfZtCGiKGYAvJpB2BxTgwBPdG+C/MsKXQinoXFiPl93A
mrM7Xk4hflCasKowhAs3YAC2d3wy05aSlnhV/A9owNjfZ2WWdUSOZBkTtUwxtJxbVL4zIEt5Uf41
tD2SMSjq+7n247JWa/HXsRjBSHQe9hpZTkA7J7uwmW7M1kRlTzb5uhYoH4sRrMJibaQ2BsSozWMB
VJuZgPil8khi7y7r83+4lD/rJpiHwcMpiRRIquMKE7JtYLFXe/Z1sjUAPG5tlie8hcF2HyVIKpG9
uCsx/EIdWkMt/xsxRXBnztho5WxGjTdk1vBPnprj1k7nZF8sZMK0y8P+UanM5nXuTbAY1V15MFHx
DOokVzaXP2XVsWk6OgrQvo+K42LMR1GOkdkdI3XceHlv+jGoWVJQJSSBaQaESUoF32gAZ1ofyVoO
7JGscLR6ljbQmtSdz4YZMiFsTn7w1AZu6ntuTD7UvGqtdMt1+51UMVVVjNyMw7XafylOvoH57zP1
l6uB1E1z0VCibBMWPvIaE2xNCZ4tWdOFbH0Eb6zEVQp4f3yzov4zFvuh3lTKVYkkLpjK/n87IRww
F7XuJM4hyQHqeEmConou1beIx0FZ/fWI/nKdHu2EcMoiJLDMrsKuF9mmrZ8UEOiak1eAEyy3mKd0
rxp7uazdaoR7LFI4boheFDLbOG4W2SYWOOgC1QQwLXDZMD/fPbgT8kuyhtv14OVIT8EVuzxkXUuw
pkb1gNEKqlrgj37NZi1otGhT1C3tlpThw+TQ2j2kk+RwnU8CfK8zxopQzndVkOCdWjxHiwlpWrR1
W9o1LjxvsDEOEO/m5BbHvKo/HLQp9eOjNnr28Dy4B1t9JVLUGH3dhv98hbD0Zjp11aDjK8jdnf0+
efG29pN9Q2uVgq4c0RsdfHVfer8qGtMvlAvVTeormyxw/fn9shms3o3LnNX/LoiwIRqf+xoep/HQ
hpNSffhAEgME8MXkdyrfW2bjj51FJCdr9S0JwKF/pQpOLgMuIXpTIBV4mbTYxDH958O9BY3z7xjP
yAJaL89JmwK4INrANnd/jwonGILg+piep2UW4wvSmhochhD7ZTVK9DwfYjyVIrKAlEiAJ2ABaTx1
2+RBt9O34M3cf9Z+/mlR4/fkgWbyNVSo47N9ceiDlgIc9d14/KWBTKPcA2HFT335IZRsupiP6prW
cPrls6ouJQ0A5EyMUSms2YXouQdsTD3+UHpHe0RzIohtCEDEDk3HwIwAeI3uH1NLTBPg4JP7qZpu
AopLzb1R29wBFUjhmtMD6DXb97JP+TX6Q0O0JBOreQSYQbeZ4qSJN/qQun4J3LegZaPS0baqXOBh
xDyMAqAAcqB5We0OnTAA7SEcqVmuaA+j2tlPSEGAxFwDfcIujCvnNW+G8JDW0RRRoO2Dv6CrkPY2
hvkWzc/ZNlFG9MYVTYmWS/CPDwDFuM6ThvjIMANzOq/bH1k5DYfQdmNg3XEwP4WuU9xk6HW6K82a
/HSRc73Ju7nCqCO64dE4WfbE3oSWWRwMdNxvrJCofgGcezoyBVg7VWO8g7Gkuy9h37nvjlGFYvRc
+HObx88K8OBAJpU7923WT4QaZt011J5nbddWjgWsiHayf6lYwKuYRwWwG0mnYljKrVSDcjcewaGK
2rOlZGSAr+btoXPd+sWZ++kZTLz83hnH+K5Ro/QAFCANzDNEC7KhV78Y18GEUNbqe9/q7r4vYvwi
GAPzTTURPmH4S2v3NSpShyg11Qc1HID7iBKV86NX+/Ym5hPoBjlXi9/hTJRNGNsdmFjQVLHTnLwC
2nmU1eahA6q2TfW4dYsN8llmR+swtHJUnNJupKgJ6RN1El17nMYmejBDHaiRZZWFt41r6/d4rQOZ
wOZO/kHqKATrRRKBPLghtQIkbk7cnWoW5r0apu0hzg3lxkUzX+tVqpMEtR1OX3Zjm145J0W7vewl
v3Po55HSvw7L1U/vDXNGujBVcWL0G/aIgPAj8e/TQ+j/Kijb6nflnvmvwxXZT5uYKrLk4Hk3reBG
hJgnj5vS7Rd36Ww/O2TWdvET8Drnh4Lq73PgBMkDUF7INbkLb9GAGlMZqcbqw83FGI6NKRz0bQry
pwzH2oxSaN+WJm1B3WybsxOE3fAzT5xfIKi8JgU2zSqn/eWFX00cIXeDcZOlvdAQL2zGDZJXY954
mdZsQqMBj6jj/kxjbm5qo8f1YCuIPNFTRtUMWAaKhmwSKNUk2YblQj7b/qOvEC5s0talo6L45aEw
dRsq49ZU9nO+BYGif1nf1cjgSJBwHfdAkVRQYWu8jnfI+XZpT6skvLZU5b1joNWcZba1GgaCKwCt
6SZwV84gHJUsda3RTBqvHa4MXDuT49fkSYNvbiO8b/x+vElI8PdaWqrj6PYSgOKdLJymdtK7bIJM
tf4sCC5769WuLep0r5asnWZdP6TjMPYJMGkQ3ZzKimKitmhpbDw0UgKV0hivMC2MW8d30LFGzA3D
HLumSRRcwkjRXoD9A8DZBVjREisWvcuiqm+LBs6oAOJ9chW3LKjwRr+8jqtiAHUB4i/gPaOSJejW
TTnvQ0TT5byrUxeU3Dd6+3VZxvLKOVPlSIbwCsIDGEA9OmREpOIbrW77PU+jULJgawcMmIb/arJo
evwSnSaj4xqk9ENNq5TTAZh5g+4DK9u7rM+6QQAiG805IJ45w15jdlEligJR1lAH84BYG3eIw2eP
NyXI0FsbKB05jTFpYlaG7Lit7RhmMcC9YC4Fre/3yZGeeCJHIGZoQUqPbghWBwwwPBj33l3W8cyL
oHcMaW8MfIAfd4GiOl1Nu2vNhqcAUiqnjIzU0MApkQ5M+9DTEO6SmzzMtvnY5ZIKxpmtmOiUxrQC
QR0aLf2WEFQDfr5I7QFgOUVs7cvuhoRcchGfrR9+GC1kuIQwaYYeOUEzJQOCmdmxHACsaR5Ysxr7
dt1gioWRfy6v4aokDLshEYMgzxU7j+bKtVNVccFXBSqsQX/oyLbSeXBZyHkGBvpYOhjhgPEBcgnx
BNsdkCJzMAADpNufAvMm9vW94RdX0ybzHX9GfS0GPyEtC/An+MXW/3nwnEDSGrSCf3X6EcIRZ6Sy
alOdgNK+TTpv3Gif7lXoNzdsX+7dG4fy3+k/1zpN7yrfeby8AGsWc6z/sgtH50GbnbhOa+hv2agC
ISQ1ZHOY30t44sCEJRbuboPXDt4y0A4zEXD55scH2Href1kH527eIfh+AKntR/5QPre386fNkJf2
tCD8eVnPlRN5ss/CvU5mjOeqBj6iztEie5+oG83Y5fl1OcmGJs8J7QR9hbc1qv4FCtsQhXbpd46+
0ZFWn/mP6/5F+XJ25mObAhznsnaru4irnDggqELiSNjFtBiLCczymAvVwIHUucis/7os4Txlsmh1
JELcRcbUQpkhokQ99o5Tlm9bX6Hk7jkh9JdK4y/7+bWm4F+uAwRmPqDbnJh2G/Zp33ZXiSJ52Z/d
V/gcRBToHtHRPYImolO7RQcbweVgAClAO+jDoTCDyfkq8dL5a7XRPIprEf9FYhoFhVM5VoYuK6a6
MN6ElRu3w1VR9G49U1JYduQTN3ZumJrHt0iodKVflzm/HYYMGJWzwQ5ZruflNqw18E1x3gGQ2w6z
J11x+LWejONEdUwQ7DBAZ7GPZhiakCZlorDAZmzSkaJj1lPmKgk6ixrd3icNxmCokmmKDNj47H1h
Li2y4D0E6h/gtUUvGE4IKOoaWgI+WA2moQg9s2mU/YCOeapwsAro+mBurakDn0rPHUlIcO7qIR7M
T6YGTHEMfguHE/hVA0urKEfhUueblqTRmzOhf64I62JzeUNXReGOBFEcRkHPR9DcREsKZJW9rOsn
SrSC7ePKRrITKXWJ7ayJws7BPHEXY4ZWMJ2kMpRyyJocw9pVc1U6dvWgJ63z6VQGgPIuq3We0DPB
3gFsVIQc6KeGEzi105G13dBUHNeUVzwjd7IbfUvzu4zi+Z7Q9LoNwk16HW2XfpUsgCN6LdAicvkj
VhQ++QbB8Wlp1w7RgG/ok2vLeonJe1r8h0U9kSEs6pSqUVc6kDEXd2F3V8ebhD1dVuPcmZ4spdi4
Xo9z0yozRJjztNG0bDfFMi7ONRHuAqGPbm4XZIXLSh7dumQwC26GEKEkZMNscj8UqUSL80w/LOJY
huCwMVaQFa0CGTzI4iC5z3841+peR/vFwd3GFB1Us2xzZGoJRtgwEiPyhshsrqkLJOBeEt9+t+2f
xhKnSgkmFqmmXSqLhPqaPMUAN0a+3no0fZvmm8Fv/N5z7sih8FRJpe68C1hYTcHukO9j7hjXhec8
ZPe9ryFgfLeu9HvmOXsSZBDvvmgv/U3oyXjpFpXOVMbTEqTFLm4gMQFjY0CkZRyS7RJEV8Vz8laS
FFV0H/wA6vh52fZXLgIAiwMJU4cjRuAtGCbci5t1dVtgovpu6oG5NUY+8p+jDb7k7RTaW3Q0Xpa4
5jSwp5jKB16BA46306PQJXHpViXSZwVCP3U85MnPrpHIOA8WIOFIxmK3R8etNmoFbxnIQHcD++qb
VzUC/Y3swJ0P/roE3O8Lah4oKfXvA3kkpbFaBy3kGN4Jf6iH6slezELfcIcirpfgZaxs04koQaF4
0MOxVpCCzK0rxU5oHj/ZNcpYLtXsK8wb81nS4ryygjhaeD9a6Nk+T1JlVu/aTQ/mwKq64waoRoAs
209bs1L+fqtUDLjgyUyQjdBFsNxItzkpUsxhmCHG5BgoFmYGCoUhaEz+eNnyVrzVsajvPMXRfoWV
WapzC1GTzenYFHcoXrxfFrFi3LAIHUAt9jJsIr5hQdiEmK6CiKGP/Dw07lNgj8WpjNxszdej0mMg
g7hkyKHVqYF3zFWGKJtybx423fzIsisleYl0lA99hwEkj1/NqGslt1V2z7Pnyzqep+YRPIIIT1eR
0LEWRuFT4WCaImkcmrmnPwzI/dLx2tkH6TbdorA10WnjPih4xw4UDFY/lK0M3nZtF5GdX6CVF+xe
8emjKgpBD4UF3mdg9eYdjgT7DyEj0paWpruGDbQfwSdanVWGNp4WYPR7wVjXrD9IQ8WVNyPWEKA0
eNVgHAL4JKdraLJ+snPNxtvUukoH30VNtqfjA7uZH9qMcmXzU9/xnWTj1g41wMMwU+ZgrAxT/adC
58oqW4tDMcBu0+4AhNcWeNEMvc7Yqpze9b6+dW+rnXEb7uoJAL65l3rEoktNWPYxaxesevwx+unH
pDPmYrMGH2N1YF2nSU9R3vJT2t4nGzwn1TfyyECRThPm3f6WLMTy28IVeyJbvIOcgmlpAdn9W/o1
HXwtCjg177v3X87veTvukJvfDdc2ockDUENR//Qq//InfJvppU9YzPzIGXUcJHn1shdl4D4Zbz3l
nnFjbWF03hgoNw/6QyXJXZ/nYVHQgUvCOxqmDUpr4dx2uOyHqAbKl9Zup9ibguYGea+7pgnS+1Ei
bMURLq90VByWMhIQD07Vm6K0rOe6giNMd2qu0HneMV0GM7niCpaGLbQFYSACKQFBiGOVnFWOBhPC
2HOXBoYp64Bf2ybQSC4c88jvgmlQ8AVhWMRNURKMCd422/gVs3zhtd5R9ek+fYsDUDghIdFQiW2s
RIAnQpdzfGQbuhLnhZND6OA122inUQfx7655xwTAjb7T76yE1pv4Jr/S4P0kkcZKbhId6vDtSAtg
BBTx36lw4s5jFeZO7rV+uOU3yd45RAA3+NTvERY+FC/Mt/bsPX1lT8m2lVyfKw7KBhsBygQ28tr4
91R2zrXaiMMYsWFxE8a3jN8Q92vQJX5wxWwW3lqUwoA5CZRSwQ0C6bVo0+J/SPuuHbl1aNkvEkBl
6VVSx8nZ9ovgGdvKmQrU19+ice4eNVunifHZ2G8DuHpR5OLiClUZns7g6TS+WTIqn5W9jzwDWMKR
nAN5t1gMKLuesswoSzR7oKySBVp5B6nay3uEfwXBfeB9gGoXEhuQSRYF2bQ8NKxx4I89dacWz6Oz
q+w3wzoQ8zGEyJditbJNuRrt4sJCHQfM5xiOPP02STEwxRqgJUIxsbWJPOWnOwSgZfFK6Qto7dSh
kPKJJRwAZc6gxNYCqwS5+m1x4/yKt1bQb7WtdufHXnxD3onspbmyK04whZAKOkRMG1VgVpv4mewq
XJFxAHVJuOX4lnpHsFVe/oRSK7kbWBxzhajTkPbQK7FxAX+Q1yzyqccOoJDFjE/4hDmkY3/4Otc3
Hi2LpRWO99hpIHpk3Ez3aVaujBodeb5OC69ksimytSh1iSUmVqpiMC06AQvPsG5DYJhv+8ZTeYVe
Dvuhe4qCyyu6cvAgFYRyGEbWLLxbxINtDCW8GoGz7NFfg+smNZ6bSfbdzlBQvMeBg7Kthhgfvur0
s0FmgMx4pEBBBGqEKqjVMD1uyxQQZSDC3mgwPE7DCSBmSD0aVmgQ/AfOMVgCMTeI9CIVzDPCgiXq
OFnTBFbcVMNm14MRrVOXv8iZQ/+LAAyCJDPaWQQEiu6wZNBAxDo1bgCmEMd9VHPXJ++XYVZWCxEA
JBm4AifmPvnfFycprNoa70iwCXYNBf/qBPqht+jLzwITtV00sXINTEhTiquldFVstjaE1ctYf9D7
ITBLsNBFEj+0ZsoSRTs1BbPeYQ8GBKDo2cEiZKcm/Z1ud7uvr5ihY71QUzGQhhfcwDAhKW9hSMgf
cvOaTvqNbQ+QT5ZxiK1ZA3U33Bhg4QSjsADDZkVDnwnq4l2rewho7Eb3lExy7M/CJXwY8JThFkR5
WsWNe7pkWtWUyOhDzQX5jO3oQsVlZjvIXQZdnj5OyhjwJrfLy3d2/QqQgg9InbqxJwqNFYjK+RXZ
JPXPKKRBNiFjl2+NdmcmkriM/4snFz6yxihgIAyFIrF91pZlz5VVmxQVVcfBzESGp8lYb8ys3lmz
8ziEhSRGOm8D43iIeJHYAhcIslunixqHeh/2xYiGWLQU9PmmhpCYu6tS9OW/ZNmrqj7E8Tc3klTG
16wEzzFXjUbiEyyPp6iIqsakaJFs1dtjFIPJl3pdctVNLmb5JRneFdeE6h7ibCjMWioeRadQWpnl
kOYDFILgQ6GH132e9cic/Old+nB5t6xBaQgIiYN+Oh2X0ymUUVbdaA7YLaY1QBZNrfsbJ2b0uu4a
sIJG7B88FSR+INQLrnCuDirgjRq0OkMNB6LVrA1EsDzHRjlSlohZ+1bgbUeUi2SMefbEc92MYfeg
hlipmR1kdmR7c14+JGoOhT3o7rCy/HZ5HdcRoVyNEVPc7mJg3djtkLcN10wazN85m3Ya6JfnqEWb
tJNtO0tGBSrD4yHj4lrppo5Wdgy8ukj+kJhijG46cp2tDvKvViuLl1acJYjwP80TbjGGd2aD5kCY
V46YsXkGscG2SjaX13AVBK8f9App/IklvJnLirlOxW2YMu3Q6A90MDeWKpuuWd3xCxRh5ThtUZby
Xp4p1rakDb/1kJbR548oaSWdEGv2oNgKp4j7xUHt9fQb6TNL0zll8MTDYz66PubZvFjmfFduGGSn
0WeB/1AxF69+IzWgV6fwgJKoQUzeSPIWospaht1Dk4BYVOIvVuHQ5Qd9PMvEqLBgE5tiQgxMFPvd
XB/t7DrXf7Vjs7F+12N0GPSnyzuCfwvxZtHRwI+Wh7/csILPbcnYk25AxJG57oeSOxu9TCTZoLXt
gPAMDZNgZ0cHvLCzcYhA2t7B1yKNcyB9GfQj+4GahofWPMk9ubYfED/ZKC3xkr9Y0ErUBm848NT5
qb13dR2D7/tOyyXX/3n6FrfjEkW4PCwjKUq3gUE0N4pfoC2wjuGkt/eVNrAXVZltNM5b9Q5dKzmS
83Z3ldaolXtlm7p3mjsOT1ax0cbh8PUviSV2kbuBQJkrPtH7vJ7LPDa4rF14ryf1/dS8XEZY/ZA6
aMHhQPDGEnmetcgsXdZyhKTJkuNACihdT7raxF5am+FPGg+yTOkaJBJvBmIepPmwhU4PeEgxptyZ
cMJJXnwbyduc6Q816uk+yizby9adZ0iFzyocPDdhJuYssHmUZh/mIzS+Nhbkvk2wPKVB1ei+Ee86
2T26dtrR1YSr2kLFCJyipwaqStTas4nOprqlh8TSD3PSX4f5tGdwZWHbHzOj/XrEzBup/oMU1nSo
LBaWESAh5utRw/Im54OGEMgON+i6LJN/8Gd4X/IWXN5WJVIRDowNRqTAn1EIh/c2+VaS+ggy4SC1
tRvKwKRXyBre13YNn5vAfDEqzVD6PF3UuJknM3URctkowBkz2bKivDIq1FkcU5KKWw2Vcd64/wTg
OWGYnWZm1WOHhijd6NnoGbhe7WibZh+T7Sn6bRM+2drWsCVeaNXVYcdgzxjoNhJb1WK0y84gvOIZ
aNtTy+K+BQlGCBqTy6diLQpCdv3/w4j0F53DIq3n+5O00SairwqKFk21jdnsSZUy1z6bCcppdIdB
7cQUn6WRqaiplvOYcgpBVBA6v9xmtMGAOMUec7PdZctWz/vStwi7JHIHBw1b+FpWr98m7WPl2JWX
VeMuN6OtNuffp9n81hZ3qRVLbsTzSxf9ApD1QIGRv1nFG1Er+5KFalr7eYieLXd+HxlEnSTmrYKA
qRg9Yrz5TUyLDLPZWUWf1b7FjPtiaAsPaPTKUZ3yqIDy1FMm5T6NcvtKjRXd12aohWq5tbOtIfOS
CM2V6dcfeLAbaWsDtwfKC+IVVTONFJMOuwfzw2yesigL0AgY6DnzMBMoyT6dH5BTML7bFvF7X+kt
qS2ATdEU7krFZNBExdiLErP3y0t9ng/gSAg6CK4pwzyLqpsKcpAdWBpahjGKPI5AQpEkSqAy5dCw
xITwuKt6eFD8plP1fBl7zUrc9SjIY7KH92ucWlnGoUOjuKoxVh4fygh3R9kH6E2V7CYZjHYKY6kl
mysbJqZ032oFtE8hbihrDjo//6fryHf04ovRkvV480M/RZktH4lcG0TDVN9IWU7PfdopDjd2gcPS
VtG7uqj9iHW3dgWeMXRHgroWBAvo+99f/kBrmwMMrugIQQKRQA7kFCymc6vlEO/y+64DH6cOHleD
WNNrVVLTw4DlryRHh0jVDukLafviy3kO9EiA2xhNXridUL05RacTyl39pFSQPqtbL51beo9xGMxg
mZiWmuepl+CtLS2e/aAqxzHgXRqneDMNhwjc5LXfFMwb+le3O/bhXo1uEio53ivuGznlTyhbKBfO
VWGYiQH/Zkxm6KmQnWdV/M2klp9p4VvWtweiWB+s1g6MSLv+1+xcHjvhIT1n7hxFOj92d8Vtfke3
rpds7sstUlYzevIzL7vv3ocbBFimLPt4HjFq4I79PPHCKSkHq7ESg0Oze1XzMWdMMe6dXRdsX8gG
62RYwvbJh0adpw5YEShIyh4MAZgiNIZuM6TxfTq4mNGRkTeuQS4/q+jQOjOC1Dh2UFqk94NaeZGp
3ikVyJmG3Ktn2wbTnSJJI6w5Ht4GiWgRLDCOOCDppI1Tj4SfUfwPliklfFGTLGCR5KJYtW2BI3jR
0Gy6IdWB44RjcFMGVRlBQeBeybaOTCJkFQq3AqJuZFRRVT89iKDjznrdhMPGvLcfYXwDCbqGBrRV
96Zx5eSSMHgVjofBWEPchGIjX2jWhalO2CiYn0/2zWypeEWluceKit1Ci0sN8iS8qfPx6/U4eAGk
xJGnRh88WIdP7dQbLWwT1oAUrbjjL340cBPZFNyqcQsM/vfFfZFmpR6SERhTar/TIbsKk8TvHRRp
Xetgx2C0UGSF2jVIG325yM+iToO3xSnkUIyNA9UV1GfVZ0Xx3ei7PR+68bkYNbwpgq9fUUswwaNU
vRbGdpqAZSpL/Xj4ZaToMVXBFqP/zJXYC8erxJRMeHPHcZp2grI5WghtvNEIvp2wPes4GUjKIRV1
3k4qPc402fajtb1s2TnJFVdQ19CP6YImEN1IAs7cQ3Ol4UGgNvaepT+Bonlw8HrZGia41D/0zKuL
3wrGJIpJcj+t3fsoEpsWQckdr19hY6YkBbF7jbMOhWtEFsmmSF6I/dpbx8h+hEQY2BaeLxu75sX+
PptQAeftV8Lda/VRlHYK1lSNtae+Uo99oW1ic4IKsGwea/XyXWCZwuXrTPFglBnW1ch+xajxF+iV
8kHd/QIS7E1SVgeNTo1HavfOIdHrZTvX7l5eSEHiF+W+M9nYso+Hrie4+N0cAwDho4uQqiR4RymR
X9YSxyYDE87GPA/mlKoAG/QPN9ppYGDO07em2Uz6l3U4+V5d2CVctu3cZVlrcyj1Vct/RrLpV/5T
z84cMoQWppU1wxI7ACNCI6d28e93bvGkxsO7VsiE99YhXBvpXsS6SCqfuq2atFDfabDp0fiUoyJD
6lhyrM7JOfgqoQ/pfyDEhERZk4LkGYJ3+65K/Pp6OmQ7dt98M7bWk+X9rP9gmnRTbbqNs1NGTz9c
3nurfgs1bT58CakJsUQJUZlhTCkn5CMQTSsh7YLOBtk8+ZrzdxYgQpiAOpfutCNAdPelsQ8FZB9m
x8dB8Ivprvi4bNHqJ1uACTcNUi2sMUuAaZMC0XU+Yrm5jLC6ZrZuuxCZRZJTpD9SStDRai2Yglik
Wl6ThujszV/UtPsnHAhrwSmg3CB+GzTf47BCiQpF8njcEbxwNtkQl4GqdjJOp9Uv5CKpAkeLoFF8
5igkzdC9DPfnEtBBW8cUfZH0twnZGFI+6+Hj5QVc+0RwdUhkQvoQ2RzhVLkzWhhK8LJAePaNQlVO
6SX5qLUv9AmAiu7psWXN7BQ5eIXAwvbThhGNfYxlV4YMQ7iJY8uoujIFBrO2bvqgm7cItC+v09oF
uDRDODc16Undd4AYh+s4RWL0UPeBtEFXZohwYEx0mWm9DpQWlLRFk20Zdb2CtpLdvHbxLJ554svd
VjSXjtwJ8BlZx4vdlwxD1pn1Ubp/Li/bqkGfD0qbL+syvHV7htAaSDW6zSx0ChTWLpeqoq5u4gWK
EA81EMpi9Yhlg/Tvg+ko3gj+oDJWA8vIXgaVBrFL8eGYD07uwMCkDnhBkm2ep7dtI9NLPR8sxCWy
XFwhos9J3pUGf773R+XOfWIPmPHDlJOn2p67I4dwz4Jyk744b7LZ59XAaYksnGVmmJ3GUiz25Liv
I7LLyVxtc7Ty2lV8nED0Bue1m0HFEhfp7vJ3XnNaC2hHOOXQbhx7AxrSeA7eTNN7gz6bcTNhFGAI
ZvXpMtb/YqeDvBeIgNBiKNjZNrQCMzfAdAIGtZzp4C7to292ER1SyDV5GDw0/cxMnyrXPZKG1dvL
P2DFWDye8HrCHY12IvFBOjhhrFcthbFVjNP5MVYOdpdvjjtjOEr5CdbMBZxhWRhmM3D78DO2OEM5
1LhdK0X6wImVW0NFXGxS5LwSn6L7NRvGXyy2Nox0Hng/9pctXTm+J9DC8c2NlhMuwdJCvYEYYd68
ll+Wu+eDFpD0gSwnnwgUSwngRQ3BHNghJ9M8pH2gGJvU3YbDFdUlHWCrtiBjiVYEZCsxZna6jAPL
VDOxsYyDtdfYMa5e0/H58nKt+FXoin5CcD+1/FKKFWVgRQXdQLJJ+5sGTUTKtJmnvSsryPOFF+Lt
EyRhT8zt6E5ZjQ+DwlyRHFn9Y4oehvT9sj38IJ2hgHYADyE+2iO+pHPIaHUaBE9ApQxtHc/1y5/6
pgd/jKxSvfaWhnodXu2GjbEbkPScrlyWWFZexXxv37Bj9Mhukx37UA7RoQBaL+nkWGmygBrIJ5rY
Pm5jTpjECkGN7Drepdf1dbxNbjDTvo12887ctdLxk5ULCmUBFFN5g7x9Vn20s7KNZxvmuZiwGbLI
ozJunLXd/YmA9l1hATUMlas9EIhyP2BusjsUMjL09Y/0nxVnpW8H3ScjmMoRZj3MAbvNIXbzq92w
bfgW/1C2//DeAyMLWq8BZKBjU9gSGK+BsLTewMsWZArSArVbhOEyWpa1g7RAETP9do3htXrEA6I3
vlHDL7SrMn2j89evx6UtYhLYCIteiRPYkkK2okQX43SVp1slfXP123J+uHxq17YCqGzQewriMB0d
0qdbwenttsiatgZbSKsh52Z13jjX8caeHdP7OhR0fDCrwGe50c57ClXr6ozGVLihKtujvMvSH72s
ZW3tAzku6N148R7UBYI19TQORgfdBj+Jf7XgMS23CdRyoO162ZKVXgs87j5xxI0Q0TTXxhy+O2Eb
dRtBy8lDUu3eDDnJyXVdSt4Tax9pCSc8WeosKcw2g1mky7y5rvxp9AuZaIoMRHi0uNQdtKTl99H4
1Iz7vHtMo8PldZNBCLeqUuUR5sJhh2rCAPTmQggG462XQdbcJ0I9gj5MVADOByR6POwR9fFyO6g5
ZnrFiPsPJxRFdqSvbLS8wFOf7mTTiYdCC5FditGMVYcT+PaqnYbMbVq5D0b87uiFZOXWggUHc+4Y
s0fDrC5W1ykeeiMYaFDOhLovHRpPUx7NPPJMBk1hU/IKl4EJO6HRwUGaq/zFV26qvvfZdOzmdMtU
tGVtL38svlJi0LC0S9gRlVI7ThYCaphuCas9zIVB0XBTFEEXUj9u7xU8OS9Drm7CxVIKbqgds4EN
FO+/sqyOWel+o5Z2oxuxrO9lLfDHHkERCj3BmPAUNskw4ykeKbgsJqp6Wvba2K+u4Y32QU1AYi0p
Y6yv439gYjKyogWrbA1gdRTvx7y8jlm/x+zWITFKCMjMvzVr6j1H+bp0PSLyhZVnAxokHa00w2VV
mQ44/F+mSPPm5KYMZfW180l9AUnYlX0IpztwE0et/hmrBtStOxN3Cbu262lTED1ISXw3Od+JFQaV
84KQbZd2mket8U6rwQFroKQKrheMTP3DhkJHNloq8CQBXcmpNyh1JddrG2dzsqJ91yEuSOgfiD9K
nM7qqUSdgTcSoj1TzF6qHVr/oceC3Bh57sInqt+15W7+FbG3fzCHh7wqyCdcU8xejm4zKM0M/5ml
hs+Q/nDt1O9krUqr1iyCAeFKa0BQBi5noBAre8BvAUVj+hhOWVDk1ZGqsthj/cZe4Am7Z67mGa4M
txuSOBoEF37N8Y8KAksEmpmoet7MKnsOyQskE30rlwlur4YlC3DBy2WTMuRZhHtPI/mVYz4VJHzK
4nlrY2W//vHA6Iy3Pw4lKDYEpxMVWR/qFZCq5hrdrG1zHct6WldTDJzWCJ1EKgHdK7d28XBNapQ9
7Ing9nM+evYMpmUPXa5+bNz22DBT6mnpk1P8Q1EK78pPVL6hFqh44DIXDfzwcGjLpAQy6bLE8MpX
gkFIEaE1GLO1YoNUg/YFfCQcMGPSXjIdj69Ej96hPIh2JSrrY1vZ/2i4NMBDjJOGSELY/yOzZot2
2P+K+gvyeYHFsoMC9Q3H7Dw9/fjyrjgBEza/PUWqFo8AKzDLPbW4hLxxlNQnV1dvYZCwx9H0P+uQ
faj9GU1es/ai5Y9ZN3qx8uuyLSs33YktwvU9dgrpavwP0sbppW/MrU3Rb+Q2Qeu4N6zXX6Kx3Fip
bPutRA0nsIKTt2bNHcaCfy8UeS00lBTVHZMV9fhvF6KhExDhZDlOH6l1C9sipToUDmgbqKwvTmaH
cIx6NGxNeQQ70km/GugEBioXhsg4UVaCnxNL+N8XpzXGfEaF0VTsBntn0WuHbqdW4+fJMynIZiR7
Yn3dbAsCrnhgauKzjxZqYbodnHvNqkDvrppElnM6ZxPmhCDqfxDiiw9atJi6UwBhbvX9CNYaw4ew
xZXyckvuxu/RNfqWn9F/c1Pvwk3Wetl78SeT/Yi1S+zkRwhOw+xap2x4chdN2v3oudAyMn2n8iH+
UE+Z16s+SrOWDHbdVX2aLniP2B0UqlZAzRvT6/SHovheT9dDPHnRJHEikg9pC05EnyBL1vC0qwUF
rJHtHEX2dF93H5/G8F+w2JiVMlR153IEvDSc0ZugF5/uIArkRXWQqruxlGTFZasnOA6QbGfTXABw
boI5DOb5Phkzv0+CUf/yzP7pFhW8x1i6RVsQIHVkx3pk9VSvVGXZUJ4aPHdRn+sn+I/GKDvaJwgw
CEN3dGAlb235g6qGN5AfZRowzRum3WWPL9sUgi/B+BAmGKCS5uvqax/+kKYq113ip0lCzKQ2A6gD
Jvz71I1/KmwEU1T5Rmtze9mMtbhpeXrFshe16niY+eauwWSkOFsn3XeRn+sE1ccbqwxK7WjKeIfX
stcnoILLSFprKnoLjhgb3TkkG1J76r68Sg7wH4bmN3fKM3xIKdMZXo0GOCMwZkrQ7C12CtgZIp9Q
Ayy4voKkIAcdiQpb+bBzWR/O6u74D+ksl92qoMHueyCxFpznbeXV3b+cqwWCsISVbfc94XdZ62Se
PXxgKAcqEpc3x+p9ucAQfazTdGmrY2+Y+XcLlDjRLVoToIUZ2Do6yCVgqy5JQz8uJC/xxBNrhKoy
2o3VQL+XaA+6imqNE0zddZ/c1Yrk6K4erQWS4JKIm/Z9ZnBv0T0SMwDJt1vLPNL6Bvi0RvBIeqQl
1czViEeFy4dsFJ1uSm2j1tRrIGrWjl7heJGOdsvXrIA8mT/2kpMt+wWCg2J1g9iawsqu+mXpH5h7
ubw5Vu+sxSoKDmrO3TksJm5h+RqNjy5EE5X7sMfBDYou3aC093/bICIBmjmXoVFihtYHsxxK2n44
+2P0ERkxZFr+5Xr8tE3Malhjq829yvciEkcK/17fEvZtyI6mjNVNsutFKS89q+hodxxpVNAofZVA
EUWFDsT0McmaK1a9H2Yw0S/toEFPbJlpZkahtILTTJw3hWpeZL1T876TtYOvnq4FjHi6tCTvIp6p
me2fmFobwBUZSvKKq1t7ASEcLuoMam/zl+PoPMX0D/uycDoPqxf/vnB0zLSx9CjESmll6pEMrM/9
Tg//XD4/snUSzg8zGmcc+DppgxWUOjgFk50effs/gYi3e9G2KUWeAO9S3EOpBjFTE3xcMkU2iSli
2qAd9NToeBpLtV9i40cS7fJJ0vpwzul/+k0c4S4CjSb4P7glNmiQ92PhmXc/tPv0zrlXb5sgfSOH
LsipZwTd9UsE1c7Ga66+rIYs/AbhIdA46ECG4A/CFih7mMNrMjR+W11nybXqTt7lL7fqXj/3oMPP
wOJJoCRanNkNsKL6Z6ixYG7yV5LqYIcgG+q6QdMUW9Mqvl9GlS4z/9QL2DisShXXI8LOrXqtbkNU
9rbaZvxT+FCXsw7zrroOr9pN+Uq2D9F7d3y9jM9P1lkgv7BacB6UqlY+8zdzNP4w6hdFn/dQhN3m
KnjkKJQpyiyTjXDzf/ISpOBMqngIR4cHObQGt3DsueEGHMqeIpvckh0SwanYVtmqEzdNYwdnCorx
TTEkV7IMQnAptJ0Ngjsf+9Pd2tNjmb9LRxvOpW9Oz4B4CzPdriGWCjPSayi97dTHxEOb3D2C0HYO
IrD0liAEftO24WP6Zr0Rb9xrt73vBi/6rgDrtyQmkFgsXtRN6Sisj/5+vOe8v3e7RyORXDbrEJgY
4WVOvB2E/UFzfWwIPxEMRNBxus/CF0z4Xt72q1EAZwv/Hwxhb/QWKOxVBxhJzl6SgnrJZGyzKfTq
uvpeGrK+lNVThoYUri6DZn2RYLtpTQwp6wg6bIwxNVblQQx3aJOgqY9xeiCyGv56hgiFbwPt2Rj6
EseMCqvsiqlgyPQ+dq/o0MYWSa4x2Gd6xb1x28mKcqsnegEnXBVtiPlTZsO8hHw32NFpDnHlF87h
8jdTZTDCbQB+uNIZK1il7J0HtiE3yVGvgvyt/tF66iHdpcfs3vRl2oSr23FhnHAvmFmOLpMSqFS/
Rj8jmd5iRWIZdxNnHhFTg+CZwNc6o9Mb21yzighFjRzjyWSvZpuuh2ruFHTRzoCC35y9XV7KVZsW
gILXb3tNyXQFNuUO064thMR+2JtoxiFskJy0s4+G4Rg+34OWV4yeQcfk9H6rKuhfOm7dga7sdnDN
o9oZXji92v3+sknrOAi1QYYKuj6Rjm0GMXbCOE4S+Q7Z2VF2qOiV20lpec5cx1+DPoGE/WCYw5To
fQOtSueDxP3OYnT2qtB+ieJyr/N3uwNRZMguMop32VunDfe96b7ViGzVMrtNGQkSV9YYcuZghB/F
P/giiqjaNpxIjB9FTE+zrw0wZnTOrrBfE7XYZZD6urzYZ/tHgBM+qqIovdJqWOyebeaZBtMQVGhT
uwyy/kXxNTk1HJJ7wj0wkqlspxRimWgriO16i0jJA6dmmamSUHd98T6B+N+Xi5da4QA5WojBl78M
c763k4fe2ZogBmMfejhKDrvMLO4MFmjtGHeJCvIFv9N1H72JxEVvmtreukQSnJx5lb8f6T+zxJnI
qrBxvxZt58fJ986Og5wEBaou1Hxr4sB2sqtp3F3+Yuck0oDEZCuoR8C1D5FO4ZNloR5VvcKpHIpp
P4H6VoXee5nUXm5Ut5mOwVOr3jrmr77/Y5a/NQi9DkWEGSU3sPpC8mPW9ujytwhfdTa1JiuLCus8
pqXXgrQvGBs9DowkzvaX7V77pEso4ZNCySJ3UswT+Rko8fJB9aKkP6QzBFEm7avx1+kKix0+EImZ
tEkDlKkqN1VDt0zX9pasgfI8XyzACMlO7Jq8skPAhEq+Q7XwTakyXzPpRonAYkc1P1Nnzxyt3WS3
GNhIN3YyBx3GRZLR2Vxe3LXTCa+OPhQMtmln4iQOGAGVxsQ27qLRz6vWs6iNkVHzeqTviTpBCn2W
MerxbXpyH/+1Hu3r6NsCRYrYwz5mVdfGyMX6OtNf3BYkVl2VggDRBWk0GFNYEEWq5LCu79ZPSCGE
CuswjcIckHh22yj8Ql+9TcbJiwdZW995cMitA0mBhnOK9kXxpizUUUlsHQtaUOsmiX5h9OWoIeFC
4myTZn9sNHEohuvZWn+oiGwIgd+OZ0sLpRwLoymgyRTZJB01BatuA/CapdskNR+zYZakgleXcgEh
HHxIW6akmuFgeyvb2qG6J3keVHEt2ZfnhRy+jgsc4dTrJb5Szh15ml/r8cuI1sHJeui0IGuOFub9
cvJNQWLk8mlYdTUgd8IKQrDnjCW9bEBe0XW4FK0+8a0i3JZpv7MrJE0dWTOhDErYkogHGYsMQMWO
teFyoSkboVTp3qEj+v6yVatnHLomkP/k3ftiKSLLJ3eITCylgob99JWW23LoPMRUbfFuSrUO1g37
RON/X97AUdYZOQ8sQvXGciA4nh7cOPEyUxJXrLqRhVXCbYiRFWLnDFaxqNhN8egl9R+XdMcpfhuQ
4768hDKjhF1fxVWj5RWMUugmyd2bDNQg4XjXybb9WlThLowSdr1WQmhASyCSN7AESbEICauwoA/U
Hr9F2njbsxHj1MyYr3IrNWQPzVVwUOvaYDXDcJuoMD5oUBJSC4CbCca+6mCaPpTuwLUeq+4pr/9E
6fbyqq5HNJ+IorOcTXUoSoib+tlPY2MdtY3hbMzHGhMs5WNTe+h+iHfkSqa6eP7U5b5lASs8MqKR
86rWHPa1goBmoOxDyIOPr8bvYlfuQTDMer/9k3aeKTmJq86Tk+EhaaDyzNPp2cDrNKnCEMCOduOq
1AubgNkyxs/zqSBu3gJFcC2KRhNd7YCSgpy+uzMj5he2P85dQNqgjqpNxHYNHhTwou7wfPmTrh6U
BbaQRSgLKLbVCrAjalyxHCCkua6VZNcm1v4y1KoDWEAJX7HIS5LWEaBKZdwpxbzDqK3XFI5fWbmH
Pf5yGU727fjfF34NSkl1n5eAU93vtfpQscyT8hvJVo//fYFh5mDcjRlfvTaBP3so6D6yj84sueZW
TQGLO/imIdZhiWw1HdVp7GQErrO8ypWgrT/QV3p5tdbvbyiWg3vWhBKumGdsUKotHA2hiEnfkAs8
onjcBuP8fVa6G7SXbYa5/laqz1lZPV1GXr3tFsCCq046yD1V/LZL9G3nNn41w5HQ0BvRLQ9uoE1q
yVhhVzfiAlFw2oXpJMxy+P1KatObNHubOt9BavqgNopfGDK92tUg7xPOEgYL45LE8cAv2JQq0J2K
fg48lXt5EWUYgqMqW5BYFvzRbuCrIZwFfTeyVxKQ1d2+METwUyynptF3AEE6OgBFFLKLmrPBVCZi
hkp2g58rFHGv6GC3Oxim0M+0dpsObOEaw7I16b6ad0l1n4bfw+7aiJ6pjqwZe9PMQ5/e1/Ghi79f
Xs71V8ECXDjY40irMukBbuSbzLwytJvIejPTPZs86MnHzTWa8Z1Bctus3udofYaCF+HDjoLHmpva
7qoEoKVSvE2xunPAXDJq2qY2Da/rLK9GazwU+7b/YuwCVzB26mJnQtYTeYrkemYoPllW5IUO20zV
qw3NdJW9lnHvV86rmcnSMusrvQAXwsK+y3V75iE8zQZPMW6q8tY2P6AcECT2EYzXTRhE7T6UvelX
9/ICVvA6SjRHbjwAVtEwqOg8NKBPNMNmq9qvl1d31XcvgARnA5a1saUxgGJQwDK8gByl3BrZv6QH
3U+Yv+59cROl1EwniNAAZnJDrxmRl9dnTwkbT8Ww2mWTZN/s798XYHFmRHXWACzV/qg1yLb8MDqE
EW5zFKbZuCX9duq8AWdEArz+1aB8TNB1jFF3wc1VRRFRO0LES9HBFA2hn0ET20iVHYYLPb2t9hrI
ijGucDBIujGw0Bi4fsrRBZy7r0z/XRf9QfKLOOLZC979/EWCT6zbQplZO+ABUD9gqmQc7rg+VBMf
TQzu2fpOQYLfohs3kgRTfyfsLwELgVuX1wbIbrAUc/O9jfQdBva8abLuwCftI9m5qZXIU9MHzMAd
B2fySUoOZlwcdPKk5/HRNcPnxnofne9lp2HeR8M2iY8DKAa9UYt3tFJ/d3m7iSLQDVUq8QawA3ng
5vTHxn68vISrt/FiBYWwEI3rmclMGJIP9wM9ROlHo6lg4Q2iiUm+1rqD/fxYgoNtIf/sYpAcV4p2
RbWnLpx2pH5Q6Z2BN4Vio1bwfNm29cP/CSh41qgluWWM2B21EXo49PuOqD503TaXYf6XA/mJIzrR
0qj0YeDnorhz7E3jgFil8CLij+0hyyDF3AfD7I2qNMXNd9npLjQJHyo2HRApIiEprGjtdkh/EgTA
dXLdhckuNI4WdjyeL336niEXM6X+UF5PRdD2UBEeJc515UEKfJDIQDQUHP+2WBWB6qXe6fxlGDXU
cyE2xLYZuTISLQgbJyjAKm5X9y3x27z05+7RBDtnHt8RJmspPt/Ep79DuE40hbZ93OB3gFG63iIj
MHoppGICo2zvwioFl5Jms+3lr36+uYCJkSwkmHhLsSF4gHHWQNFu6gjH3Nvc2EfNcyajx+Y/++zz
cklqyMPhEzvCvhrm/0falfW2DTPbXyRAFClKfJVkW3acxNnTvght02rfd/36e9SL76vN6FpoL9A+
BfCI5HBmOMs5NWp3I0duiKMBofN3qp5vWpOhXzrQHOEd62Bca0ZYWtYMDQTUWBM5ZxnORtGAb9Iz
LGsY73iVWem49Yef17fuc7gMD3ImQ7qXAxe+5vsMD6rANhWoDWaXrktYW4W0cwC9TbxhPpwU/aFI
LI93ZfJ+XcT8kfLhnC9C0rkWmQGhACsdky73CnhKE2/D/WOzhg22JkYKYHqcB5mvGXgib+nwkfdv
Xvpg0pXx+uUTQWUcWRa0wcvTSunIe39McCKt1oN3bRs3K0e+vIz/CpBnlbxwNEc1hoBifKqquRgc
eE9a562c+2cXA80CcAjwPMDVAEJ3HNpZaOQbIWdi3i1ArVNQg5oMhncqPP0DAFTZG1g04o+JFc3z
5EUBJoeS2Ft5RWiLW/mbBhMEFgZQfC8/YYpAyDhOfmNX2/yu3Hl7/6vuWxgLT/eb5BVzDTa/u5k+
6JPh9O+mhUy2XR0BL3ldOxeKZtgJ0IwDcWT2D3JXJi3pxP0CyPIMCJmHwQm/8i/ttnA9Kz1isijb
iGelWBG6vPQ/MrXLpZtKx4JSgA0O7oh3z9rf1xsv1ySdbtUoEYk8/H5Aj1XhcvEiIuf6vi0ajrNt
m5d4pkBpKHqFmRDBzTtF3/vobGP1Sk1o8S4Av9oAtvOc8JGudGeGk8ojyEjLyvazb3heDnlk1eb2
+lqW5ACaDGSVoDqcL8XlWtS4HaDlcWO3HU925hR3T4kH+E/Ac7fa9yEO8r+eIMaVQ6oWsHUqppbx
QriUiBd9TJtKqYE+nCOk/eVz1YpyaD0oVHU2vF1f35K6gW0bfGGYjQa8l7SPqIeVPW1hU9iQ71KT
49Xz1zyH84IAjY0yEECjAa5yuSBjQtNtyuGBCRqgMqDU6eh0JFZKf7Dm6fpqfh+77FAA9o3EAyZg
zM/HVRdRktQNtHsv3OYdACDOkFvDe38X215gaT/Mfb+d7rj1kt3y+/E03n9BudsVrmFRqwE59/Xv
Wdrd88+RLnPZT+oUFPic+RAH8Cyr4+t1Cb+BOK6tWLrPYZ5SzWsggm71O+8236knTBe5xl16aL8o
TncobrmV7EBe4abHbNOsQfctXZDzJUrq2mh1iRoO5DPwnCTJ0QzvvFwBUIdhX1/pkiBCOZQV1wJc
bZIaZRHr1ZxBUzVQt7blPgXXKXgw0r8eXYC6oo4NxmcBvkwmw3QNBphF6slAFjn4anadZXpgGeAP
1xczOzD51M6FSIrBA0Mpm1kIg1EJT1P/lHTgMkmstq3/xaGcrUdSkNz3SDIxiDK9IxfJJmvTlZOZ
d/7aYiQV8LSBF0oHCT17T0N3CO8RK5LipeYui97zfsX0L0X0MMgzWzHCLKAmXdqTZqirPMJcOHpH
nkFjbSkatargIyh+MONrmO2vn9TSFT6XJi/OE0mPnBDq86NbJt+VNfz3xc0DqROMI4ojhly0iGns
934Hc693bw3mzdW7uEC+RXwx2Hs02mX/4/p6lp3zzDD+v6HV/Pcz55x16piac2gVdWxTIvENk7lJ
6dprck3MfJvPxFRGKtK+gJhE3zPhWzDX1ipu39LZnDtn6RZNJfUVP40aQJu9dcVBFS/X92rJ5Jz/
vqRpU0yKtNPw+6R2i+5XD1IFMe66dK30sWQNZoRDyOLoipJr0iMhkcpV6AAwDkkfWLrmdure7Gs8
iNzrS1o6l3NRkjorQZYwr8S5FBTpzSl2aPBWmqHz/5MiKZnS8caPGkgx1UNKOlvEb1xZC5SWlwLE
WI6JPNCTyY+EFrgyjZiXon14pQ1KSrsJ1oiYFlWA/xEivVDBNgGKxwBCQrAvTjR0OHBC4phYQft8
fc8WJRkGRTIKJVIupOVoBbLdIIJosBAMYXn30eB66qZbwxxcqJLiSYd3HcX7biYdlpR6iMdQC1Gv
sDuD2aVuvEagjmR0qiwBkEhwbNtjqu9QutzyWnm/vsalC3suW9I+c2xo3nuoAmvZZLd6dZoEWXmF
L9lT4F2aeD0ix27I0aYfTEEGfZl7dHyYnDbrHFb7mhO1Am1wuW7sm8qLHc2s3jLW/zUMy/xeRisc
FHIOeuWb3BmaZ0whvIURIXLwc7svzCMY9FYeyEu6QpFhAEUJxkHAfHBpXdtEAaPmgJCaexstSVAv
yJ3GtwtRbq8f2NIdOxMkTz+WY94HxRy7U7UmvUUqr3nKUnBZIcmR4kZcl7asm3/WJT+4kaLPQeiE
SIKHgxWHqpVEqmsOcPKJUVpRmM1YDo4x3LfFtBYnLYUVSEQCiBGJSPDpSPeCZsQjQ2gi7YE8LBOP
RRFsaQugrVhzGPlovLX5xCWrf/7QkwQaoh1Yk81WX+8BetcEPriAw8zVSkxldqieliu3byHHDsgp
jtAWpJ1INMu0tXrYcX+IjczOMw8eud+F5KkU1pB91cf7ML4v2D3nuwlNyNfP9bMWzXLR+gFmGDxs
ZSQ9Yhot83uO01O+KQzousM3EASvhIUL2RoCbDRABaOt2KBMjgt55aWanoaAzdECqwLlYX4aogdQ
YXf6LuCuWh81bTuFzO7DLSVf0tU68Hxgl3EwIYApxrUXsx7JzWx5pLVJmpa5nY3bgd33utWJ1iqn
zu7A29HeCh1Zg19mVVkIAx2i/zWWlQn5SDijUx9AvJoMzuEpgCzsmw6TWtqhD3+w8iHwP66f5EKj
17kMOKtLyzMauqfzCjJqwR40rbXSFohJ6o9Ij48i0lwaAjbGH79ErWJpLdkXcGjXP+HzPb38Aikj
gxpKwxMTX5CDS0Zgwq+u74qgueHN4Oh9ZI1htLkucaGPAxy6SJAAf28GXP8NInUWzJYJjduJsNxW
Cn/iOwX39b2dfG9G2++bx0BH5bRUwVy81XQQhFiebvj+kYCo0sWsZ0e3bcLUQyTMfg2P5bNDhQOn
MFvgAWPoMJFsCB+6fMgp6Mr1SN+hx3xbhGukqYsigAlI8YzXjE8wmB1P49EYYTT6yd+XmmlrXe1c
3+DP7gyrMJAyRz4P6iuj8qvtWGIgVgfpeprC/PkAzD9WoWaJYG32b0kSWKPmIcp5dvPTfqHrP9Z8
WKIw6jGP7Tu5OOj5g7/GjrgoBwk8sN7NBHRyMGcmJqthq3AuqXpD1B9qWbr1AA6xSFfWtHN+5chm
Bw6LgY8cg3KfKlyaQgsWGPE8oHnn9S+DPllq4JIERdMcxJYvvL1p9UPavQR8peNu6SqeS57/fnYv
ukyrwqBKcoBG3RrlLcn2GlFsnd4ZwQuZ3OtKsuS9ZqpZ4OejrvYZwDRigZ+Oap4jzGFHlmuPY/cs
ugIV/nxbRI3V0P5WVeOjqZiHmnhfrotfWitI9oBCZ6igNvttGM/Wik4qvQVI8+xd0IihI5eYU/AM
mQAzVt+hrDeNvzaMvrxieEwknjHWgRayy/1VhpEGno8VD7H+PGgqaLWJAzLD2I5RJuMIyMYY5CYF
tXXvI2V8TbOWrv5M+4BWLjjuT7xQ1AuI0TW4LXl9NAurqec3qV2aqLf0rik2ptgJb5tQJ43sQd+u
1m4X4kHYXfSFY/JsBrGXc3GVCL26BdGW3Ud7tIlbjQ5yY+VXANvAFTcZ98y7BWb635+0wGZjvBWA
3CDgutz1Kaz8MpgdDHLa0TFuQGw+6E1xi0GNp6kN74zI+9bFolkZLlgyGQLNq5h1xcMFbuZSLKFV
loRak9uspKC/ziyDIygbeksl/goc3+fIc0414K2JhxC423+3JJzpslewSjVyNZ9p0oGvuMMUh9Pk
tSWaam8Aauv6fi6dogb1pfN0CwaUfvfGn4lrQQvfxiLNbYQ+T78piDRgRarxhpjlrq9PnVDtrvW2
Pvn71zsWeiZZOkolB2Bor0By7Z16L7KbrLKUxN/iRbXiwpYCI4iC80LLJ7I48sSLMmKyQKSwD81E
DyyMLHj+Y6CAfL6oNnGKhhK8J3LzceLBzYQ5u1pdw5BZUCDMn2gwTwDvxaWVrEU2haUWYEASSK1f
G/22RlNA0TzW0VoGYcESQg4SVaDHRKlFRkFqzdSrcScR5pL2UJndBgkam5fkh5I1rpIOe7QN7FZU
aFFj59k9ZMcQ5MtJC1YYBoAqIDMO93ruhhg793dV4jJ1k5luMDmp8aYrx0xstegFeLszt4pu3Ld/
jfuAuFo1555eeG8GloDLS9pSMQTKiO+IAieNd4w+G/qtWaGLL7gRyRq04OKJ/pEmD/x2w1iGUQn7
nwHerFHfyjrAhAyzijWTt7S9Goi0sLEMUYQMZ+El2ti37ZSDbhDpNCUERUn7mJHiJqDx4yCqlerH
4mWB8UGfPh6G6I+WbF2tDmrIGMkx2IBmR1IA3G8bt6rFitsMODnFxgsfvew1NENbDZ+v69KCU8MU
zB/ZUtIYXFlErVINskGOjRaGIwmaFXVdeO8CuhLoiHwmKf3EkQO05CIwPQC4Joq5MaPW1tURUWC4
v76SpRcvSrdos0bKCXVVuSSmt8AuYM0I81aJfBf6AbMmlvoPqekLB7yyyS5o89vI4BBOfaceWWQF
/ojA0NdfgI/U7Ls8HVcs4YIuYXNV/NdUHK58VZOiZulo4LGUx3XLbTyCvKMZxFPmCC1BbG9UNL7R
FS8qVgTPd0+Kg1HFRogGNmSky+X2GB7GHKTEYLqr/I1W3fW8BK0ptw3gLifmt7R2mrXZ1yU9vhAp
6XHYZqLvhplcD3hEZYHRYhU5/BR9u/EJIwxWHjSBhcgGLfeaukuEsHtPW8l7LFSACe4R/gGSU0Vd
Z9bGM/eajgjSohaXqUJ9okuI1YNbqtQ/OtrcMDW1vRgOj30TIbrv9WrH2soGGJQbpqfK5G6sYyYs
zK2IhzeeyXeBplhDsdYDsKyqmA6eM5YcKRLJOYFQOfJHgVuXdeDJiw5t/B556C52vNp/iVixZ+E7
qaml8f5ZS5NtFFVA8//75hc0NoFoDoeGTI0uuy5cABLGEwKfkCpI6TMyuJWeZjatq5Wn0ZIJgKea
EWB0PMt/h/Znh0KMukzaOWUQMc01SeDWXbLhibFiaZY8BEa+dQIyEoGXieSPBpUqkV6B9MQMNBhR
N4w/wjzfsrWOxiVNxxQvXpkM3GWgepKULBtDHTh4Mx9I6Xlg/QY661ZXqwaBm9K9dOZovJGWEDcN
jOJYGzU5mrwiNywrOrskwl/xIAvrnvOXGlJtiJg/xeh4i3VVNFWZnQBVMkzCjVCq20ZB0QwzJitW
dk5pSXYFkQ4yaygooB9A7uYEl41G9RnLsK6sLjx6+Uer/NKaDQq0urYrs12yZkJ/gz5cEzkv/0x7
wqjN0cgOkaNNnOoNCZHH78DWwNsWPHiBlVmnQ/BTObW24aQr5mRhZy9WO5v3M9FjAKB6MXM5RdmX
UrUTLUEu9b6na3PvC27iQo6UO/BST83rFnIULdkqmFqLBdBEhnoPNiTAeAYrzmEpaD0/ROmi9DQI
h7DHjibN+1QBgal46sNHFY0q6MrJxXZFZ36HZp9OcB63Bc4N4MFkLzhFaWRkFKEbMmtGa6fVMFS7
uqzNegPLwA9Vo5V04wtDbEcQCr2qRaUBzkuM9NAYaQdIuIIMW7SCAXWyRf7N37JpHB+0MVcNm06U
JicY2XJX9Bkz3NCLh28xGXJu66NPN8Hkw9r7ph/f1CVofh2tCkCsU/IuDzaDrlSHRM2VTTjfTppp
HmYGW5V8iEatXa3u49FRU6GEThdEGbA5Bs+805Uy0i3Q5RQn6jP1GRMOybuupqYKqgsT1RhRq75q
s5B4mhXkTbRv057iOTSK2CFGUOEbzPauMzx0AiSq4n8jVVg4SKZXT7QElJoztmW/aaNG/cr0mf6Y
qSFHWSv1A77Vg1I7+D2YXaym6BuACtS9HuzqVEn3BczLZDGSMCeuJ9UVpdarVpO02mSJYhBIug0Y
Z8Hgwtgd+jgQrV36kfmRAykRY9eG+BX7BdmnVIQ7JJ9GRyRewNFNQHIHJBQd9i3HJlt+HY2RAxj7
1lbjBnD8eqDBAPapxuPb0GuD1gJYqP4rFV7zjYTNaNqxX1c/2ppkTznAjD1LL0fTaUxF/Ep0bOqj
kRv+HUAN1Qgj9klOrZ5NR9ZM5aarYuDIEcSQWS/MXZehy8ZGK9k+bdroMIG4eY+sqbZXm8H8Vg5F
H1paFoB7raqhV0o10Oyg62DFvc303NxoShf6TpW02Q1oZLxbVSuUyh0zYvhOrKnKbdpCY60x1/J3
rRq9zPJA2sLsapzK0umBBJ4/FEMU3PBqpCgbF1M5WdlQljNydl7rG3RC+tso6Gt0fILsl1VDOFll
CbYsS6O5Rk6F3mXFpu1J699i1IAeh16rNxQvqu+dGMud4DzTrQL6sNaetOi7kCEXFE83qI4MYlRV
DXQmBb0euiww77kLylut/xKHd6grZpFL818AXhzpka9OPS+JnrsRMQEq4DyJnEvKu0aUdYywpwn1
Y911d7r/EQP8UI+LnQZxY99tc62/KYF4AIQeq2H5iilaMHyAZSEcufsZTl8uSmWKOqUBAmO7VUBX
Zu/0Y9sz3EUVKFJrTT8LNp1SwMIhsJo7MOV8JVESvSYNeGLAScb5XZFyO6zd0Xv2aPj3SboZFU5F
PQbwejCxl26qGHsYy9IvbK9myI2WLD8QdWgTK5xKPcXsFfAkJp/EmTW1vO9XYoIFJ3kRfkjOK1E6
jSqY7ABtX+mape4o2OBmiG2frlT6F44PLYhoRQTiNJyBHNzTYRSVOfYZ2rWyjZfqhaMp+ZMy9JvI
SDdmogDIJV+JXRdeyBcy59WfhQCGH3FMe0NmghmgrKII05+u+8eF6Bgcv4jD8RhASUkelfAKEbJ6
rFHw0TFUliVWDPYiz/x6Xcri3v2RIj8IsyBqu6lvMTbVCrhS5TWMxV2YcVsxkq3hs13n/zUw/pyt
VzErgMvGKHIAl1vX0LEOpx5qyQC6VKstwguQk4drdB0L+ofhIkH0uXUbIDuyGNQdzCIoEKSRZlPp
bhQwxFHPxlpeaOltifkOPJZwxRCuydZj5ENBCz8EqSIu0XuJ5gFk3scp0+2mSzD70GM+AmB+UTxO
Fu+Zxy2MbYRfva4Fl2WC2ctj5hPjJqg74QY+DzaeV/g3QdgrG8ISQAIVNY89J256FOsTDmokreqC
eMVYLGUGztRNTjflTUE4OvcxNRK88eRker+0YR/Wmyk5BekT735e17uF0znXbkPKMEVNqKnhLC7w
bk3wfuebqXpla8C9i7f0TLulF3WoI7FNZ+2uDCTR+gi5nTigK6+BhXc7vObc0GRylNw+IaeNmjYI
vccIjIp21GLTx4ekcPPwFSFKHbz4utvQp7HcI3xj6gNde3t9diiX0qWdjGnAWDnMUx4+swP1owJB
EgINy8vV17zoNtfPbU2atKOTSIIkrrHWVpwI/cm6yDazzlLTm+EfirZYGVhsf1s/9gkPhUaF1pnz
GI4+lnd6qRzVNLD6xj+VUWDHqfclz1DDbchjH3v3JgstM36/vtrZRly+UC6/QPJheYowlMRYbYQm
go1p9gSzpRWxDQJ/dl3U4saeLVZ6fHEKKhc1w2LbUL9BTWRbMP1ARWfFWmIH6cd1acsLQxJbRUsE
VeWhUtWfgiRD/G3r5Z4NzpRvcm93XcTygv6ImO/mmYdMAFvvKQNEkHjbD4ZVxJM9Zce420Xx63VR
yzcQrIX/Wc683DNZM8OfNhA0IY+HFE7ylmzrW/Oj3mkn+E39wNzkIVpZ3sL83awbCPCBbY3o4xNo
FBli0oWQ2Ty3m8hBXOoWxMY4fmhPrrGZgchBzboFys2B3+EPR+juDT2t4lD/Hj/6rKR/PkQyAGUM
tewB7Wbr94n9Gt8kgYWgUmsc84iiAWZavsVOUVrKc/ZC98FKRfZz/HC5C5I9UHtCwkrHKY+JW/W2
Sm8az2Yans2PBV9r3lqYA7+UJulUPlSx6PN5z7eFg/fI7r0e7M6NHPFIHptNYBnjbs2HLCvXTCiq
IXeM+FJKYGN3yx7kpQ04brlVd/0mx5Q0XneYQu9uEc1bel7fadzfcKAwJ0Szci12Wv0HCPv21/V8
8UqdfYl00kEAaP+pQ7dYO3zl/S0TmW2iEZoDwSnYXhe1rFVnsqSDDc0iLgiwgGx2yI63c1rvFJ0a
lz9XN5go4ha1w237oTgP0WGtp2JtmdIpq1ovGh5AtGJg2h+FU3RzOFXVWlH3M+iZtbLSz7lLKNXZ
SiXjUURZaOoFxI0KGkp1MDnvK8NNgUtF2LPgpxCIc2G5uS71c/wzC0XvBBox0YgoJ0yVScN7s4JQ
r42tcawfTQ5kkfxEgPd8XdKiqT+TNH/JmW3U9bJmFYMkHy3KYbENOsVSjRUzsCxkngXDkxYoq5L3
QktwEyPRhUxPUzmDWWwjTJkG6t83wc279l8xv9FSztYS14MyxQbEDKh+KE7mneLa6cVKQLd8Nn+k
yBdeH1gwJBl2LHb18VcjTlHm+GIN7m1NjHSbzcLIRkJwMAhzmr1ahz+ULivfsjj6SToa/JPC/VmU
dJ/TpDFFDNBKlLp+8XEjwmdeH9DmcV3Z5qv5yRfNcPQot2ggWZv15OyAdKM2RTDCQCd+QDes4MDt
GcM1A7G4c2dS5r+fSQkHYDoVCewgpv2dtDV3WmanSNDqabyynkX3JvCuwyVFl5c8eZYnKTAbZ4vL
DbxXNVtpbS/9Ng+rinslCJ3ru7cmTQo3J9YGmOiDRgxVc0M9PP3Kog6toiPNFo0fI56PYHFPhVhr
P1re0D/LlK4veOrwkvaxzGp8KlJiha2wsmmXaNS+vsL5h2T9IGitFybCTnSAz6b/7OSY0bVNFuJq
ZaZnAdN6k+ehNWrKJiajpQIKMzVR/6WJe13s0sYSdc42MJTbqTxyUobMj0kF5W+GO5GiHfHJJ3s/
/R4Uo1VFa1O4C81cFHyGf8RJDizPGq1TO4gDaTdw5e4MoCrlquvRk96/hOE2be0s/gfdOZcp3byu
QKNFkkCmj/Y4g+2zKkFL3h3CEtV4MKuV6Pd3bfbzQRomBhbQrAazcnmQ6LCZKT3yxhbhi67atNnV
yj7OfCuiR4LWNQGsAdNBi/eKN1uMS+aGmP8Ilu9+X3pcKSC487KjWn2NzG958VJiRERJJscscT+o
sh8blIR4gYx55YCMA/OIdFcHoKABB41XRI6a0S1X2Ip2z4u+timSdjdl7WO8ANo9AbdM8x4z/h4N
KzKWgiN02mNCBAN3+qeu6aqquFeNkKEETWWNAtxLddB3FqAX2s3YZnfoUV/jNyeL9+dMqGSYuhQA
BYMPrsXRyF8iUCgYQesUGcCdwxz9/LrdIXUTlV8KNbxBdYfG0y0jL6hgWdTonEwfHQzPHSsv+yc1
PPswyXCp3G+HTsVuUCRHa+VNa92uQ7H5B0MXbNZv/OLWSA/dGh7c4kGjUoHyIUomn0rrWYSESwSW
TXscMvTQNa5m+m6dFWvLWwpNUS4E7RygLhAqSk4bDf8puv1wqbtqBNRMYk96t2kMw9YbgehUe2ZB
7qAK/jBOwYrsJU9+LlqyYawHjZSYbVjLu0NYlnuM862o8vIu/lmdZEOyXkP5PsbhiWYARzqDCYlR
3SL/ZDLOdlEyGRiqUrUIFWS7rKzGid161/4KXdRzj5WbuZlpn7Qn0xK9lditOz5edz1ri5zv85nH
K7LG7xMPiwxjUBuJaJPwetOPay0Ji471bI3SDTXQA27Us2M10fw5bc38UcD1xMeodSrVbeOV3pK1
Vcn3rhGAYZy3NCFO3d9yfuTDx/WNW1FAGU83irxeFHN4rOTPA71fDSIXfx+lATQHgvICtvTyYGgN
vAdzmpeQ3TcVZvzc69+/aDOZjrywKqgJ1onL3+dplxtJDRvRYN6ij/FiJtGTXjxzVrgVT266of5+
XeL8i5/cz5lESQfKlKul0CCRj3ue4zl7KhVXzz+8ZuWBtHj6Z4Kk0++F6segJAOCjHnfAnGKtaCS
W5s1XVyNruE9CagfdG5J+xf3kxIxWsIA9XBvaTLsVZT/AVz+ro4lOsjVlfNaioExQTGPUaAzEv1i
l+fFWpSh8hTNCoHp1uzNJA4X29V2yEWtQGc0Ql/MihB59FrJvdTHU39+jSdO1QA/MAEf0Az847tZ
gM77tdr24jb+ESgzKQZNXoRAmYDxy3emdldVmyb/qZrPhO//QfvOBEmvZl8xS38o55WBi5o3zlgB
A+C7RmwxrXAl/p51kxUd8HGo2KNkP0MjXh5VilYff5zBdpXMCmz1wA/cRiPQaIUuujuteK/f9tu7
6PDl5DnCbt+f6pvWSW70XbnNLGy5DY7AlSvxmdLURGD155vY7MrP7TzwfyvKawC13r8rG/9A3eYm
f0je6G1xM91Fb+F+2jzEqqWfyhvfGX0E5yvudDFRSTmwHoD5grF3OSMdVwUIfgXgQQF3yA50NziB
0xcW2uI3qHud0Di6C1aQBBa68LDsM5na5bLHxOsqPuPTfvcnmxyHN/U0ntT30vmChl8HrXlW5QQH
doNdd/UVjVsgjLgULoVHvaCRECBNQdo/d9ku33ijHe8Uu9/2J32HZ+wxuTO3awzXi0+Q8zVLoZGP
561XxBCruJNTbnQrP8SxJez6x7F8ZvempTj81nBUB52PK0ZqsepwLluyUs1Y9upIsd/0nmwn69W4
H7bfH7nVbrlDDupJvRc23TFntOK3p3aLCD1aU7MlE3b+CVI41WVAZeYePgHIYQQq1mweJ2vYKvbv
q5dt0/diZxzoRjjXDczyvs9NA+jlN1Bul4576NhY+x323bAiqFaNfH9rde90CzCvbWgXN9GIts+o
tNOtB+KslTByKV6gZ9LlU68TURompHsas1i30VBRvr7AJQkMI7fojjDAsSQP5xdKEkKdB4A2JZE9
FQlwt7fXJSxuIUP7BcBV0eT1aVCZZEkfhSpEIKFPnNKFkW6+Q3NufmSvhfXT3/vPoxXsWzt5Ndc2
cMnBnsuW9IbVhE7Eg2wRd2BeBiKhEyB1oKw1Hv0fi4SGoPUJxJPyqDTvqiouJwiirTX9EBZwo+7T
b74V2/oDyoGVHdqdnX9BggTDobtVq7QUHQF067/iJUXpyzBMAf6MPR4t/cfwHt+iT5+CbBplcgv9
jt9AJmen9x8rR7v0VgQmAlbMgCGBEdxLSxw1XeQBpxDbS16NBLXwn9w4dvFzrL1GuhPEh26tcrLo
885FzpbizOcZIe3RBAWRoEWJHzqXWMZ95mQ3xT52gezAqUXuAGTY2ZEVPg2v0caHv35Bxer60md3
L4UDgB6l6P5CjnYeJLj8DK+q02Ao0Q078Bd0E4sUIB075BRNEwaivDfXItOFA0Zmm6PHHwgWwGuU
5GnaaGacAFNTLdNuh+ZZ9NJ5UYeHULJGxbRgEkygkaCyjXyX/ok5LgmLsGNqXdmYZdyaxfgN3Nsr
0dTias5ESIeYhR1CbR0iSF1aTT45TX/fjbvrR7Rw900ESCqwlHApATx0eUS8bCMaFhAyUaRC/XjT
YjnxFj0c1+UspV4haEY1wpsBAz+Sf/RJSmulbSq7J4cB4SGaYTq2o57lKyCE3pvJbRE8XZe5dEao
r+HaYdATXFHS2nz0qURxh4mh2ky3mVfsE6Nas9vzb0gqjmX9kSGFWZMe8CyJISMuKjtVN3h+A6AG
4+Z0WzXOhAHByQmabeD/fV0PhNpA6Z5ngfBgkVxuIbIiBCRHBVLIO8/7GQ5Pefvr+vYtqgZQQwjO
DN1Tcm5eHfIxG7uuspviuRSgEaU/jCSCh329LmdJz9Ha/F85klkOslBP0wZy8sKO6R1r78ga7MpC
KzPFLBOQCEBVOHf5StqnGGEyeOqsfWn+MEUeYJDj/LWa6DzeyHx39KdpV6lFdsxJsK8E/SL6MXGy
yU8fr6/2dwH5k8ZgqhiwvwLtKfK2EpZRj6Bl1O6SwU+sWhj1a58H/slIhuLHyDKwtEZ9YaSosOux
A1gp8y6IAw6nqcSlDYOWufjxfJfFxpBYJeKS42DWvQFWWe7n6CGeTr7wURpXigG0PQ34xIAB96ID
I7iykh74V5YKrKZTNjD9A/jG4q0ZMU2pDiMImkVPCidgYfuAsQwCBa5A0AQSgaDRovu8nVNWXjGa
llZ24TaPx/xXj5li3wIDr7rxgWt0IlmJl3NJWu2gta0ZrviUha7OuXd0BsWHQwXcgPTG7JVmGs1q
rNDVqdhm/oIt3mC0YjuJya1NAqZrekAs9d3Xf6ll8wRKcSvQojc4DPARJFaAVrWs+gogFeA6926R
E1TTuhWMggWVBhcMcBCQHoa+ydXWBLzqaqnjjEEtd9OjMyLPh8NgvF1XpQX3eiFlvsBnXj6czKzV
VUgRddHfMQzJBBZ4yiiQfXg47dWsjh9jVex8w0vtYuhP18UvLBJ3CswhyJmon6M5TWW5r5q4t2jB
PCak2qlKdvR8/x/cII7axJQwxuWAF3e5Sn3wU15gXM4OWuO+UDtnRKsjwKSDlUTBkofCkBUqZmj2
MzHrKZnUqSR9h+kl2Dsx8o1oE1SnRszhlkZXPlU+gsbJzzVbSwBdAvqybKO1mf98fU8XbC6STwiV
4Ikx8yDjaJRg/i6bYrZTiJe69lcFXGKGARXv1/9PjuS2qhw4eNSoEFtggE3w8qjq3muUmIdeTIF9
XdZ8QJLBw2Lg8zFGAh5HuYE58IYCSHhQ0ypHupA+RUVsRWLbAe3HX+PkWNq/c1nSupgX4C06QpYi
DgJsjkFzq/rHxFD219e0KAf1JQT0M6yOvKaoQ/fQBKIjOww082HUEDrrSk1+Cd4G1sT17OW6vIVQ
BpiQKC7CjsJQyxMj2RCHUzo7DZH6KMP3j2m/lihbuM4XIuYln1mTrmGlGMGnCIohDBtRshVkxNR5
/Q+mccalwT9wisKUX4rxQ5Pk43ydWfW9wvTy4D1Fys/ru7WAeYYfPhMiqQGm7nTMu2G7wF49110A
VzLE75m6J+SFJv9D2pU1t60zy1/EKm7g8spFlGTLtrzbL6zETrjvO379bfpWnUgwSqjke845HgEc
DAYzPd0BsWZgNwCJuhlAAiTyDU4ZBsbx5pFBUgPSMWaFNJbyMsuxQmp0jqlvJ0i4TdFNhmJo7HVj
LLgQebeAgrwaDEOqvM43n29oMTZSv7Sry9fTLkz1QJnnd2AqrqpovNbBriZTfUc0kfQPzyNVMG6A
0xx0KgiX52brMJIyo8Mq07kLerW6Aafo30d+3G9/TDCJYT6mhWasrkLk5DjKxT1G9DCLRr3L3sJz
fHwtBdEJ+RhGUs5XgtpVRs2hRCxsbQCu6UatKVR8F4EZk+cXeAEhGyA6QALsjjUmKrKqXrXuECtN
BUk0fDCnDcmEedWsJZsxJsbGGpv5wRrq8abO88zL1SbEfyThRzqJjLFMx5TjTsVQaN+YTj+3lSeT
VlrcFmMsd0TKtYOEAqifU7UO6g7DPE4oy/N1OJp0r6chdA2pmoJhwQ6blz60MYUVKwXox4w+uZ66
lh5tfaofu9Sm+xFYN2/sa2o5qJuYsVPRHv+rVtdp6uK5UBAHPMnjh0byaPQxfFltpVKxoRsWh3fW
BCZQF7zH0ybXZ1DJ1foYaM1sp47aWWjvxvFdO2rJRlaacCeV4S6rJHVnSsRXaqptyhp6TXSqbcDU
7OXWVmUa6ETSr0mD15YT50NV+FqZYW5jNkBpU8y6tl1oR5+X1lAKZzJTzPqCVQiTPJjBCJ0lLXPf
IvH4OOezEgxNkb1JUaJgiDYxgDmSQgCfLjsWN6NYB5DWoj9ZyfTOPUu1pa7MTTwMV0LT6yRs6pth
avsdBnD0Z0DbwtRpy2H2amm2biD6mpbODOyy4Bjx7irQzqEOg9QCBJBMMASLayqXEn5Fn8pOtYyu
Pj1olr90gnyQd8+f2mEiAjZQW+ZV0cQCh4lJNxVmpynq8NPDOFqCrRWtiQkNJVCGY58hf5ExezrY
0L3GcHzhN3+v1AIwnIKpUAOPLQDHmC84RHavQSQCz+w+9qrSa8mh1i3HVLZ/7SoKriw8TFWAGoFl
ZxZkj0lJ5KGt3Rrdsj6m8PASp/g91kpofb1PBfJOr9AVQVD6HvvOza7/fnLpZ11ZqG0KswOZ/Lp4
1JYlyAeBkfW3nyeAYOxfw7gFenBA4Rgjfa51yyiDfmMkMaoI8W0WDQLfE5lgkhelajHWG8FEUaCh
v4TxES8vwWQpZ68wE6mA5hPPkZVT8Hyv2kY2R8izgK5Eru/LTvoRhTkKZfXxsit8v8+xWydmmOM6
JHlr9BbMoM9Q57dVD1hkcoD8eG772vhSGMFle9+P7WoPS7KBFwRon/k6RYO+e0HAM9QvcPGqv02p
6fezvlf70DOh/vYP5iBug+ophnRQHj7fxZQajTEooM4IwZ+n0NwnjeGpNdodWnyo/z4Xw+JOrDF+
0YzzLCGi1m4r3VJIEqjqZ5cderKJwblZiiZOeZ9OgUD4iv6zTeAvz9emZ4lK44nCmvFLN33bDObp
d54+2lPoNcPnrIvmbnjfDs9VA2xdKLF/C0+6NoMJMUJVKElmn1RhDQp8fXaGLEWr2VwAERt+Xv58
vEMAELkNpmJQ0AJ4fb5E1PMruzJrsGpWGMOA3imI6gMVxBSCAM9b2dowWfElBoa5GDvWspgJzlrp
lh2kz6+6EAz/sx+3YGgQwdD4pv6j3mLnuVGNUwjNMQ9vtq+VjCsyeVqM2KnD7SJi4OOZOp3lXcPY
SbitQIqnTDbGXvW+d9R5qwyfrX4kyYdB/Mvf6fsFCRQkwM4gEwO5GjoV55aGdOhNpcIY7wjGtFTu
PS3ZGopjh8+X7XxPas/tMCtKO3swNQUr0tax9CH7sGqonirpJsvtNwI50jrLBLFeZJJxDbOcSEop
TK4c/m3oxfF9t0QuOE8z8hGPfw/BX1eIKhcAY6oFhPP5Ti5RZ+VIY0FigE5FjrwcNN1jciSZiN+L
6xx4xUGvT1PW2vC5IRqOiyoXMNTlL6Q4SPmmhd54afsN+FH+4audmGLumBLEMuaswdSC2d1MddRi
8PN8H4HrA9BEIiLd5N3OYNX4b2WMM2qJFst2u26h3GyyOLyKpkmUQHG94sQG44jQ7SsSfVh3b3kv
jftFcat4dqxl36f7lm6yCXITDsa/+3QrQZbWSJ4m+97o7xYjAz758fL+cvoNcJqTX8P4KMj0q0rW
8Wva0R3aK1AdOpBMcEaAH2rjykY0U+UNstW49AfhhODqKGy+hdID5iLx1lxVec4dSTKaLLK6pcQV
q75lGphTmulGQmHKUrJgwYwKLTEL1r6Xdo4ZlrAQfQqufXQTCfjy0HJhe1MjCCOnRKKlOwDLpmkj
3q+5Uw5PsjE6eqFtJR29vyL8oRvtqy4LogMHbLUWX1DIBcnpWkFlVl9pq9ihhdWP08tUGl6ott5i
FS7Sw+fQxhOzgjg3JMmtZfYjkr2CjcgPjf66LYQTfrwgfPpTmGMGtQFtzntsRGk7dRT7sv0LSY7c
iMTIOUMf52tmDlhvFXKdTDDUYBoqz541TF7JtdNVj8Y4eFIZNBhZWh/EsajFz3njrqYBzkRNA9Af
Fg1qy302onBYgj0Gcqs1+HQ/NflYKH46Ez9Lb+PlpvgHgvozm2ssOLlGqY6TNTSw2YCYqvHVZNFy
z0iLCay6yfw22vV0f/lA82Lzn1WiAHtucaQtVBAUWFzmwa3CBje3eSiTh8JGaYOKSkXc8LEWEEGl
reloLjM1vRyKv9Ugy/jbseXE1JXlI9FzpzYfLeMnyP/zCpBK/bUKb4dScHr5PvufaZa2F4OcJINS
L+ROmnkzqRiJGrxCw/B8JoqRMidMWSq8B5Iu0I9jma3MFjOjrQpLRQUt4A0GKdToAO1pR9H2eeqZ
YCUYBYvjH5QTm4znmBQSUUoFmwYy1szc5DK4Z0Dxmm4kcmU0AYWGs+Qlyo/L7sMpSGOdJ3aZD5qM
ljTkCuyWxei29q7tb4iBQOj20zWo4WWp9/CYjKvNoDqh8fcDrbAOuBXgKhryXI25jRTUwkFhjlJw
XrVPw5Qek2lyp/g5l0R3z/qX2Kvn1NLqXScns5/HXJ4nWKrC3Kvj2NPQJq6l0r+8nzwnRbUEO6qt
2qxszbtSxhkMwAoWJEFHxUxRlrQixJxS198zRaSLxbUGIvZ1XgDKmqyjWk1bKBKam2ApWvsVGqjm
Y7eQmmOoD+7lhfH2zz4xxfinVqt5BF1AsO9IRetBSxd0g1ZqeLVBgsuWOJQNYOY6McW4pEnKeBwL
mKrKq059V+07A+VJSEbVHxn1NPouK89KuFXHlyq7VzCeKSLq4MXUkx/whWA+8RUQ8Bkd6ASRJlSf
RbGXrWtFB2mNelckIuThum2sW56aYsN3E+qdDakNF9qov7P4OSsTpzJGFF7hOKC2H6Fkenl7eRb/
XBh4n58fhJgmUF9cLwyif6bSVVY7Erg64xlaZIc0Fx1wntv8sYZ4em4tVJolRdcCT9iy2icVBB87
8BPbvy6viWcFSCOcOHTICRBj51ak1JCyDtOdblySHaQXnoY69prxH2RuIEPwxwyTNWlWDM4xHWaQ
RV71lb6hMJHMZAvicwFKnvOVIHmnY14B5AiA5LArSjDz9eWCpj2haRLqtjfJBTrVkXmXgpHXI+0M
7pKxawX5BOdFhI4dmsSAxaAyypY3ynow4qKIK5dUiXSvDYXpFsAwC5xwdTLG7UGyhso1ICiYT2fH
MWijYXBGw8O4aJ6NwZOTazCddeG7BYQ0RpKhiCdoNXBQ8GhFagaKYJivwizw6kInZ7qpRjALNitH
NSRXtDFy8mF0Bmqiy0JceyJbW6V+Apx2RqSdNgCXakY+6ZOgp+iFRBMY7iYvNCafGuajXCnAFeWg
Hs82KZoJdWm7GShcLns1xweglaKDKW7VFMEdff6TaYZ6Qi6BgVwykSYDUGX5ECZshrdIa8B4LrDG
y5cNlHeBhEDnFARPTGAAH2LUqas5s7hto5+T1jiT+myQo0m3yuRPAxS6BJcKJ9AiPcdcE4p2KEuy
8HxQqIK7gILOOye9l0SgbsF4P6hbretGTwTr49yVcADAm/S1yYn60/luLvOUg9AVyyu7zqtD5Ksp
dBA/i/74118N8zSYdsC0NZpn7LPDHEsJLHVY09wHRJ2dMN5F06Oa4YXZb01E+v/N3OpEJ35dKS2V
zXUL5+ipAnRVsW/S8TYOn8p1BO5fHlVYHVBVAI9BpoTVHCzqBmN7MkYFo8nLLQD7eicFGq9ToSrh
dGRHq0Ml6lbyvpyJz4YzgKPwrb0RqQOZ43wC7Kj1ei13y/xXuTxOskiSjeONKFn/scOE96iwIW6g
ICgRazvae1A3oa3rKNTNayHx+/ruZQMg7il0nzAPjjcq643R3LZ6Alumcjfrd9LsqihHqIk79KND
7I2peFW9aS3MyGuBJaJS5J11OCdMo7my9lfWrTjxGjTNU6NY5i8n7eWPrHk3yUYdt7UN2czCoUOQ
z4JzsUarbys+Mck4Kjrdc9kZ+IrGiumm9gNIFwR3F/cDnphgIlhsaMtERpiQmvi6Ie1GiprN2CYH
kuUvY7wIkM68N9vpLrKDkqqBYV2rxy6azfTZxrdmDmnVOLpFRXFfa8ODFFkbG2XfXn/F3LBz+eDz
nuJn1pkUwa7sfqnBbebG3S5r/CadwW5+Lw2fYfRsxddV/aBYfqs91rqg3ch7M55ZZg5KIqlquViw
3DapJ7WGQ/v4mhjpbWtUT12db5bpHhprgRSNXpY+LNqzMuaCcC7c/PWEnbhwphlQ0a2x+VnzmYdH
sJx7ve0W6e3YuPm4Kyle6y+diNqNG4sMtMIRitAyZhOXZYnkudRhNVa8sn8wu7tw2qSlwJE5Nz8x
/1hhJ0OzNBwqicAK0ZEhDchVNlTZquRd7Zx2erzsSJxcDGUjGUqUwBmBtYg5NYm5lBgxQyiyLWg8
ZYFRPy+29NDKJUaLjeuUqE5ORJhWgVG2mINJceX/RVUhsVyNTyS8SlFyAJWaKl+bUeIYpcBfOE+E
lawbHFPAKSKvZk6LAZRVBHpuZJzKse5VEOLuFiHijeMdZ0aYg0EKowh7DUbofNejjpPbbrMgoxXl
TaLFML6fSIAqmvVqx/oZg0OxW0JHOLPEiaZIPwHcQxXjS7jv/ICVDeDMGVp1LsldPX8G365F/YWk
KNeKPg53304yXWY9tgpIfyXDVB3e0vFXMz2Y0QPpBW8qns+ZOLcgjEcSgVmf8wVZYPNRQwupUgWk
fZXtbOUprl6teXZI/0E1v0XMuHy0eOtC6m4BtG2gcfY1dngSo5bGyKN0gkUM4TkSaC4lHQK2NPQA
1f7fTLE1C/QcMgDQVlPS5GZztpXUFw2apbSyRH0M/qrwhLL1FX/EMpxB9j2s54iALqJv888SUpo/
rVqRXie1qx86aLUTf6ny6ApSEvl1Tql5bSyQNQ+ARot32WBWlWPNid7fjWWhDH5C42b0ZK0YBRkH
J4qCBl0FfBKc+Wg3MYGtJpiohMgHOPrRjkXB2OjuCIDeOXSctArUqu3b5a/NOzCAUK4ygchSdZs5
/ZEBcGTdwV7cQ1Sm8jX7bUYCach3VvIPwisAH0AFBdBajPmxrwxJb6tBW9dGm1Z5mdV48VWzPrRR
TT3gPG6yvEq2WPz75SXyntEmRIVX2WI8br692OJcg3ZeGtUuAanUs1XKyz0o35UHmsyq4mpj3r9N
hpZtVb0gvxsy2D8g7Tf63Thgim9Gz2enlx15xYMlAjddX1j3VpoRTOBX+jR5RjPGsd+ORvZCYmn2
CkPrvBT0yb8jqqHeoSiY1hMcHF4ubGIYBlStmDQEeIRJxcMaA5tTtsKaqjdVP6h27hHjWKtHVQUd
wrzvdB8tycv7yHHNM5vrETsJDLpJ21G3AG2SwE9CwUJWLD/WuirJc0isAGeHdv5li7zu45lJJuWf
lymaTX012fpytan0oKDB2oNVTLAQ905S7+wIBLFeD8qL+ljbz5d/AH/Jq7Ylpm6QPjKnEZctkJE5
pIJk+VBXXtffWz36ctRHL7qEM1y2xstRsdz/zLEJRpY0WR0q+KqpHLuauq3sm2XcDY0rFeBsguBN
aDzX8haVycL4BJOUyD6nh3Rmn7lsKshdQi8Qy43oLs0g4PNSQ41GdpfkKda2M3mto1Rgk5MVnJlU
z51qSpCvqusOq+oxHn/JFBOLvy9vK+cKPTPBXNT1OOZ0lrGrMUQRK+AzZGVD0F61i21BQRuFL+tf
tsgJqhYwh4iqUHzD5BGzj9Kk2BPVgFyj9h7UnTIAu3b7MwkDU/jNeKbw/gfXAaTPQHXAeKjdFnq4
RBOGwqV3IGoJBUoj8zXoygCa7l5eFucOhYodBvEgiAzh9G+AvJ5gnqabgW0s0MUsr5Gb+mn6MYrY
P3jRDYNAeEsgtiHtYTmllFE2wAKngIp0ICZqJ6YONRc918Hz0mF021k6WY2d2ZbLa0OyoGlVpMOU
eyDmKQQlWJ57QnYadWWUjTCbwQSgMYpDq1xS+E5T3lRRdZ2XGtRJRFSanK8IzXsARgGwQKz5Cgwn
oRVSjlav0KxGI9XJIQ4lqw9onNrZT20S5Be8w6CgEAbqja+pWeYwjGUZV3qyqgQ2DmRV6yV15G7f
zujAzUFRxTtcfJe9hvfoRa0Uc3gQfcaENYsItKS2rRsF48hE/i1nAVJaRxkSJy/ccc42mf1WVc+R
9pyWgtmor04iU705NcyKvsz1kMm9BsO6BOVBiAB1kpfadyT8oeaj00ybJNzbTUDoNgGrjX7Xmq9J
9Earm06kR8q9yE72gI0Ic78U42Dgp0gSBnDgvJMCIFHhEflHaoLBo92qxTWG2yFXHIHgF3jecv6H
SIuXMkakUUpGj4QJSqYWQqxNA6g7hFx7Sm7j2HDk6k3wsXlXCHB9xiruiRyEJf5SzV4tQmNFp6Mb
gWkV9UdYBNbqyO0mXfZtOoJjeBAsjXN8zuLFeo2fHJ8u73V51OQa84PzsaMfVfLaA+2wZOj3UtG3
5EZBsGHiwELTF/jTc2Ng6IhaaKwCGUS7yglNSfcMpXytbPNVwnjK38dcnFaMUkHbCprprI6WnEDl
26pA9jNbxYtV9+NWTawWqn41mEjCpd1d/n6ceGcjP4eWFsIQUdkaaxyNidXYgEDLKQaVhiYDmktR
Me/X66JBVs4+YhdXPRkC2g+bfZElGHOyY7ltXEWrg7gt/XIcd3NibvtBNCXJKeMCpgFB4BV7CkrZ
ddUn/gFmPTQdO5iy0n5bmHMQmyLKdt7GAV2NxieuRzAFM14RxpLcGFrZuGmPZ/IYdZ9mLA1QHTZ/
Xf5CvMsR8q7GSpUCSWmMAZ8vpkGZqK7bqQGeB8hnebgCSMS3x3BXy2YAUoabTG32SlZvlND6vGz7
++WBhykk1jCQCcqAb234xtbA7FAhAZAH7UbKLV+p3uz53lSfVVC4OmRAjtOIiP159wdG4jHiCqIj
+Av71kFzY0hjkzauGi5+H1K/6vOdUowbo2kPkxHjCdA5haR5RUGCcolTQRWOE11Wz0EnBxhUTWNT
rHYoe63R5MatJwPqzSB2cLVpvEE3JPb1VCogMzAo/uWd5rnTiU32JQAhXZyEUWmQs3rAhL/LSAzK
HCwLl83wzqCJFX3p+WI6gAmcBUZwJDNU14kHO5Cn+aNRyJbQdgv6l81lU9zPCPmJdW5pHa1lcT9J
a+c6JegCV5PqlsBw6qPuRYCUQp/Hy2TgaYfGK8bnDA+OcYyC/9E8s1RrBuwuamC+G2bTLwp0/PQE
DHq1DpBOgplP3CC3cyQtTpNGP02SXodW+1PwIzi3I+aCNLA8AJKBAjYTJTCMRIGNII0LQbo7g6QT
CjrzBtOjP5RF3aehFgxAjA+xHTmIWYL3O+9jY3ph1S0GGBLTceeBowTNh9XaJkhPdOMwdfN9HdF7
KQKLIbXfLi+U574npr5i2EnAXZbaAijIgqm+hvDdUha36WjErtHqIggAL7Zb6AaiT459BfXS+arU
pbc0DBXgxkIfHunN26STj8ur+VIkZxJJtBzxlgNO1lDxpDu3UfQkoUum1ug27Brdk5srunwO2TbP
NafsXuPeuDKip6XehfNDo3ymNoRz8oNUbwpIJJWBvgDV6tdRQOrNpO0u/7jvX1WFBDfeZdAXJysL
zvlv62YS6dUIWT4FGvcKdQZQGizqR2rf/4MdMGCCSgNNF6QH53Zme9RGtM6g+p1DvBa1+3RCj0fb
6xBR/AdLWBKCPjTGFRZfGWO4NpySHJJOtHR6eg9x7SW8nYsfl818dxwo5n2V1df+PHS7zxdkz0Sf
rBBvrn7KDRdj/xCEDUOR3iDv8+AkoIKvAGL57QHZDRI4x2IUH8Z6zq/wYpUOVatiRg+A0WiZOkG7
4PvBW0vH6ERhyGst6TJfSQEr00wxGe22ZoikbQjIYLpGJdKa5+0dWOGQjgKehCc6s3dx3WtZXqIu
N68KQp9q/nr526zB+PzAYRkYDMVaVhEEFmNjZjG4YgoMGhbE0zB0X4B6Lr4CD5qT6jt9+HXZGn81
f6yt/34SrRQlTLQ8g7VkIj4Fw4mRm95lE+sp/Lag/zKnb5BCLbcag/Qo00zSths2MQkWUELORZAY
gE/gNVyLpoQ4nqBqQCiBOgCPB2iRnC/KAnO/Pc4aKsRd49h0I1HZy3TRrcqxAngSxkNARbO2ixh/
C+epWqIBaW9OCs+oZte0JFQPU1dd0pclNR7H6hk8Cl4WHjHh8rHI9RWGRcAI5jVQk7+8xxxwAVZ8
8mPU8yV3E4o14ZqD2/ZRooi4vR9FiZfhNnJ666UcqqsRoAObSn4+HeZ5EUQUzmbgQYgyB+4hTAqy
kzog9tLjtJpBzBpZj3i3Ra46gEg163JRMvU9JVV1oN0AsTNtS0VKcb7SqlaSBG05kLwtOlg+pR4O
ROW7xow+iDHcZk1mCvicOCSYeBfqOgHyUUcPjT3yit2W1mSCS6m8Vt+pY3mJ//GWeqjB+5kbb1pf
dTB9tX2aHOIcRfOrHGUOkFVBdhb0CmiPwd/OF6xbUkzUaSUfXJyudaKb8o7CrEf86ADd+mcNKjBB
fFM8bjNHEmWuq98whxfs+Rj7XAuA4N5kdjtC2i9pFRBA6qG+1hxrb+0y96V6rXbZRgTX5TkxQLTg
kMR5wBPvKxc5CUazFg560mOfpQeQbG+BDglQnAOrNqDl21RwXQitMaEvzs2IGjaW1vjGPtpLTnyb
ewmgDLdv+lUpeklx3q44GCeLW0/QyeJMO28UZcTilmPr1ajBObNj5p4ZpI4I9MJpppzbWm/mE1uG
kuKoflFk7gf/53yVBcNr84qaFxxkvhWlYZwBgHNzjIcq+oAG0rq0/hUCNT/MK2jV7Cu80J3aiR76
oH06ijimOKzk5zaZN00JGO6kVLBpHYst2JBAQr648bXtbLTCacBYrW/m4A2TcpsyeBYE27VQ/O1Q
AE6EAhjeMt8YiyYQ7nRLC9vKh/2Z/diEB9Xtwc+N6gDdVzvh5+SEPFCG/LHHeCpJBjmr18+pH/Dk
vsXUlptirxs3CmjkqLdAUrn5wXJF2jucm/vMLuOy/bTYGE6B3cGtN1bq/LwnAcba/3F9aPlDKAaT
5myEg6BmHSs2ONC6vRoMv4qDBs5xyYHElNv6449k9yPeD1eLsJO87tv37/jHLuNDdqlp0IsG9Wn7
mv1AlQGKytfgEvMVd/ahKvt0FA3lcA0C3aBgAAhIALbXQXqNlOrqOJNEr4HavepLkeqkxo3YJzYY
ZxkpiKPLBNfF4uqufd35t8pucW/vX0Mv3Mxe5Jg36u6QPP0Cu8nb5IFHZRPEV4mn39iPTyIifU5a
AAoLDFZhfhhFM7ZgNyUksVJVxUmpHuvlPi+DReQ9nFcGyn7I9iBWBP4w9hFIiZU1YUZaF3wV3gyO
G0iT6eEhGkVXIdcQYAeo2a7sXmwlVapSpcpKHeS8MdQIki111DfdIUcwPFST03mgPnRMj94NsuBR
yL06kGLipQvuWTQ6mXMY683QdAvw0/NmtLb1XYS0wzdupSCRBYvkrvHE0vrvJxdHAhIkpZhhqfFH
3a1cy8GkxOXoyTUBoNqKDtcwKrMG11MTQz5CLgnfqxmfYjl3Qm3bJDtLlLlwzYDQBC9BDEmYbC7R
lihYgwahhVbJtVHeq82WJu4imnHlXkOoKOE0g2Vr5WQ/X01mFXoXmgauvo/ZmyBbkAWmHznGzrqO
c4f6/T52bian2oYHcycaOuKdLrw7QIEtozpjs5Ks9hLXc2PCI01rAP2AtR16e5NMIs07/iL/2GE1
WQuqANQ6w86yR99u1Nwa6DhXCRAj76fA9ilxYsnHKv0YhHKuDWyTN4rQEl/NJTZag//MWGsJ6koZ
c77VQ5nESlbBcYxD98O6j/Douk58y1s+zE27jX9o1NHeWz96lLfgO/pIAOX+F9fFi2NF4YPFw2R+
QRbpBYBb+AUF3U3z0QyhgkN8C4CDfzgiJ3aYEL4UjbVUMeyEhbaJhw6dNuNpSIsSpGuCRjHvikdf
478lMaElyYiWWgNMLVJ7MJRwMxHbq5rKVZXxuTU+8rbe1IrgQcXNT0+tMqdG6kuNji2sUsCJWwir
qL8WxWkavBcrEF3uqthHW6HvVQxx7tTOv7y9nFsY+E7Ib2B6ZG1MM2+aFjl/mZYhHAmsKAAAY5Dt
7z8g+DKgDwGmVRS/WM6cAu0nvJvQ7i6V2FmAtzff0vxByDfJ20dUoqDzsV4M6/jh+ZGo1QiQiiHp
3CJ3lE19q+/CDTnIn70/+sBtABvnXd463lV0ZpH5cqa6DHZXwiKGHD14yd10Z3fOgD3ctppgF3nf
6XR1zLNiXLUDq9VW0vQYsXcn1PUuL4cTQM9WwySA6tjRvohgobZ3pMsdqcOQgGjLVndi4taZEaYa
VdSzMbR23LlyYBxjb/Axg5H7k/ewBObn5fXwP48GmingPVe/YCIULbpcbqsUWmMf+CqSQwsHF9Hs
tIFxoG8CYypvYUjtcJXjxQ7qt3PvmxNgHSKSQyUosG9ln16FG9sF/1r6A5jzQDjuxXWHE3OM6zVa
rU2kKKGdM2peBzCFYok+Faf2ijz1z4oYj8tCvaTAj0F+qPGmox5ATjYFd5KjBJYHveTe147rk6R2
quvkN3kU7KdogYw3ztHUGLSEdRCDrKWlm5/jRnbBgOrJD9UnaMt/XTbIeVaerZZxTGke5LmpsaGT
fZfkPqQ0VA3TgaFTagIwK88SCAIAryAYnkMN7dxTtHlGtJcrqHgVV22PRjZKoJ9V4vXh9vKSvjDi
7GE7tcT4pCqpDZVUWDIOqeRMeyMg/u3drVw79XZ2oiB39gBBDk7oD6KGMqfLC2Kqk1UyDkrb1lR7
G7ar4+iAIc0Nb7Ng9H8PpiOCCfIc9dQU46igZVLzKa47V38vr+PbfisdpGMn2EzRV2P8sR+KOGkr
rMfGLTYpTgGe3AZAYADWRQAtXnKHvTNXVoz1ucgiYnpgpxIla9YF0U3n9hFqVZjt9uddu32LN9Wr
fVAf4/vlKkWRIPuZLYLUjlfDOvsBzGKBcexae8IPsECTHLWvTXVjSM5SfUDZuCzQKPvQ9Q/a3aCJ
qxEIEavPgyW4jVT+V/2zCcyBbAs6ANi5bsIh3S1HI1CurGC+MnbyZ7ED+ZUPfgln9sONsm+dZGMG
IFAI5lvbeTZ3hn/5JPGC0ckHMdZ2/skzrSnaQV4W/BaKkeHROOqVAF76VdX5dlRXMCZkltbJVsaH
szZpaCK3nTuiLIEUJiic4SZGDhPFqIrq28QbtvROFgrs8Qq/oDH8Y5j51KWkELObYZhCbXkn460r
uxTHtVljfFI7Ip3l9dxfWijzWSW5KrO2gL1eUZ0JnYs2dFSlxdNa8M3WP3TBEAv6tKSlGzIL30xe
MKfsduGVnuzXXjX61ETfaPHHZR/hQDsR8f7sJNtyBdQrTccKK3uP9l3j/MINglNLXSS9ngzlPksU
J0QrXFOSE6+sKkkZIwMrHNJtWXutjr7PpiCuIjl18dsUmVtvi0sbyqRTFuj+CelXTxmcXgbT3c+o
vxPs4XdczPkeMncjgazZQBTYSK9ld/gVPuZX0nvqGDfaP7RFz74Wczd2vdbpvYLN66FVND8Xyk0u
BDwLfN1k7sDc0Pvo/3dsAzy1q+5LrwgA6enhEdmu27TOtFVf9PvLm/hVzfn+odZRcgB4oOnDfCjS
5FlvmFia/WDszSvtxUb1uHPuRtRidEfe1O4LIqebo7Qrb2VPefuHchP29s8PYL7i1KRZUib4ispK
kng9RH4MddZUcMC5QRktQBkMLJiR+1JLPXF/DACYEkUt0J1BwI6ni2ML52DWnfq2kysNBlYDzlcW
fhDbcy4PFhZiBOiLuelnDMj6TXInebmfB9Mu8i5/On7WdGKQ2bkhtdIwtmGQIMFwlsl5eVOd7mHZ
VlsReRPfTU5ssSegQSmvhZigW/ky+Nn8wc8c2Z0dfdejY+8YDgZN78K7j/o+8ns0r7JrzZVFeSLn
I4KyGvyv6ANgGOGr2nbyEbOsDfNGhcC1gea1g7arNxJISV7eVk4qgeERkO+B9RiVCLZYppsZJBZs
HS2ipvUkI2izV0By6Vg49XAbi+aBeUsCOAoNeciifR8VaXLdoG0MIJqRy/TB6JunBZ9U1LDlPKRX
jSgwEIHVHsOUzD069XFD8aBZSZW8cPbyrvAiw+nkZ7V/7SHJMF9jDo7avy/vJOcOOLXKXqoFzUa1
GzQ0GqvPOicvaqv60Gx6/WsrgEr92UEmJwGLSFlVOQCKUwLZVl3d94aOt5ixvWyG4xbrxKSyQrVX
DDWzhU0aKmk5xthCVDI3zWhiOCSza6csq9umta37UG+axyRviMAw5+IGcA5JHlAbgG6woo39GIeD
hYlJN5F3keUP9l2L9DY9NNl714Mq+Hh5nZyny5k55hrSIyzf1Ff+LQhwDbKfSbWfQnwh6zwFbnrZ
GMf7beiUA3cGzwTiiIkq0Kqrh2JtX9JmNxYZtH1F8B7OrXpmgVmOmeekjnso87Q15j/LzO3Se704
VN3sXV4Kb99Ol8Lk5PGEOyFLYciQj91UOWVU+7S5UqoCI67/UOY+WxXj87XRgtEGouruQKXmtoiz
2R+kJjrW1D7KZa8K1sY7yOgvo74DZbb1Bj3PHZdi0OuFwNxoH8ti1yafwgYBb/tQWUYIBGczcGfM
9o1NNheLCp2hrrpLiDMN2ynDqPDDKCIc4eiiAxB0YonZuzmMFYz3wNIShEHxm276q58UTRnTJ/f6
Q3RXB3qEqt9l7+BFj1OjzA6GaogZ8wxGrXRbIDzJd+bo6YO3xPexSGuGd6j+2EKB8fxrWcOYYlwP
tvr5IZn2lqhPznvwI66vKc7KQojpw3MDUWlSqGcirtPbynJlvzhMwYxEleC1hIsfWkqO7eEB0wia
Hzw3PLXLPGGWKJ5REIbdJGoxPvGSgt9Ulv7JyH9XJfswm6rcrosJVyWem//H3JctyY0j2f5KW72z
hiS4jk31A5dgREbuq6QXWiqVIgFuIAGuX38P1V2lSIo3OF335Zp1WVdZKuUE4HA4HMfPiTLwfxR5
dUGcLRWCNYcA8+AMDwc4HI05H+cwdkvwkBsYi61+r/J9X9xPkBnsGm/Cg7j69bz3rfr8qbVFFNRT
Q5MZhTU0dVhfxjYzj5mdKxJI2XgCZQch4QDvvJVaYvpmKapLG82HB/QKiVCF8ro/5J04pKywgr6R
Tigz/u38J669lAIsj87dWaEGxIULp6IVKcfCgvTdlOlhJ19aXL7bVA8YZAr7+k23Xa/uWn/gaP1S
uytJRsPra1S82s+Tc5unzUHRjAu8Gt2Yahxwt/HOf+DqHJ5+4ML7IPM1t43iA62rYcdu+yjZQw0o
MqQf742H4lBeoFGcRehoOm94bTuf2l1c0PrUhv4Yw5tAlb1I46r4GwXRDxM/2z9JqiuDGZlhIFzo
2FUEmEHZBXZ6wdht3KHbfePVdG0Pn45m4fcl7xSmo1cIbEFfxmaumz+bW/wLa2f+qY2Ft1utM/U1
x4xBvoFljwT1myzQx/vz67L2YoRmAzCWor3MRZPHYmES3hdD8UNjUH/uExsUYYcG7BIVKopmZIkL
A3CCeqvosTa2U6OL1RIuqZ3YnBUiu6c8ezRz3JavNimkVkM8QvusRwz9F3TtfXQKA1gWOk4a0qYA
G28KbkRE7RCrFfKrGOxIntt7xv3Ws+Wac9jIdGftJdzelgcLtduu0B04R8+zkNZ4gRPd81RaG28q
a7H31MxiJzuFE6tZDf9IZTRVAfa0100TePtHT1Wh9Uq26rUrhSr31ODCU8AbJ3r1h0OO0h8yNLGh
UQyXicuCsKCvVNvPochVgSDFrbf4Z7fmdOEweooGbqJiTmP1jrafszZqhg12wLXc7XR4C2dRdLua
1AzOQof8vnN0b3TKSNjNYwNaACCJNpZvrXb6YToX+xsAAenEEDv2yUNgXEDy5hNxg/hB7CZ/POB9
cSfG4PxenydpUdoBaStE3tGHiF7S5WmNhzGTihgWrVx5H1n/tcyNDRO/XvPg9WQuOWggiUVp/+OO
mzQ3a+seb92ZcmnIMSBj9gmo6Cem5F+0WPNpDkywZBsXsJUgBrMIYBDp0PF49ONV8CT6m1mr1tzC
szdv9mBVz7Soc3eG7oMGxMJbVY1+fNSWzs/mry4Jm2isJio6cwmyn49DNdpRKfX5Wd8l96YeNAX4
kbaQ1as2gJXDagHxBOKojzaggTi5Fce4cis51nqkd3zP+fv5gaxU4DCSEyuLzcWk0+SyhxUKCnxt
BJwRPO11PNwIw/G1GMIzRdMERtcjbTIf0QyxlUb+uvU+fsBi68Vcs3DDBAxDZuMnCyjqYaJvCuF7
ta29BqxD5wf86+nz0dzCSc1C6/ouxnjLNJLdMx1eJH3u2v15Kyt9G7MZgnZTyBPP7B8fFy8u0kKr
2mx+PMi+TarzrdDH0LQzj4jksjPeuhqPeNBQ8FpCLwyAyJwio15Zi95zrZR5fPjGHe2KoiXBkOVG
NP/19Pjwcc7ielXakGlNYkx5P3k1PU5O1IJQ0sQrhMoCKJidn4t1P8YrHyICuLyXeCjdlSJO5qko
nRHtXlrQKBWIxbZYT1ajj/XTzMKRB0PrkQXADOteJL9pJxaMxs7JHX9E/8gEeYctKNnWwBaeO0ot
rtMOFtVi8qWT5BADgl6UHLb0+bYMLXw2SS1uaGKeQfspM6+BFfE428pcVucPLUazvCukhZcFVtzt
OdUEACgx5JxE9tKz62RkgYhfJxqZAGEJ6z9nFIEfAj8LjRoLGk9LOZyct60Vz3gNau6c2ol6ERnu
1dhudY2tzh8K4jMwHlReSzr5TKIsU2WwY4rRh4x1OmkoNmXheT9fDWQnVharVDgGhNYAwvJrk1+W
Ysx3iVQ+2xKppq63d1XCtp7pV9KIWQLaBIcISLDQALgwOUg3660KrXaO8iZbr7YvU8P1nBjEaRqY
qYnX2A9WE6gs1NMvSQ3uzMreyJxmEx/zio+fsDgJB5LmOUvxCXZdBGpq7jLjfjSG26b9j6u6s7P8
XMSFoYrEejfMgCWrjXdV+7k2gQZR6aFskwudZYfzi7kaIk+szT8/SSoc3WBWC1iI39W4lT+x5sLs
07up6aFtyjzi0Oi8vS3nWZwXZTF1jDawl4thV9jklkP13XDykEp2PVSbPaNry3Yym8sjwJF6btuQ
+ABdEW7/w2Mjvtf2t2GL5Hs9vfg5j86iJoIsl4KBFnakq38RGUu9hpXKUUv6S70ogJRCPSwsHbAn
qxwQI6l33xXJt8QZtka7uC4JisCszaNtlJ3uBNzW/RZXlcHegsiuLiPA8ggyKCyCdP+j26A0VehQ
MRN+ylHm2A3ZncYzz2pe0i2w26qDnlhaHHe9YrvlBJJ239WfpYp53JXtrMgH1VbHS/otisbVGZzb
liCAPBf8FmedofS5BAM+1hF6XiXVQIOHcumkX1l5v1G+3DI1//xk67Em4ypH26nPbe3B0fvPDEKL
ZW8dGtPdSAZXD4aTUS1iimBKWeoSk2gk7h1kjtCW2X4F1efGiNZ3wYmdRTRhRlLGPxB7ZRISkJ2B
RVNPeVDCN+r8UTrQIL2dHB+6GuejytZULqJKZqdDWzWYypoYntSh2Zg3rZf1VdCX5tY71UrFBREa
h7k1N/LN//px4eqi4qC/gTWTDe85B9pCT26cITnIgn6KywLdiqL9zqC8m7kALjqqlzIwxtYxqGPz
F8g4biSes73l0XTyPUsUW6fYJe9b4CTLBJ1hKJY4BgiFUwsSxzvFCiCEzUX/N2Yc/DboRkOJC73q
C4+CjphJhhIgg1JFX5ha2qFRjcHEmwBHytab+K9FGZy9J8YWbpV3SuV0AxAhRX0k3VG1wFx62RdB
ZT9RC3zmLyndStlWMLYfbS4WGZdSaYPyC1tGuyjpTSExkTyQ7CEjHsSBjOoqUfcZC0XjxfJqdKBG
c5HKe5uGjXWkCf8bO/hkCpbk+4oC6QKS43OEmXzpM/HN0rOID/FGljNH06UrgYALjWsWavvg3Pno
2hpPKkIrmGF2Gw1W+Vlzpr+R35yaWIQ9NyFW3OrzxDLhCeMIveBwUm617DlWX8+HhbVT6tTUwkkt
Vzq21LAxGqF5aXEnlHrH7aMJETVRbczcWog9tbXwUSnSuAAJCEB7VeOraEFVUFwz/uOS/OyUDi4t
EKnCs/JiQNngOlQo2HWZAG6YpSCiiI+clBtLtHbmnppZjKWhOTQ7J4FLfXk1NI+WIj4JsKPmcmep
g4fUexOQNadHv/rdz4EtdttEjFJlEhbbcvDTau++Y3DkeuTeBVX8CdLsXbn7G86hQ1gKZB4/2kg+
urpEHirbGSCrJvKSASiv2H2Yy2tXe5RbrQHrF5gTY4sshudJmaAuiRsgx/sdBKrTQvFrjlIv33UJ
4A5daGjPlXtXN6gHPUPpa5NSZPVwBrnVXwNe7O2knPLBbTBgy4Kw+ZfBuE8zHMihoeAE42HcN55j
3Aj78/l53rS72PDctlO7F7DbTCC/zcHDdlc1Xq3veA0uDwAuuMU9UMVpyAzOm17dkycjXmwXiIcq
rBxhmUOvW+0uJmuIuq0bzWrIBGHWTP6DQuky81f6Sa2UpEWDEAh4hIQUBZHtp/MDWemBw8Y/MbJI
7Hu3kbY7SCAv3ZuYI8V5cd2oUS4L47qjEPZ9cfVIyGuneoPczHnbq8HgxPQi1Veg36B0qG35JJd+
awKSSR+VlHCvUX3L3XPFNjfOurV8BnUSE+JyoIW0lxgWk5dMTSZYVPjjiPdj17PpLuY92MhqdOHt
nS0679XS+onF5emKh5AcAuCw2NmR1EOruh2zyYvRt1lCAprgtiG4p4IP8/zUrvonQK6gSdXAurMs
RbEGJHrmgA7RSrkUw10WX5XJ4byJVe/8aWIJ7Jupm6p2bn2twTyc2jyA4NzGcm2MYgnDQB9or+Tz
KEzgdZusCpLxmG61ca0vEQSO0BLt6mBbW7ihmmg5FGZgJc/Sz/j3SGucfWMD8RZPV6VJot66KyEE
jcS32njFWt0BJ6YXwXtqimKiHdL2XHvmEHxwQS7d0/bQxp9J/0XU0/78mq36/4m9ecJPLoZ1qoE4
spsn1J0iMg2R3qshr3QP+LubpLai+cWA5lpw3uzWMBdxuhi6gaizWd1VnpX4a5fXqQfwxq4iX7Su
CHudb90XV13HgL4TWOZQ1lsCeNvUKFw5YWapPu6gbPGkTfyKajxynOmaaU9UG/dDgs+wR7SsxBId
U67youJZ1hFxVFn9Rk6wulsAJgZBO5mpNuaVOZl5Y6Bjy0xnBjkOUa6390O69dq1mpP+ZeIXoriO
40I6pTBBWq83r3F5YaBMB+5h66l3Xq5fUqoTQ3PKdTIWBcz6hTvYSDGs2KfxgMiZejyb9mW6VRFe
X8Y/pw3PeB9N6Q50XdR5GTu5RxeV079IbetQ+L8EgJ9GFgGgtOSkjhLjsUGA2WnE60XiZfkFjaXP
ylDaoT5ff9Fbf35bbBpebP8yViDcq8Fwp8owjhMPqkzc2Hfg7G4GNL7vSX1d2xsp+NaULmKA01WZ
wxQYLfUADORenES26DaGtmoECpborMc/AAp+XDdS5sXgzOtWZs5+oIBTAkgMpZ2NDGLV5U/MLAJL
rVsjRLlhxlUtr+VfG8DnkhmOyHZxPGwYW3X7E2OLnE9zpV0BDz2jlkpvzK85KF7G5FVU00a43DI0
h9OT/WUlWoM7EgzR8pb1EWhzPBtvcHTjDXNrjRYhyeQ4ADIGR1AhI1AkxUOqjruiFg/nvXzdDBjM
ICSNp8slBV7Nq7QQE8KSRqjXkxF17AeIJ/0th/tpZREoyow3CYro4PiR5h7CW49jTSNWuhvX5NWT
DNxFfw5mESpaaudJ67iIsbj3T2kEdezQpHsoU3p1Ekxbt9etuVsECAdstkZbwVxSXac6eGM6j9Fs
Y+q2xrTYqyjWpK41YOoKVCaDBqAM5tGpeKU5BPCkmqGYUhc9CUk+tY/nfWN1/6JTCn3toIMFDdBH
T29q6C9YLqhECvOI7HjQmoDIgKS+CpjNeVOrqc+JqcUoRY6n7ZLDlEbaS5KMPjPuhwLy82qbfO2a
/EASaDPxWN+Y3dUlPLG7CFGGmg0dy8BlosM7WnRkg+45GfqNQubqGp5YWcQmkrl9TObROUYg83sO
ak9trHxp7njjhkm6Oz+ZqxHqxNwiQk1t17pagUHlSdihENzxiIgvhrWlzrFlZxGitLzvnFrFsHS8
ng9z1lhTFJ+zh7ZiWxnjaqHorzH9gpgv0V4TUwe23PSJ9gdwV5AMDeKtP/UxRPQe0Bk1qI8VVK3P
z+VKIzdu4CeGF+nUoFi5NRUwTAWoKth3EbvJzhlUTyKU1ZkSFfyh60bP7ZygR7LKuxjaxRQ4zNTT
O/t+MOrbsVC3XnbOuxRIoz7uzVLahgDHPzoI2JPsjqZzJysggvNny/qSQQT3/Cysb08AdkE4DI2I
JVSLaCOUKXIEoQaiwqAk76rBo0R4pXYYytcRgAr3P1cRwbzboCMH/TkoWt1FRBiyWNchLTATw5ae
nYZCfhbkvbY2yrfrFZYTO4sIoLQjYwKKAHjfP/DyUFBfKCCG2kMActQiTT8M/FvTPtX53bhJcb9e
IsNdAB0as/T8EtpntEoq+x7OBd4QszlObTirzpLqmlcXrgyYDaUWkOKCWfn8es6R+5c7wk+7yy7N
Mpnqscsw6EmDni5QWvGwtWFX325OTCz2zYj2zzzXYMIpaaBgFNzeW8hkdTYLgvpju7PGHQRJ/x9H
ttgXdllyNe/gNqZiY+na56nJo/OTt35m/LVoP/pwTxJA06KtUMUciqqrpigBLHy0cfyfN7K+434a
WZy9QLqC8GDEOPDG5xnKQSDNbHTiCSyYNdzL7GJSNkLdllMsdlzeq0XZ6jBZxjGe2PKLuCq/nB/V
+onxc1SLzWaRGKAMB0lt3eRe2VyVcRW11hUFT/rfMfQzdVlkgsxK+9ggCI+G3d9qBQNjd+mEHRg0
K8d4OW9rNRSfRJDF6W44tS6t2eVIvc8t6sXZM7oLg9bZtUmgtv2GZ6zO4Ym5+XNO3M/iQmOahLmk
eK/ptQFJCuemNIPzg1p1hhMri7NduMzKOYGVLpsOptl+01p9I1s/PxA8O34cSK5CTqOkMEHRxZ0i
O1GA51Ju83p3fiir+9VBGR10a6A41xd+7bidLlmRoFA/VFeKgV6MQn22Gvv+vJn1YH5iZ+HcMuVZ
GxPEBdK/4ClLIyGjO6Kh6S4JVfSpt3sr9tJW3XD19RPsxO7C//RREaKd5kMEkKqmqy/iiXi4PAaz
1BzIWcLUfRVl+sYZuv5r2yshw2XbQEKfH//qcp58xsIvSTyVpJdzRpK3F9zgRwFQVzEMnq5sKVnP
I/rl+DoxtXDOwjV5j9sXemuLb6DFB+QKlzu+E/0LWO43ouLGsJb0oJnI4hIKbthuzS5JqQ9bLjSF
jI3IuBpEHKQ8syzGfBf/uBkMY7CY3cNJ6zEyxDuQOrwqAqoGpnxq1C1Rs9XT5cTaYq0gPJVJe8Ba
qf0XvXmyuqPuPvdxCgDuseS7UbYbe3DL4GLFMhErRlXNwyuZl1g+1FK0Rvea6rogoWmFZKsctBq/
fo7QXQQXM00BA9bRwIAnBW9EpWFi8vG8w69DRU5sLFKcWADuUw4YlJqrdy7tXU/kkPSuCr0LtHy4
rnt2o0rx1pAe8GxjehLxdFBm9GpDb2ijpX7T5CyschL7ZQdgaz+iFZ25sbJxZGj6yoaxQUA+A/fA
j7DUeMhjRaqFDUB8TvCsL5JIxZuemVd8rzMV6JrsIu1kZPDM5zOjBusPgN5uFYFWlCZ+yCo6ELFx
0dHyI5CdnFwJL1ylnddk9Gvftj3Dtz/h/wAUs69NAQLCz+pX6av3ymUZySeD+fmdcjlG51dt7TRA
29pfHzE7zslHSHBL6lzBVEC51Bt6DdrTPpRWNoLhmhXrxDXmBTmxEqOL3kxruAZTpwsF70Y5N66T
Ovtbb3AndhZ5DjhSGGc2NjKquHsSV2FtCzBsbBXh16OTPb8q4HUW/O4fhwPiowqwNgwHVL2dNXkg
JwGpB15nQm24U62/oQyISDhr3IBBBq8xy/ehpLeHODPgKTkIJ9DzV7XowwN4MX0c0qu+3LvAKCto
nSnNjZ2yGjZODC+8I6EuNNAB2PBHu46UoY/6rXag1fPkxMIiG8nTwkQqhakcHKTA045bcZDZ+8rY
csHVQ9I1AOjCBM56Th/XzEZX9lD1cI0yvTfrkAJwoSIrNULabR39q95+Ymoxa/Ggd2pZzqbqO7Sp
eJZQvSJhG2fIlpXFzBUJWuTduVan0EsXwAAKtGe51fi2elAB3AymRlAV/oIDTntgxdDCNFNd4bGC
Xo7Mr0CSRMSNm4csy72abJz8K13rCIsQ/ARhDYg1oIXzcaEgRJ8VmQ2TsvSyK/N+vLUexbV+G+/U
QP3UeCOSukPyHUnd+Ui4tqlP7C4zG73JSqb9uCNNBwfUGgDOsls9ObZaMLK787Z+9AUvU7ZTY4uz
kpZW1iERxlkZuV4S2gn0KAx/8qzb4qKI+NGdvBfVy5/qXRJk0jNiX9m4bqzth9MvWIZkKQm1DLjP
NOxadhzRSdw+Ok1gaa/nx7r6cHhqabHzzMIt9T6BJZ0dEZLbsQ2IejRNIEvIvrF2dQFZuq2i72pH
3qnVxSZ0nC7ROwUzLLzqakKa/6AyD5wfePxIX+RTfH+UxMt9GrzGYbL1uk22nGmxOfUpo2rH5oZR
L93Fj9YtexGBHdIQr3BRggW9Y4ETGH5zMO/rQPkioSIQiU8c3s19sUfaBD4Snx325HOzU++UI926
J62FdrBCzQJ60CYxjEWGnVvjlLECjZH2cB3TwR83j621AHWaZS3WvSkLmasjDo9yFlIExq2I4s1G
hdXr3qmVxTo3uUkhtworaPpVQeFi51ccoiDpN9ICS5ErO1cLa/VpUqPe3ZmjGv7w7v96G/47ea9u
/7VnxT//B//9VvGxoUkqF//5zxv+Xv7jNn99exf/M//iX3/w46/9M3qvrl+LX//Qh9/BX/5v48Gr
fP3wH2EpqRzv2vdmvH8XbS5//P34zPlP/m9/+I/3H3/L48jf//jtrYKo7/y3JbQqf/v3jw7f/vgN
yicnu3z++//9w3kAf/z2/Crp22v5Dx/f88uvvb8K+cdvmv77LJ6MwxZAXTSSWDj5+/c/fwJ9NR2l
h1m/cW6mLqtGpn/8Zmi/uxBARjeNPeNgcO/77R+iAiDj3z9S50dZqK6DAR8/+nP0Hxbp56L9o2yL
24oCrobf/liORcJruqCuA7+chmTWUpfUlZIretIPqEa4EORF7xo17mL5GkPkwZaBKPejGtnDA97p
mbu/2RX83qU3OknCGPwuJpl9me8ICOkUt/ac5rGsnwl/NsentH9Sp+u0vm1lHbDIhUo0GyIgT0bn
zqreHBtyypd2fG9qD/+5Hz5WBf531gWv6Bv6P6rvcvmn/n/0wRlC919/rvIvPvjw3nylOIv+5c8/
nHb+hX95n05+V1HispHsaRDwgHbXX97n/O5o4J2GW0Lr1nRw7v3pfdbvkBYCiwdaYpHTQ8Xop/fp
vwMcjWoZSD4g2Dk785/f9b/wPg1XHyQxP89/+B9kEQlE1MFPCSDyrwLJVFDXTqDUbjWsu6BppoQd
Mu0LxU6qV1JpLagH+9yDsiSwZ+PwhbiV4qe6bG6A+IovaU+Nr5A/nXyXUeeQp2P6krJp2pntZFxK
xmgBfLptf9JYJSKex2V6NNFBduvqMr/sK0G/94mBcyWn5sGdpHJtxllzr4i+vtYY5Joz2re3ULyQ
V+Cv4s9iUhL0ZKUs7M3WDPTBVsJMUhE2rq48MQmxYC5VdP5oY8EBCmyEN4Fv/s4xR+PBaDjwe0rG
vlbQrsHjFR4sCZnK/cALedeP/XQcpGXuB5nql1OqQfhcTMXOtNLsshL9FQjebhNdC5PBvs+hYQqm
B+0hBuOm70CNwxvl0GIaSPzqOileyCstHOJ2Vr0eU3/i+re4L/DtCUXOD22z3L5oCtxmzEzumDbl
HrHSC53kN3jqRsHhXjHx2pUmZn/bjnGxK9w+cT016fuXsunGy7J0Enx9K9+dnhsRzfNir014icgL
COWoYz9+1ViqPhhtgU7S0XisprL/nMUuAWrFUKJeS4I+JdcM9PkR6GrKu7io9KupcvhTX6pjaFut
tbcrpXuEVkXhNRZPWk9Xc7TV1L0F1gTRPksymNTv03wIE6N2b9w2fWvrItRYUXkF4qeXQ03GVxzC
vNKW8VubdmlU1ETeEcJdKKwnSsTjtgs4N25MJTYCvZK3tpCflE7pvbQmfj/qpq8OxgGNXAFebYPe
TNtrSAM9J9xyvXFQ/SRrv9qE3psZoWDjyq7UWOcXzogaiiymdEcMVoWVOR1lNxxrJfUVsDfnvPma
6uBRStokC4FNf+p0JwWyOGnTS6UWCmDdNcdHCK1pA720qsDOnINT2+gHsFl21FKnP8YOZgd9j7h7
WwVk3UeI56gdB0koawJGy7Cvv+m1A5ZxF/RkRE+Gg41KsGHgqwURYT1UStRYfeBI0D2Dcia+qNo0
HMouuwI1fOtT12GBJZzIYeil44nivGm9Yuyq2gDqQqS2E3SaBiWm3vAMK4ksB+JZoz1CpmtUkO7k
nc/QkK01Sqga3S5PIVgkdfA5zsCKuhr2tU7rC71z35tGOyiD04KxQB4BeR28gUAgJ0FF8ipFC3TY
mMmu0y2AF3p27PQ2C6bWxIYj4KrpjexI0Mh/8QOlOijqzmw0XJ1ISQ7osSDXouLXonOMu0HJZ2GV
+g2NM09211c3KAoBKqxSP0cHrjd2hYk5N6bQtpXXgTfZpbAou29U1npsJGpgG9CAATYU1GoAAXg2
4Gwo/KKHARuheZ2kYR3BC2tE2ajaXmcqfibj5EZKjIiz9LOeF2rU5Vr/3AJfsGurun1odfNKOgrm
KlXQHlle2AKChyX5zgp6aIyUXlnJYDxn5aQHPL+Rwq0DZ6TMaxwjDUjfv5VjTL2kVkHKBQaVoG0c
enRrZUfoOHjSUD65NYTTyiabArVJH+MJNxxJqwjUbXsbFHMicCpqX4J4gz8bI2i4WdW85Sm7M0uz
vaXoL0pdKDES7UBH+VzZoO6gCYNPSv4Qp/RbOdqvdltfm13Or20KAmVrpgQtqnif5pRdmFwacHUL
ZG+QXn6ulaK4glYaBEjtWYNjAqV5POTZG8GL2SVNCtXrh3z63rAqC0qS9yiHgg4mo7aI2gzADFDt
qaPHShb7XDOUC8m1fCcY3hVYmmM/1bz3Db2comacGy57Zu6G1EU0dOM0GK3Ujopx7P1sSqxQLcjX
qTeAFe9j4LWMcogS4LGPI2mmo9spkGAA5dUXWhlmBoI1qV13VtHciBgUJkl2F+sQFAnzHMWHxJiu
cug0xK5TQipes9JvlgJCW61z2Sd0/IzXdiOadzcrzPcBy3aRgfZT65jhO04/fDWZ4ryOHOXAxoyP
GMhkB3miB0mdHBwcRWFXm9qhAeXGA8q236TUbHQe1iRQpFY+V3Lq7rle5M9iLEC+YE2HtAErVpLo
5Z1SdRq04JirC49N1idlMDuQ8aP1nA9fRrt8igsD7bFsUgh6dONr0Hq+9SmuioLKAmrpUG1V0zyB
CqBd6688pRADbxVdPFMntRIMNU4BAQFhFZq/cxs4l7Ku78vJshRf9LniRGJUDCjeDcpnAtDzJdKP
zAnA0mg/GiqA/B4tefvZVhR9705meSuVtju4blZd6iDAD4TBFPTR0kIvPZJ0zSVhIulnoh79CRDq
/rajOsIALdrua6s6vePFZRfvoa7Bn3X06jwa0E3lfsZTiIeKvESniqxi5bVuaXvfQazxQSEOFPN4
KsAcwRxP76EfkFstehLRVOfFGuqMKNoaXuWaww2whtNVV4v2Is1yHoGKMXuq5o6tmsLF2qI6unwg
F3RqhlfMR4oD2Kqr93HilVePafs9wR8ag5wK8mSPQwKEYKIjQnYJo4iV5DYrowpiYv4gyu5eb82w
nnsdoP9NgyR2H6BA4AmmXtdNfK+gSHQgVey34DPatW7+ZI15/J02vbUbCeTHxRjl5jfHKQNFRT+L
0QUZnb6q+q6L7SxIU2owdCbH483c53fpZK30O5T6Da17dTpolnsFAoWvU4V/ndPFI6nAZIyHU4nK
6xSDhCO1oS3TVq91FysB5MHRC2TGV2bdRi6KtAy9EQHYcLpImRLzydDaPkAaQa7QQGPcAWmX7Eo7
9RydTCFewcRdxzTrqcF2KhD8h/qBAdcZOsxwb9OkFK+0aU2ftjhm4lyvw3bKQGHOmHNITQsSQgTZ
XyJ5s5Nub71btvg65vb0lNdtj8kpmoirrfHNHM0ULemlwAnaFH7bIEkTtXY0qyl/MLPM3tEYTx7N
YEV9NbWRnWpfbaY+u2jmChphov3RbYx9wmpE9SoePucx3atjHenYl2govUycKgJ1LKKki+fWSTfU
Z4o1hgDGiFoaDqHyvWMjspQJfXaTzvH2EtMeUkQ5S77VInu1Fae50QstZHwwLwlgbfcmB5GSYejp
rYYC+ee66bpjqXTVU2Ll5KZvpdhb+VgGwho0n/eDEdW5ZG9d6cZhJ3TpTRkhT32So0WblLXznRQ5
4L26iR4SnSOdxVNcYBqFD55dL7O6mzG5ULMWXU9FZPZ2j1PP2hexRUOmpPltUjXpxVTpzX4Q0vFc
wZIb1enaIgQQlYe23iqBlsRtiKcn81Dq9K6dRvvFJKl73U81OJjMCs/NtNOqJ8hwi8qvCoF3cDMd
XY4wTomCLnLIaqHQauK+qbAv/ZjtiSIBSo8f3PySOlNNgIOysCvkVEfg1YcEI+ip4gPLO+17Zgix
50V6tCmRF01CyTHnSe3VDR33WTqCELnh7WFqbf2ldrQCfQQTQGvQUnJz36RWhnp1LRzPmSgNW7vJ
IS9rQPqty834Ej1+GUN6zxI31GkMeRoDHXmhMRkk9uzOzrBLDQXJmT4mwvvh57Qa+ZdmoErITRkl
tKw+9RISrt40UvSvw/GBDFEh7o4sCs+AmGUt0EUZHwtstBJA1MZQcfNISdiAAqMP9b53IfxsuwoY
ypQRr4i2DTomdSwdXNhNsueiluiTEwPAQnxqX/qmRnegQygqQ2CiNtFJ16qPZZLpOgzRrvcmlhMt
AOgnxsSpzrMmRRamaVWHMSf242gl6gAweJLdD4wUEZ4t7R1aSatAHcGijvYHhWDlC93vuEN8PtKa
ewApjY95b6PVlLDiBvE/2bEEiZyQDSTU8oLexEoNUERiNq86G7ChFZZV3/8Ped+xJLeubfkr9wMa
CjqAxJQmbWWWV5kJo1SGoAFI0BPz92X9Y70o6b4r6RjF6dnrnpxQSKeKmSQB7L32Mg7pzAvSL+G4
kUHbM9f6buzqNguhf5wgRkah4fWo5pzCdiIn1e6ZiB01C7uQFGeSiwCas9cO7aFQTXXnoA3AxoSm
DgeIF0kXH2CqMu8Zd2fYa1GyWIwVi+qOTJum8elFCofaBomKcRX0pIz4kNMdtUezH2SKLU9hwnW5
DLmzmwXCAN0m41HfFihVXDIebBzOB90zs62ItOKgrclxIkEWkYmZzdAF1jHFyZeAQ+ruVSH0rqAe
SUShFYEFyCAfu6Wh+6IJDDhDHccJYi+wcJHLDn+FA9Vq0bRsu6m0H9g0mjJGw3pjaf5F4v0NHdAj
+QiYsUfYX0J6XUXMQZ8sM422SMwWtp7eWy5FkLlQWE8kZCUhx5HFTXdrhHsztd4h6Aqa9My+QsPw
PPA3F6YWTtFtx2Hi+1zmqHHtPMyt6aZGxxeO7sQPXGBqOqdevsf7UUZ9P/WP+KBP6YipXNHXD2TK
eVjqokf6tPc+FeI4qpwhl2gKbWk2mFmdZj2TsEgbGXa++HApVgSxGtg8DA4aBj7SxC/kwxw0/sXs
DZ95R5ykHBqowWR6MqIco3Ia5LmFjBw7UBXszDIHaYy+mJ78HnvVklKwKIl134BMilwrvC0M1WJs
zX6K6tANZxAGkYzohZ0p3AtvUNtc2eqonSpy23IzG0VvWyPJhqS12WqbPo2pCB6xEZa7KS+flaWY
gLdcIbyoyG3y2VKLSRqnpls8+jpOnY7u+rS8m0Z0iNjacpQXvEevgIYeBOFG3dRpSubQNulUhtTx
q23GraIAhjv6UWbVaWynrNjiB3ViOPzCC/O6BFkfC9J7IlTFEBdjk15pn6Lf0f5nN1cwQvFpWuw9
XgxfitG2Imr3METB0kncZt5kvID02pnJ2fdHfuPwEV1RmwYnjcYoGPpTXsrqkuZ5d3TB6d7oZWAb
1nsJpW0QTr5u4tlFd+R2yyld/CrkFAWmhohe89diCBiKHzWGsuqSmThHN9dOXDLN4yXQ9wMlt7DI
W2njVOMI6p76nk07NJV4Xykeh+Ycc7aRjTvtZQhpLnAgTdk5tW3vMNLFXNpz9Ww8a4x8d/R3/YgG
FM0LAoZkh8o5PzukzfYz+mW/we9wYGZFUaGH9tI2EcAVJykyuc2ZHTcUNHz4tsFRqMfVx85+yXs4
yFiL81xQHSRqyqPCuG3cjEMaceBKCZ6ei4oYXp/BCBV9EEDNXlfm2h7Urbb1Hl6d8BSgC4/dgmIT
9uxmY2feBc7bMCXpbel8Ic40bmEws2yQ1JV/mTOgRIC5DtXoP0PtdexRrmvbRiJNi8O4Lu1bnBXd
5VANzUH6NWAK5aDHmrxjmjpm76dq57A0QwxWuhnb/kojfGvp21BOfNkN5YhU+4mFrW1jw8mU2gvg
ffA9puPWtip63TIv31Zpumz41CwxrEYfJk6Hy65UVqjy4BFRK1Wk6mJbpoOJEKJ4KlGP75q0gkW/
yRx4Unf3kyw2bltc1LJ9axClklgYpIfZKthc5twcVKcfXVu117Lz7/qUyhAEFNSxE++3ygvGcwW8
IDKU7AZPd3u06MjO9WEuk3pthvzzjG3qgvUh/CKWZJDONW9zH3spsb+gffsCa8YSxbx09k0FZrrT
mRjR6WmYAYLxUEYnsmywnjKhIneEm0WuKY3EzGElh+M5HDNrbzP8oRZWfnRkdlkijcLl2YKkAQnw
L8+zuPCYdWoqmQISL+7n1D1bHdxggnaAK4cGxIOcDLT0bJnXMBrxmlslTKvaoqcvmZvzqBTqtnHm
l94Fv0tKGKCXSuIeZTBIyJF2HdoFUIy2b/eazWBMqxSUIpvcOEwfMg3aWcq8MqrdbJchTWVrlU4e
F7DeQdSE3rG6XsKMWk82Dp5LTwYnC4U1H5e4QC5WVFrlcVLqYWjtYkeYlW8YbfMLO5B4bYZkwo5y
dlJGIeW2bbVzZ7zlQqZ8u/TBNQoPK2EDX7D1D5G0/TnGSj/Mi4ttpEaDOWCBhigBPwSKsvdgEa+w
k2HhWC4SoXABYlPHxoS1FSyXWiMTHXYm6IR4vtUDDFcF72/oCOteAzsFbNn9jeznkOfVo+sUem/g
pIZc+gCDC/vCIs01U8j8cQn7CFLUyXmKEADz1E4oJ1ZuQ2Ck50YGgEWInqfdEuY99tTJnjkfswjB
CJHrVBfNKF59HIrh4OK++SjJHm2JGw/Pf1gIUzDjR/hVzMXR6buN11QtJO50QGCDC8wgjxoxV3EG
uvmdV0rkFHrzEayBAAfHMm3M4r7okh0Qv3xhp88+4m9Cd87fK1nnEVnfQG8EWNk3id02qNEpVf2R
DsyP28Atj0aw63nE4+JTm6SdQOkkMUrsjUmg5MdRWxYZWk6VOOkmZ/IuZ3xvl5WDbQh9H+wKmyZE
NgB6eni1ufdMuB8U06cLsdheqAV1N0Sw9mIYYD8QdM+WHh+J18c8K9yYtvrN12rcNF1fRQN6wcQx
hYzF1HARepP6gnO2QEVfRpPrtrtSzU+zgb8AElxU3Or31nMSm2HEOsnQL6vXoZsfnYKyEFIyHL5S
uLuizYpTPglzYWuH3pkMmzvxPLwt3gMZipfaGd0dH08DIiN3usley1qaZNHWfDEtSIUZihmu8W6K
sqULuT9e2Ll1nAYcJjP8L5ey1aFp2FlKdhLDknBRGty9Bsf05JgNfEOspxyzhmB2aDI0abdzFxnN
5L2rkw7vv56vMEpLJrvdOuXHYj4P1tNYO3GOs9GUFeIm3PJ9oWoTNBUKyF4VV8x0VTyUVheyXo6A
sMRDV1RknxGQpQJz4WM3v7OIZ5A+S6o3MTgMBnOudfCd1lwDznTjYuUzCatFamND1AHlaHoxYWXl
RN36RXruCZu2o6PzU+VnTdR08/0EEW1PxVFkGfb+gRAkepAWDjLpo+PJHRxiu6Q2RBy9sqhOuP3z
BurwXTp4+KC1UHctn7FTNWx4HMgj5ePGWeakrXwWWq4cIybT1WPWbm89CTBtCpxDZpt9iZW4RUny
ykiepGV2tFrYDQ7jG9j8Z8/GS4n26I1jDuPUGsy3yjqSGuG0q26qMUUinQYAB0tI5ZRhYdexZwlz
YIYGUZpX7sb41naYU/soZjoktd14DwsKpVAH04g3UE5RJ7o2hKG5OWVpDQVz2jUbtFMVCu2mu3bG
guxzTAx06FUK6C3rcXQH3ntHq2gNuIcn4ytk0dnGb7z5qcRiRwNSQEl2u2R0x3K8hDUSgbZDXu7t
Ik96nLg0QwPrPzUrN6XFTw5sOGSTWE4Gk6JNM9oJwpHCPvcRTwlEBbC4g/oX7/twNfjuZuHFbTsU
Bu7DmUQoVH4sUgLsa7oZeqpjN51wKrfdvULVlC+om9tWw5ma+v5hHjG2UAFYEWPuv85II4sYSonF
6si28DU9tgwnFUCw9ugtKsmmAV7dNQAE7WMhcO0dNYBZF6deXtfIZDHMwsmoQHtsqZpoyAxiz8Nh
9Gt7hf+a04ys32NpjQa4yYRNZQQ6Bx16dwJA+lE3CgSsVGPjtVH5Jaazu8t+tFhSCYJIWQ/HJEzG
st0S9G2MYu3OH4i76wlCMQix8yxsbNQ98EWZ4llMoIG0NT91yA0R4VBwrGtFBXZWBMdE2i78e3/G
OT0NnEegIKr96BdMwqaBCRFLf1Cn1K6xMeEMAsle98G2WNA627pcYlyOXxXA3r/Az61GdRd0JLJq
DLJ9MHNhJllbLx6YhQSRKSlUSnveueLBochmGjm2eTjPDZvR08XemXkKE1FcYrHH2x7n8jserk5G
FUA75YN5E8qysB5I1VlvArUNPCvSSrzXGoRxDqbkNhiGBmGzvHylnWddiMq3XtrcsC1T/fRY+/P8
uQT2HFW1W28Q3VIdBAO4r3PomDJgXU+IhrRPgITotmhRaA7YCC9Tnt9L06cXyCtQ1wLdzZfR6iC1
4ugTYspJEy+DKz73RU1LkLtGc1Zalqeq78uNPXc6KmyanxZ4CD4OvuGHCSJL8OqmDlVtBaVvlzon
NcMeXRr1gqy9Ky/H/EBYwJI6qsledIV/xgsxbGyOeQIemFXfouxrjkMu6ZNTL3BAFTSbPs+8KA6D
hKeehRzyy6UZapg48Mk68Np4R1ra5nYuUI+wyoYRmFQ9lOgz7BX9CvVwVWds21dBAK+uNniYvLl9
G2k3xDIN6k2dsiWZWstsRlN4IRTEOBYnE0M0b994ZVDvHafpHpVDlwuOoO5jnZv0rXUAnQADUpnN
gCO2Ht5qqd4mH0C2l/tu3Jjuvie2he2GZOZtyMHNJrmdbgGVusd6/lx0JXlBCE+Kzoj1O0dawzUC
g7I4MDNmciqvtlDwFxHreHvs0m7GEYbiouymdfHoBdRWOUfdiLoINZ520qs8Haed5dge/GMHP1pm
qlAh+NVrgxtwMLBt2AFi6OfIH2sEVQO+vGnR4Sf/y8NCbmUA9NYUox/KkatjajoKXNPAkTPLgrgi
GTJLW6+9+uc8jJUPdNu37+/96aX5H0C0sMGyBDvnr6kW+656/1f98a/Ty08koe8/941xQbxPYEis
nOg1DQK47ioE/Eb4wT8FgIsQFbEaKq6CWVztO+mCep88G1mSPnBuJFX8SPnBPyG5De6zq901A1Xf
/ieki5+ZrBQWWpCVMmh2QSHCvmD9yhOrp9oxfUZCifIBEMTL3DZro24FYV/n9NrPim0wc5HUTfM7
vjj9mW709eKr2GA1F3HxVaxf6ICWQ7h0JuCjWdaCQTthRouZ7+r73zXpvtNWBYhuYv1Bimy8JgPa
GogA7W1lTd2hQxEsgBGX3dfehEcdK6tjP+EvYWH5OC4Y0AshtHXE3cWcFKmFGCaXWD+2nF+nidRz
nFq1F8oOQahZS/uH1nLyJQwK2e/kkjtvOVISZiCA7ig2+Yj92yO5UydBtTRAKtrlIkVs67VcZP7c
Gw9q84xgpISZ/TR/Xoe5jFT0hVhY42GBSQFGyoDY4RClPRO1CFv5gHk+PQV0+rdl4ncK3E/kmv+m
1f3Kv/tLUtNPXLz/cauSs5XU+ter8ryS5rAmX9/favUzE8r+9rP/4UK5HhjcWGU+d+DO9++F6Vjg
6LkMrCfEdXIacFzv32Qo5xPscMDEo9QBQQmL8z9kKOtTgL8EKRwcJlje0n+yLL+l0/5IhfIcRGZA
i4NFbjkMxKyf+d7WwrSDbqmKiF+PAYZJwr4oFuc9b84iWx4LaKLhGwwjfxo8213zKATZMzaxFwM3
2K0S7RvNQDoag+HKYwDewo7ReudKP0Rxm4IA8uTChHQjERQTpPa1vXSxS/UVFu1jQ0F/qZE1+0EV
YCsUmajmEdRBUT/PHZw+P1x3DmVTdSmME3l+28NV59IInNr7binlbSlo2WAKRzFblhHKeoQ0L+VN
raEy7LByAgl3ruIym9FO2nMP2+7a2SwBMSeBqvaUSwVoz0OrLywFxY+6r+r2s5bm1INNY08i2wLV
x4iYbAqmIpljrDjUyk0Wvyvjua7ZJcWE6ORny9ZS5R7GaHCyTPdDW933mcu3nedEee69uj1uYNq2
oJVAiHDZ1fqdcyB88LqJUCkjPqBvLnoNWYlfv4ncftMB2TVw6MIQSj74IxITg9y+09q4myELQPFS
3q1rg8EwDKhyJXzWq3l6aMEbWjJzp8vm3RVkvMC4766s/Scj/QOVmHi6hfOmZolKyxXxvJBrlafH
WnEEdrfZEmJeUUQwkOVnzKxgDpIqIGJNHk/Ne9rCVrL5qK12k/d+9y5tYsU6FRgidfpk8MN2JcWd
y8BncL3OSvyBOmHf6pjOjnrzJeAzNhX+jXCqO9HeVCD8h2mVorXJNWDkOUC5ybs7JI689KtCySsw
eQEPqWjxUaXdA6IHrS5ya9OENACNnOTtuWud/hJaNi8eF9S1uUTnk9pIzugayPqcIduJtmKYbpSJ
W/d+FGgCKSMcyZCNW9nbeSJLOCMCOERem04cMAJComoVWnoAGD+J5yXHG425ShU2k3+F6jfB1Dw4
koAg0xDsUtgIe4ntGAcOG1aPVSC9WNYQeNeN/JKLej/ZptvBcGgHv5CzD7QY0byoCp1xu2iKA2lI
d1ORoTWbfSD2DPakEvv7gObecmow9hRo6j3azdaoIBplm+JrjSl7coLuyRekzkO0jgWwlawdtul8
LWr/uugAmeIIAH3Ag1ZkOC6pu8VrHreWdqBBL+6Q4bZgfVT6C8bk4BLVhsUZJd4TEQQtRO0lsya3
wP/GHlZ3w+yEvETKH8YWWGZEXtH6shLpU111YcrBOVObwjwMpRNzIRKeSjSqgxN3xBdnKsx1V3nL
Lg3s9LJodyhPFNoQs19Unli8BclO1u+k9SqkuBIw8EDxcF3+nPkWCHB9bFOCcXb+RMccm1QGeAwP
BeicVXoJznvoMxy0Dt687Ji/NDtKobF30atu67nJYtnpauuO9i3IF8nALai2xE7NzIII2v/wjHvi
Tp2dy8K80CX1z6KhmPDX56DMcGJj0h+xDIFMU7aZC35IR5CEHHdnFRagd4mKfjCahHMB2hx6WHC2
ShjAtOBCRXzmcQllQ+2NwJKm4VWDlzR4pITLDtL+uK5hqobnU0s7wJ+a18URbhwMXR9W1vvY5odB
iCuBj7ErlxpzgfmF90KBa1JFkFZYl9Dtxp5NjqmYon7FVvmAwJEWSyZTGAsSe0v4/GxrDNUDx8Aw
0g164Fca74oDlTIGrmXkQaQcFOaimJCdNxgLXmUGPX4KbHwWW2ulnZpiuQFwisdakh2DRifE3+ZH
VTtb5KpNMDfrwCpEBhl6tLUPm2LCffNslSBHuf7zIuVxtrL8DG+KIvGpnJCxsTzZuQ8t8XyRVWCf
IcDklWdWWHo1ZkF2GIDORISQMa0Akrc13WV9d4X8phxvMzb6ZhjvLGRNIs0zathz1tgqFI3GkI1t
fUMeZ+EDLZ7NTmOSJazuZU276fV4N0NFFSzzA6n5iP58flqG8YRRFkhtVVjnmY6NIPyU+dNwrjxF
DkBFY5OvnMBRqbjXU55QpdQrWE0EUwwAuK2cXnIDglLAzbUP0kvsw0UZd/3DHt3+mGo454G29trN
MxzbM+Q+LsXJxVj+Odel3LCCPSgGj/56Tq/YeEdo5h0GB+6oqV7yQ9owPzQVQiGDSQD3Emxj5TyL
F56p/cx9PEUB8IyAC6A8HIWM6UuMnvHbvlQUlBFMlp7g2Atavf+E0SLGPDlGZ6tVV2+NPHI6H+Sc
/AyvyyubdEeA5B9ZoyEoZyNAHO4d8gLvM8D1PEbDDoVsM742OQb4ecP7iFjiPvN7e6sZe10wVd/w
lXBsrdTjzMOJOnzlI9sIa9qXK0nZTRtyj2SLLhmUTb6W+nFBV7P69U3jnmg+Y6rWn7q0HK6oRUa4
/Ep9Zis5GuU6OWcShGkk8FjX2RSIj3SlU/dsUVf6K8daQHC05fDeexT2LCQc8kHHtrvObORK0W4Q
t7HnK21bG+N+4SuVu8IxgpKiBF8MPG/wWDGYW6nfvq+GhywAHbzVxDtoF2QWbQNm69YWd16bXbgj
9nGm1g7YWpvhzimqm9KkzmVASI7xWRAXjlqgbG7pbsj7ZsNzTM9DV9TdBw9qHllDoSIPY4MX5hVz
rDGdPXhSAsKSrXM07vJCeNq/lbzMsMdIfccHwAzYKLDtzuAXsGWKIWGfrmFULBI4poBqPE8pWLmB
Z+/10vuYtuiVxwI6x8lCJsYR7ASQRai2Li1TiUOGVY19vcWYjspcn6yOzZGqKjDZX2gwR2nGcTit
UqJE1+ISSfbD5VwEtExazXQOgL5tr6eZk0PX9AZ5HoCEbCMAjRbMm84Y7OqQlGBrcZNnBwI8gsOV
DqOmukjnOkxzCkValbPHfs7mS1Hqlx5zkbha+unLRB2CTsept322rNgzHB2KuMK45YYVjTk4fqpv
8gElHZox+lRqB/Rr7IpdBZjabDNR50dfIKZB1WdQzkC56jZuGjOcYbx7Ge0ZwG4vX6vFisiCnOKS
Hf0FPjrKqfaqH/v7HKr5CreYBtNzIasj0g9wUFfTHuKA4nIYJAUPNQOXFlryqKFfb2wfpuDZpk7l
xGCZXNQCwykjnEPTTyqc2hIjjiIGTFNf+3U9HJvKJF7V3QxuD0iU2knQ4b2tcEoYMUDvW1RvYFUB
0J796n5Jx88Q7Q+RW7prHIyQySDFzlUq29Q1P9aZrTYa0/5LAjOgWgY7KCDudVkOHLWVvp2nKSnh
jMrFcXKwCE2KCAKEk4WdUtbZ6wQYbbzZyGC+0hrS9/YEO0nUoVMa6xw1fg41ctS5pL6nBERuILSe
s+xBZQwby980VZNvU5LfwDcCSctgDm8yIGoyTz8b04Oy2/RgVyxMHvx5wDAOXoXXcwbaFnPSrVda
SUDFZ5e1+sKHNCiE2SkmO4NaHtFUPOKQPhaswbQFPmdO8KEZ5Ze+U2KwXnd49fH/vhCFSf+MGXkI
zBBY0xK3rH8F8cQcBn43l9kF+CYbEHC6hM/dBBTYCt2cJmL4SksBpcmAsF92DzNXIoLNMxhMPEZf
d+WAeBHDsgC8Yn2ZBtPB733MyXSav/MJTgkpL066Xw+X/rMtNLlwgxJu0LlJhgk+6UV2ot29CwIG
pojjyerLi8UzB9cMKjI1UD8HlnGcgqHP+8Oypsr6tYqVzQ+VveB8tHoAve/VAKbKNM8wVINdpWeZ
o12RENVYE00BXqOh5yppW1FuSom5I9C6gzei9sbZRTJQILCIkzXmKu/aGQcDfgWZK9T9zI4UEnO7
Cpf3zCXsNzEqU/iYvN9k1MsfyhxclHbRIGn8fwDWBX8L1V3l/SuooOpfwOxe1Fv3oz4KsXv/1kcR
IHSfQN6GvfPX5v6r2Ok7WgcS5SeEuiLPynLAbPxqdPkdFSDQVUFMBcTAsynwLGe1vvuu0CMO/WT5
QPc4fggCOyir/oFGCp/sB4HUGuPjM1TKCHOmvmPb9Bd5KjJLNDgmypwpmrBEDiChtBn41nNeIlOE
/DZVdpU7/weFWK+HmFx39bsOkGcEoeHPKETryTmHE6tzJiuIZQmvArmxFsCj2Rljn2fLrlZovS+2
JL2S8pFkYGC2GG9vf4BwvsNZPyoTv0bJ/vRBXAgSV9N/iMIgvGe/6LJrI1k/dTU871AJaONAJa1A
kgKUJ466e+mkSrduLqaw9oS/a1v6kXXTrYKLTuzNAz0rv7vGzqa20p3ufCi9whlzhhvHA+hZWKhv
a8gkdOu2ydhbbtxnY743Tw4DH0HlU/0b3zv3l5Qo3Fjo+JkPqSXAYUg77V+cZxqqYfEwa+ckRYQq
dUBi2RK6r5TBtxVMAucwWDuvOnjlPus3bb+rumtMxdor3uwxlPK9HYQk7L0+YJzYttuueemCxDhJ
iw2mjPB9cbqE3ak+LfUF/KUCBTVL2IEA5YeZF9Mk22Nw5ILp4t1IjBGzEO0HUxvnbR0BkQ1oUOaM
oVWjduLBfgbRdfG3eXewlxOgk0nvkZK7XHL1maEHdOtXZR8Y2w3+3p9RiMfprgbU2qDCilE0cGtr
y+0QbN0W9V48wI3Tj30M9ugGepklD6UXCXT+edzcDFcYmzLs8NfNvf/kPmFoB2qNf4WUcquLYBYh
uwcku/EiXhlvsPe4GDds+yVLwBogfmg/1NfkgQehhSKObWa5SUmydK9zn4yo98XJuFH/Co6fTiNk
ishjE6fP2tpRUBAhK6RhKbdLG6Lud07Fyd+jkLjVwWrGnr53/gbcIUip62P2BU+N3nb4VsVu8SM0
af4d2ogtDsyt2BY6FKf8wWRxuuyM3hc4Xy6nz5v0xC+GY3pe/JDe1cd+U13Mj+irvJNSUZ/FYxZn
UJ6E8Ik+tBu6T29AH5tx9Ilobk7wM5/nrXs1Ehw30MEzGZaX/KnakgvzJL8o4MhwGY2LOco2aeRs
p48CQoVr6BojfsH3IgFQNIZZ1Dwv+2ADvVoE8/cITqyxD3gPjI+wSsBgRplTo2r6KD44xDMfyIUo
rP2IVLYDLCY39REMHiw+c1WcIBDBDX1SW/Dv97qPmyLCiC8q38p9/bhA5XsTXJgtP0GOtefvYG6d
gZWDurlE1dm8YNm2cBgAgy+kwBav7ERdq2sg/HyAri7MS2AHoTsBT0AJF/3zA+7/TXTc91w7wOkV
2JgQrfD0ihv/NVb+v/9rPQ3/7FD801/0HTi3P9kIkIVBFDJnbKSB/TdwbnMMu9yvPqVQ0SDwBsLj
70cksz5RCkspBmGv/bOGnfJPwXqY4ch1kT8E6P3//oTEOGvdUh0MkwDT49i1fjkhvbbUdj7mBvKF
mYf9MEy7rmcHXbRjmHps3vxwv/7kYPr5QP52OQq7IxfAP8N5/Mv8rGcaYexcmLjgtkAMR+CE40pC
b9H0JV3h/M6vZ4X9/3MOfrse9LvcRWKwuw4hfj6Qyw45uJpWkB0S/Gea7P4EVeVwZVWoq5eug39P
Wi/9nkOdteGOsXd//33X3//r9TnFuM7HJ/Ax7Pjl+hLztwBSgJiJhu21pUmkCvrPzFO/fkvHAgkI
PhwWphN/uEoL7MiB+iJ2mkmhW+/qzaBYE0krX745VWDG9eeeB39yQzF4DPDKULwxeIY/f6G26YrA
bRbwQD3gcD0nJpFUI0JkqaudnQsbOSsctPeJmJWAU/+msPnFHu7bV4XTCJy+wGai9OuM9AcPMC+A
ElpTEBE0NDBQfILagDY6cN2wHLDYQIyASEmDFVQA/W6Kk/SEwb5eL0h5UUSL25lNYFuWpVfem6kW
RZSN4GnHciDZFYRGy1ueDv4rcmXz372LvxQx3z/7Wg7T9e4h7fHne1dwNMMSlIq4kA1PmJCwbB16
HMZFQK7kjBnybJFTqlIbk9iiDdlYQFfPuNp1NQFznIscTeNQxQTk9v3fv6hrZfrLi4oyHr7QzHIZ
puy/VK5zHvSwik9NTGzAMpP2my0kOtCypSNMuv0WrTPI/ShV/1myyreb4nKKRgAbIYeHzM83pfZy
BcoT8k1TyDY2fg8djobyIlbj/GaN/yyZAVfDd4OmH04OsO7wQEr8+WqpZ8qlrWYvnqEy3yin5VeQ
ZCE1TTfNt1PzL1fKH5b+einPXl9SFjjMXbfCH95U6As6bXeY6dAOFNCKFNmu4VZ2//fPbX1nfnpu
uIqDvgtfDB48OMV+vopJG0iRBKT3c9+n4WL3Oim89o2DhoySsjWRMf7wmz3gD5v4ek0U5B52Ags0
jV/eY2IPXTG2BY3HOp2uJlXp0+iBy8jLFjwdZXd3f/8dfzGB/fbUYDSLETL317iqX7oZWQ6zpxku
mMtygeufKgFYZ3lse0Ee90v51I3ZfByY7m8lVtVOqs5NCFXlb3bzP/8geHt8TLUZigb0rT8+U8om
CS0MwTM1xOyGAjNDkMZdKKGgH5d2Iw9kIMAbYFkZGvQr+7acVILogOk3n+SPj932GHxHYOMeUIDJ
v9wR1jSNAOuMxo0GosVyCwFOHnQTHkpgwLNNiHFStv3NY/jDHgE7dQbbkrXXhykK/eWNZsoFv8rn
sHkgULmWQQoNP+ZY0E0sYHcXkIROntpmq4qDB2AOSuBfJYL+Nq4wUK+lhdqNk7ZizDXOrtbtkbPM
/T/UncmS40iyZX+lpfd4gskwLHpDgqSTPoSHx5AZuYFExoAZMMMMfH0feL5X7URQSInc9aJKSqQy
3QjABjXVq+cGqF3aGxPmwtthKcBLcVAKeQhmzj9Tp+zSQfusc3nKXxyHPpLICouXXDpfqjapE/yT
vfjGmL8cjEs6g3Dq9eWQ8VhNDdtJotDTDT2oMqXuye1rGx2qeVCxrX7U4/FbpTFRfE+F9LlzZfj9
b+Pby1bDnLAcQObnj+yYVYyDuMfL1RuX10xLkCgk96HCtoMmt7p9kmvGLvEyn/YpKLhtaleHSacf
0yF7shNjY1IkR7VZD5zkWYXLI8wv6qaS3srrP/biq3LRpbA5ki5ZWxJOUyWTvMfgMUVPQj+NVj/N
FQJRmgNkkFXcjiLMrVGTEStmN1IJF+awb/tMCw6cxZN8tV+6iZ8YQ8Nnatume6LjJt4SCtYniR5x
ExlRto84CT+OQlo3nnr5y+c7NRPkzcir1dPIqTNbhU64I3++8yzis67s051WTvCJ/nMpef7nb77N
/lya/pxyjsMRBx/IXt7/m5NHVaIw1NzpHHJVu1O1JJ4YXW8XGUZ8EDhAnGhwsm/MwEsf9c2g68CM
dnG/LV0GTTw6Ww0bZ4IyLL/Nuv3sSJe+rmxSAaoDl04MecNv4tcDifPcQknk0wuNtYV9/sBd5zb0
T7HeK2AlgWJreRC6Xh6zEmhKqSfixiS69CmFzWZI2MLA62NgagYnV6arB3ZRuotILjuEmfO3S8y6
uf4pL5w4PBrXM1JeOqQzexVva7Q3VDXHP13kRRskWYRsvewVdxe7OPgTVRSFLv0wen0ZjBpt+Skc
6l2pU6u58UuWl7iev9CdTEf3XsWZq1klbL2oytjUaaehUYA2ZLFFO0/Rv8zynVtJ753W9RJmDzTU
udSpt060SydTE7+zskonSdeOp4qr8vHGD1vOuvUPA/Tmmja7LofzaueNp85OUp++6x4UJt1JJowP
+d6cULPU4Twj/S/wtjETMjcihKFWk0nxa7bA0rCGG6HRpaXnuMJeggOi6fXSa+dUV3Y90HieIzGI
Sglhx5HJXTpp7ntOKv2JnvP2xtK7NP3fDLpeelZe14VTQRiNzByQhUsGM5wj7g8C3YshnfTT9Td+
aamz9zv24mpusY+eLzen62M6XA0jKFKHK4yN3s4ppketpUNW6HmyKwWl567uNBQEbXa4PvoK7bpE
g6S0uQEiGlyuouvH9ZKZO5DH6ouq0jlSX5APhq45e3ug5KPRIrATeU/5d7kUooGoEXCE4xP/2Iw2
3B+Qtkp8omXuHJ0GowdgN7fqAJc+CFpkFJFsD8tF9fwFmXAJmzwDdlQamfjR+7kOcBk4uOqrYT/V
nnNj1v16qJlsDkRnSzBOnmG1SQxcC6YM7i7NH3FI6lqXVD3L8RgiSdqYynj00SrljRF9vv4pft0S
GHcJD4QDPOWXvAMMK0fNFddVMZnJCx3W1bb3LO/GB/91ujEKRrW2hciTDWhZc2+OM1Npkh5cYdDI
L9xnDy3J1re6bBvndnsMM6SN1PQLCrzhd2/0vBt7/a/fchmdgJ/oziKDtz5b+rQYKp1362uxT+gq
zCDOvOhTXhIhRCrVbuz4l74l/kwkSUjnQPVbBXJ5i4QsK5B9+vhrcJbF/kYAayDULlIuPAjOQkEd
FEn3fGMbufQ1SUIu1wryOo61WtZWaNYFsFkz0Et7eIyI34ImA3Z3fc4sf+V8t2bR4hmiU5ZC+v9q
7v7ma3bConsZS5yAkjONGKJy6eCYOpAjoBr+zVDugvpcIoN1SG4hCoQuxQPFMp0Co0A4NM56G3TV
7+c1OaJJ2AryFwSW4NXP52gT0Wpl54gRex2CzpBnf8d9GAWJ05ILmxBY/YsnA0uIb5hJ6nkd7c9O
OLe9QJOlUnrsGsVl1PQXPx6aWG8MdSECMXVGWpoeyFpRsj1/NFOTiiOLVs1m0Lug96SHa0dV7LUW
AwaVjf5OuCkKHbsMoVOY9PgUY7U1qCn+q1+yTBzazqEWrdOcYM6y2hJUpsayy/ZDWPW72EO/Oxoe
asqhQKKCFB36UyUDBD/9xpGTuW1jTb8FNP/1mCdhbpBPNMm9sFJXaaRKc2j8QwseDIXX31XQlFpk
s3mqP6aFm90Vedje2OIvLU6qBx6hxcKcXSeyZ0VLLjdJI2gQOd2BaEBV2qlsf31eXXoutP3UW5Hx
O7qz2gK8KRuNJGSUbkqSo6WP4Y5noTm9K9+LRWI16sktzv2lDY8gmiZ4JLMsoNX8ShwjK0lgLYfI
BGul0uTJhEZ2qCy7fk95Aoi1EesHR9Gpdv1pL23tVJWXkwUahfEK/36zFanY6mwhU5N2f5NOyK6e
dsVglEEXV/Guj8pbS+nS1ud7SxIACCzQ4NVBNrRjag8ab9cKm3RnFZ3YJ6KM94bL6rr+aK8pjtU2
y42BaICWjSVds8ynN89mhbo5iDJh1Tba+ChbdWx1DeFpnfhBoWhP0CBogLs6+rnhP05S9x9o3vuk
e1Lb069dbbjkABuOBtCFHH+b2KCFb6alwZrH9G4g0MTupMIG00o+6WGElljExidcieL7RNIJKdrI
hPHjDYcQHTnQOJ9qQUO2CAO24ZiksXsszLm+F4M3Uy2HKhNZxi2DnNc3+stbsEyUA3gPUDSzzt9C
lhS6jGKTqwF6r4fCnyimG0Ack8JRxzGlo9Cfm3YvLZicYWiJPaACumWxJDiS2wMqo6zuANgSx666
B2ADfG4XA1G5sewuTAyD3pn//MzVx+r70szmkSUQD0UWONJs3pOOqRgKg9brE+PCnGcowAQW74Ts
y/L/v5kXQN/qTEouSwPz9ITg6mMNEuRzS/mMzXSef88zbgnW0aB42C8Z3M1sosTz8SBqaWjJCd78
rg/fF/rQ3mH2KfZ1B2vVVsPvuaf/z3iofhYuMuXM1RfXotLzW0db9kkjekynXG41ssoQ3OCHXH+V
3vK31rOLfYsthCAYQdPqs2l2Omjpkmcp6qL9PMchSr94trQX6JADvRNZnDxno4sco9VfBkxxA/S2
CY4ymv+U5Er+KQ2E3cr8kXaN8ViPPpLPorEd9B3wUJiRbdxYJylHnzbaKiY1Jlv064vt2ei3w3Zw
jZGO62KkThOGchB05Yc97SpaOcPIUdL9jKrX5JSOQ3ECEkZzhqEVHnTLuRmeRz+pTz5uHxhGQCD5
oFzSJbTi5ODFicftfYm09l2em9iTwtF0vorcQl4xCcvog0FUuToYsDrEPnZpUUG4b3QezNoIjY3A
CuuLH+YZ8vGqoziBtvSg7MT/wzbJrwVu6Ux/FmbRwx7QzXovRVeZW09rzT8KLjo5zBwBtxehdWMh
YUzbv4ZUqQ/6JIz9oEz+tcbIbbqkXfnFnxLjpe2I7DbDHO7IA836rjTGCZGIY6FqxuOk+R6JDkUW
efpQh0JnsxE03DcOMqLn7caxcuEQ5fLP5gscnDqBv5qCMxGD26mGFCOVGFgezp8q75Kd1Skj8Jys
BMnR3LIdubSDEBYs8qjl3F5nvEVaaoilGVMvuSFYNZp6q4kn+KSxujHtLw5F/6nnEHlS3VrtIEKp
0DP7lmRbxw6CM2hziMuu+nOe+TjXV9jF/ZuQwDVItkGMEqvYwKShjR7/HimOn7mB5bfiXi9iIEmR
/9BUbofCHK9QqXtq70+Rsautyd/aJPxOtMeV28ixJppSuEJpKZv7MMMNDM3OP1z/mZc+OAwxe9EY
kJJYixpmrxlNHZR1EEZFFYBKybekvmHhtS2MnjAbHvrU3V4fc+VY8brRLaIR6Kv0PVNfXG2sQ2fD
T4etBd+Xfngk62W3r7OllaXIU1Ce0kqzT8KDh71BlRh96lNv/DxNRfhhUDRVbIxmwteYCuutqGrl
SPbPLzNIQhDRIavh1nC+5Rdm2ypphAAx5qSL0D6ObbbJJ2PIA6fMxj8yLu8QBE0LMQTa3fQptiwF
Qd0zkz/LWNZwdcriIUoceoPRYOtPdP5DoXLd5ktsC/+9nOMEFgSxyd9Ka9xPo0zs75011c6Nd7z8
0NX+TiEHrr4pyDxYr4moN2el8Nh+ymIkzwUZcu8m01+N7Ozt6MF58hth/v40Mk3KRwAnaFMncX/+
3vhlwD+KmS/a6PYud0f83CIdcFIYO89AVRcsMEv6+jy6sJrxJHC5TrFfOUQg54PWs9cr4O5Q21QS
kaOtGlCJvn9sO1vdGGplmPfPxCASRWGwRN32q7bjzft0XVX1c8IDooOBRjJFchd6nBbu0EIF08ww
QGka7vxh5iZXePfjoJd7TU0p/LbqlpfhhazS692N65vNbXJtlJo2YDBDkRNzleDAG7I7G+hi80km
rxq+obzvvZS2uXhAaCnSWznbX8UgDnNLR5rMh+Yn/HIZcFNhtjFJVKt23O+F0SUfZnsWMC2G7OAX
wnqftR7p7KyoP3lghT/IWVKmaheAWuwMGxBJ4wbKKheXRp9ubLyXZj6khFeNDRqG9VScR6B88E2g
xhbKgPmLerEeDzBA4xPu0tONA/NVvbtaaHwANN+UOSyOzdUkhCtMimMiezI2oQyokZkb4GMKCn5B
J2liDRD8K8Q+dvu51sKD2dj9jerGEqr98guW+gpCDV2nrni+DEwh8VWgYhBEy+IGZGXSfdGbd9cX
24U5ZxHnc5jBGELJsDrOHBesbpMPmL/kjvG+mkyQpBGcoLxvxz1S+DKAEFQfS3g/x06xX/7+8IZF
wZ0IBIbDWrtFYSjO+6mx4OiRegvncQ5KvSJ1ExbZ3gbLG5BkoH83Vx9l7GrP10e/NOMtHp57GL55
iA1X5wJgeVfH5RvmVzhDi1e5c9/Rvge+0ij2be9Nd0tSnpzj6MGMgEZGXglaWshFMh2cBamRZwGd
Li+eHOSNV3PhCOfCYFKBIY+Nkmb1/RO/n+0qssxgojcwiGfTeK6JSo40ajIXLTq5p3m+lQ+4NChF
DASPzHzC+tWgdJkhfXJgM0ewF+s6e7JoVdgnmGHc5d3s3k/tjVl+KWiwiG5dGCsWS209zaGAL14Q
jOgPlo9Sj8Z4Ux8h1xf0K8VubC3VRJwsrLiAGUDjYo/f4cfMr7/mPuhfTcBFvD4rLuw0FpxQooSF
qfJLOjgvSqeraPYKQPnVHzTX6Q5aLz81soaqXQAIvD7c8krX65zyEScdt2Ci5VWeNotIb1lYQwSJ
AVw1lYIbUUcI6fiddyN6uPR1HYSuOhEhGcu1RAdjaJG3CnuBEXuNrT6hVIemXG2ySnuX6TnotVz2
N8a8uJOiCSbx4zMsscT5PiZY43nk51ZAhbq9B0FBRSZu0+0wGlDnevxDqoFG57TWSIODuTrKmD6G
6+/44oNDvAEE4iwWmasKRlqqBhIYv2GWg9q3s5iDES/GjW4UQRMvEI3Z//IvhkQMtUhfcPfy1kMa
STVCi2RjneP2qSTUJGqqEa8Akg/QzUz4Hw1+c2PuXtzR2M0WMaqBB/C6EFrVdlJnRsjkzazwqPJM
7jKaAu9VOM0HTyXGJusrbwdcAYwNXT/efkarBxa3xD8E/+SdDvx0N1guvFSXD3T9pVxaWgQXfAEC
DQLY1fbS5jM3QtCQgT0Z2c6prW+JB6LeF4l2T5+uf2tzWebWem0hi8Mti1QI1eHV/m4Jt0FeCQud
j+DBziTx4KRGtgcnJg+hJX+AhB9PGeyQdzKrmiPmQv5W9l4JDk3QohFGG2LR4Xj9LVxa8Sw/YFIU
nLh5L7P1TdCJqXlXcv22gxlZJF3NCNSafApa1ypvvO9L8/61GLAoMTH5Wo0U+Q3+L6gBA6VF7oNr
Y6TSR/PiGTFSyGuFfg+v9paq6NKgaIVsvjHqL3sdUqSooJPIbu1AA1e2wwzjMLcgtn1AUgg1qo+I
oD7+/gtFWedSDnWRm691raPR52lZpwgbIjenuck2tl2jAM81yS1L+pX95uuNgQMZlY3hU2pBHnH+
8RIrjgR97BBUM936y6HL7E7o/n2XRph1yY59rfCTXczd9gDRzdyOZKcx15r0vSe6llkOewbNvTxK
wuhdORs5umKS3xM9edffyqXQjvCV4ruPPoFa4PkvTaMmyrKmBX2h0a9kquhr2Rn1Ka5xZwv7LDt1
Yu43RhVDdjHJdV0f/UINhSoGxWmoZBzv6xodzI6yiypa1SJvwiaqrZBfNHr/MnaNPJC+1B/1AlyK
N07/YnX5yCyZgjTSGGsP6xgjt0SEOQPHdH3Xuhfdu6M2BFxT2n8zFA3/sJ8sZB/6Kni2ITTHoWKm
NyG0TE/vaTCPzWnnKTqCr7/O12NyvZWRr2TmkVOjsmudf83Yy2moGElcVjjlPBmy69C/N/POh4sd
e6V6xA0pPalRfaNiZxI0CfgI8CEP+WyiXOzAdGt48jZNtjVLi5tLCIs+r3X4OJ6OAikf7iNOi0Pk
FDrQ2HAAR6PsG09xaWsAisXtloYD7tyrxTPVWj5H4C6Wev64jyHy7KzSViflqnrbRU1PVADL6fqr
uxSBIIP1SCqQi2SHWJ8C2tRluGvw6nAHus/YuTZFiCBldKskqFt9Cqzc/twVuJ1VFXTZvqIB//pv
uLDlszktQkBUwNRpl7X6ZsuPKaeFmctMkRrUTQOF9DvpuV+SsUhu2B9fKo6/HWpdCAby3XcwXOyA
Xg1oXgZ2EC703E0vBhqpGn9+Bi5Ox6EhWiRh2XBXFn4ITACnp+vPfPm901Pi6tT8UMus3jvZbH9M
Q9PGsqFHZwzXmqz6+DMrB2/vZFV7cDscDvViIuPgaNp2xO/yxgq9lOAhIcl0o0yNHGldXKqKKdaS
zLADLDGgH7UuvSNGpW0GsxVBSQiwEX0/7y1itd1AYveYQ7veSiw2txPtITc+zqVpgNBkqTvRCMBp
dT4NVDLqdY8YPcipOQAP0rJjGmNNM9TWrbr5hdDntU1vKa2ZlHZXM64c8okKDTMuXbi59IXrO7MZ
/kXm/e0or3a0b+Z1E7lTOZi1HdR6yLYhYjZbAVQLyNXNT7nscKsdkLyPgcqP7Q8V0mrzcHGmaTz8
QYOpnPAaIQWE24VOkzQC+GPTZ+xYEO2PemSVB8/CJc/XyC8nHdpKGOcxbF6aY29M8WWH/+U3MbEw
5GaHWRofz9f1WDdqXA4bOt8dpFHo9mJLkjEwa7U3MZX7loSTDVGknB+HSlYL/Jn24qE1b+ysy1r6
5Yc4NKJQOSRbtNZo4Q7pG7XS7aCsHBAdydAGmR/ZR/zoyucYWcGNxX15PAYkU0BZc61BExPCnLpa
1lUqMRkqFOylDkeXmKOd4yMTt0J589IDkiUQBPNLFnD19aUlQqFGepek/mzjH7gR5fhXpA34r0yp
R2GjwPJUiczbJZh4PQ517O+Tsck+x/UQv7v+2S8+PH0/6H6Wesf6q8ukgiBYNaytGSSoH+IJ1OQK
+kDjVnsRu11+Y55d2jdIBVK4Xrq2CDvPp5k29ZVsqt4KdBi/pyIvB3wZQLW5ibp1Wr4GsOuZZKKr
suk+Jh2xvrjC/IsGDcu6AO9DsdPpL6L2C9Q4zkW96cuoCZyKzDTYOj+oJuLGvCuMxSxE29cAuAPS
2NHOzDBLEq2UxxIU9YNn0+vowarbQyTXAqrv+abHn+duiMUEYW8Ar2jn1UEJ2vLL0fL2seaqdzld
k/s4KU1EKe6t/NqFABXPx6XReqmLcvs4f6ez7WGpA6YOqmCRBHDc/MCMY+egyC3hydmSXMZR7Fh3
c3vjVnZp+hAT03XqUXpAPXU+Mg1KvocHqI16dHG/lFXzHDkabEIzDbkl6PqN6XrpSYGXACmmHmjh
An0+niX1WcQIi2n86fAO7WvsxrT4ARVMe2zsIXvqapAcFbY5T7+/Tt4M/BogvDkdICK5iWmDJ4sb
d9qayehsQAKiHkU1BhXOcu6uj7c8yHrqLmk0/uNScF5fd2ORUhzTUVogAs5+eqL0TulEZOnN0/CJ
Am0GqyOhAUC50X5IgUxcH/7S3ZCvyZVXQIsBDbI6DbS61oqMCD6Y0w5v5bBKvoSEw6cq98djDER+
2zYmZOIR/57Bbs07DDjU1xBo2KYp8CnQRd8tiCV3W/lgEMGp4ADDSXbXJ1l5411d0KyDujUcaiku
qX9+8fmsSHEX6+wJw6bZNtM7py+/W6Pi7uKK5qAWFbp0vWETTmmBDm00915LBYKWav2hMR28cSc3
fRyUxBsngvvUE/t+uPE6Lx2uhMq8SfZ9fuiyK76ZPkajYW3GqEGp8O7ZjHNu76oCqDP8tv2A+XaA
4MP7I48yZ29pJIMd18nf6WFc3zhcL22/1EZoBXaJPNDxnP+QIhb1hIkNxaCxsT+F3NxpJyGltCHG
+3T9oS9N4bdDLWHdm2fGvNtoR0HnmW1waceqLdsWWobR6hxGJ6dznEPX21/mVtf3GAFTqbw+/CWR
3nJjpxxEswhUm9X4SZ/qvogrxFgZPrWDOUFCwzswqG1RHTtaVl4iz2wecJ4rCXfS6RDpZXzEwC7b
jmUoXgjrvxdm+oH5a5/QZwpaIkb73h5iLF5dH+5e7qCOT51wi3sP/k1D1j7E3Wx86SbbC2a9b3Eq
XhhgIqsOo98j0jGj8iGkMrqHjuDtwW1ZD4Iy9El0ptp3udntIDsN2+tv4pJmgM/nkcBlxQJqWM0+
XoNdGh3SSI6s7n0c09xLo56L5jgKt+AIrIdedu7JLCb1iOWC3HuxHO7npHW2IH7nd5WLGRX1JSyB
lOsGnezmzxidm++iTpYHy0lLY5Ok0w/sTs2d6N1blZVLk5Z+D2OJUjjP1yJWMkODYeKZDmyYnz4V
MTY3upMdqHnUNw6YC9d6rvRsu0sSxEZLupq0dtJ7HYakjJLhOIHaBXULfn1SAs6BSVcGE/25j9c/
0MXnY3MwgAS4ALuXgPHNSoFNUNB7QJlGuHm3t3pRfB4G96uBOuxf3NqQXCzfFDdQoBbnIxmFy+VG
Y6S6HtojZK9T6Pfmc+ZatyKDS8+0RLeUQinSoKE5H4nmC0VfLnsyLqLyaBZltZt7I9yZ7qDdmN8X
hwJhT5mAvCmXxPOhZkXyDN0c38yuUNs5Kt+7DYFQEnvqRux+YXoQu1JkpedBEPis4o8Ca966xsEu
qJuoPcLvjvDpwxcQ8Su91ngWbSftZq3rwvOBWaP9E+LYciav5qRvN5FXSt8MnMHzdzKyc1RYYsQq
yL+VaH0tqqziDu6Y7JlMw0VHvXrABqoIdsuUNfA6Lw+Tg4YyQTey02FkPmoJSLKR/u99Pk/FU47J
Nq7wJYQpbwEUeHEW0JXSHEBAkpf1IySMAEICTm2xB4HsPaAS9N7XqJqRQ1vVD2m20f0MlfVAJSeC
6SX/ur6wLkUGCGIollEEpWiwVksZwKj/kVrQZVTdJTQ1bKTWRA91XkenPpQEyuBVN26Tp3sMeKaD
M+rZg43r2TaUdAjpQ9oG4Hutx6YvsX71nerz9Z944eMiKSS5bCHoAtuzOpC9HnquXjF5uyrWTnEM
XN2m3R8LYGhm14e6kEc5G2p1IJJLM5ZGXlTrAOB3trvQYWM8u66PcuHYpwZM2XnBVyzT9nw15gP4
3ZY0FsIH3HEjN+sPjeqgrdN9tkvgeIIeL9MXv7TkEQ1ucWOFXnqf5GMpV5Kx58xbvU+9m6hPT5AP
xrpOeKlJeprt9ps21M3h+oNeHIkIHVIUJTCusucParQWSpJFxhNXUfWhstzhUHcxuWzLGv75cr/l
oPH/nTfGkqD8T2N98LX9+r9+lC3c7qevxY//878ff4zJt+oMfbn8C/9tVOM5/7U0FCxtUUt7BUSZ
//HDIPHlYXuBrGzpZ/GoyrFH/zfXyzL/i2sAui8uAdSpqRX9h3xp2P9FsMuVhkwnbWToGX+H63V+
DWVeWyaQA+T3dIWai1D0/NPXsOKTsozVYzz4QMpVZU7Gu8xWmflNq+nbBM5rufZ9SzJX22M5ms43
do1VanxZWeT/uU6gayEP/wv/JhmSPM5a2T9UdFJgkN3Xjv/BjujyOE6gjORidGmKZ/wkRkiLaTpy
1OeF1cLGiIw6Qi7hNEXIXfnNN3z+56B4C0dYaWD4XdzKyVDrCxb0wu9iZYoWgYDxYHLuN4FXQe5A
ZIYP3jZL6a/HJ2SuAcnixdvAoMXMJ4BoAHcR06wkfQaBQvLTtsmZnETVdMbuxu87X7SUL2kZpoWQ
iIAUOsfp6sshNrJNEnDyIXGSuQv0Sreme0tq3rM26oX8OSKNa++NzBLNvjdJPm5GG3+Fv6cs7mr6
3kT94mem199HJmm6fS56PwHS0yfi+cYvXfbJ/3cSs32a5IU9Ji35nAXjwVx+GxQa1WQA3zWN+1kf
8/HYly02RKBV5nETqZGsa+wU5Y+qirv3GU0meKYOCuNmZY9Y9V3/LctQZz+F7XQB5nFhZuLxP85/
SpnE4Yimbrg3Q5dLjTLAhzwOw2wJ3CW7VH5JHNXG0Y1vdX6Q8AKQsfHYoJdAuRBGrg4SjNs1rASm
9r4ioO2Dbq4hoQmM73UMVGahPs6iTnW8OOxkPFR4mVH701Kvf7n+8KsZw88g5EJsg9aDGJPg7/zh
i9Iu+6Yc1L0+pqZ2UlbvdEe7SMd5o2SVVDeOz+XPnb9rPjs1ec5QpIy/WO1Yk8zxiZLFvVlXWTZt
yanZ9EopcNPjjQOM3tnlNHw7GvsrAETidBQlhH3rNFOTyDGkJ5AjutKmahdpzfSzteapv7MilD10
OIRVuU39Ao8oP3V2ad7b90XuhmIXSjW9s1xE+Jig+sdJTnngKhs8eFJ592GdmLvBLIdt3ZIrk3Xb
n3K7sP5QPsbZCqLAy+A7OF3WpUHzRvs0ijD+0IfuAFYn90Pla3tqTElmn3RtHlvtR5/nzbapVffT
b8P6b9k1/T7SjPwYW7N4qsvi76KT2kHoWftojPTRSqEDajdD4w6tTiGQDZjePYqi9uDNvvdRG4X3
LoHCSwsLxlujrNy9HsvioR4rFSSaTlIkLZGZQJcvt2z4n6jS1y8xQPHNhHPmvupEesJ/OTqUYfFp
kNn8vh/McefAFAl67tuH1m+cu6ip4q+ya3+6LT6WG+RqClfXDGbwQvGDJIwg2R/tLUnw3j/wGqxN
GdvyqfV4E4aWGvFGSuOutSC5DkKXn0NjKHamM4KerXEy/FpnnXkIJ+HuSxFWHyO10Hf1sAw4Ooy/
PRIfcGsV7ZdTFYHMFdlzg87ovfDajqxMa7z3yjh76Su9/wkSb9x6KdLFExJ6b5NNYijfW9wUNi6/
BIlFhInnVpSOjvclwddfIjSiagugWj3gnShOI4T/rYjD9kBdxT90jvyQYht7qmJn3DGTB7Dl8G7j
mH+s7BqAao7mW9q9GTU4jKRF9zH0svhL2pc5TF3PT99l7eR8MLzQeocdYP8ZUDIyu7j3d6rLtHvl
2FirJB6dKRP3XWC65AkOPZ39mLXSWI0FMuJQyL9T+i0bxb2JRLhxAlIAUervXU2lovigoGrlzRMa
N9GdqnD6Jgz4K6PTGHQdT9jAlQDQei7wf/aDltBVRiv/Hd6h9GVhn9reYXj02Yz0/DvXUIMMUjMc
UguzqtjJ+yfl0hkqh3Svu1my7XT12E1ji6moFOUnEO9JMPt8od6e3X1uJigchMz2aYcdqmkiI6iH
aX60Q4gq7Be4hphmCFFPxB9crKVTczGIxRDKUVW4GWR0NORUfDBE/AeytGaTeWm7d2sC0skYdRxV
vAPZBbjDZG4epggDesw+3nEtGnC+ncedlWfpHS4L/S4xs4x+tnBi1tnesMfMpNkOfQqKuXX9g2mm
Ev9IWT2X1tR8cOaweEpocsAQMpoe0shSmD+M3b0mHY1uMLcX+FsPNbWTFmUIZWkTCzt624uw3rj0
EfbbMI7HH5ZMTEGSNvM3iTHmjwbyyuzei4c8/zPOwlz7kuClF/JHvIHCy+S7afwofVmm340wNX4q
vpz5eS6t+qWcSuqYQ6na9slL6TH8w3drfAZqyVGDWRCWLcmpRw1Per3q+26rmVPjfAAFo3+vvbyo
CVW6en7ubS+igJJ49H9ZEZ1x+3+ChlJz0L5tHK/t7eMY4ze8aabU2tFXkel4ZiNMTbZeg0nPHq1v
FxP/xEQcTdchvvbTyoyPQ5OH1Pumgr/QW9rSNzwl2WNsRLa7RUrceQ9YhwCTasYyyU4ILbOwpPNx
rOqHkRa9/sllJ7ZtbDfoNYX8X7OvfO7ibMyQhVBFoUe48+etlRcRhh7so7RNudVgPwiZi+xR+ZWa
n20dQgTUOfr7fswT6+OxkJn91awJak5yauZPpc8UizAEqwndHCciNnJVEoo/R2XwbvAs0Ptto+Xt
aTaBRGGnGzo6O66crb7Bg3Sc5nwO95aBZuGlKFSEYCuGZv5Ml4XnfCwcr8p3dP0NfrdldvZiowZI
CBs+bIjnqSrsufyx9Eui9EOpV92bTVLHR52UapSSVPaSwdnPOl8o3rklziH4j7lO+Qil3bT2ZaOs
F4tAPU0elF5OuBFrlDjT4tHIAclE2JijlQScPYw9exe7vL71JmvQ+bhdqUr6dnRY7YmOpwxrHwYL
HZCejhdLD9hcOpsZAB/dBUamu9/9IvUWajUpbxqzx76dtJ2bNr17EBF5qSqJIzcN7N7OugPclwEv
MSv2qgd6ZbLo5I848H32R2+ofxTlwGfRPF32TUBMkHJaDvzXeOBqlHpqF0HbSx9MCFHdX+0wlAtJ
vNJzuOBTH1b2DxvfVWltrBl3esy6idijn2AXavl+Jm6aj2ySdvMShWyYYKYIKe+qWEbJJ9majfNE
S+/Mm4oNZYVfynoq2bLCDqOOF0VPMkKAhjyb7W4GAn67pAMtVulParigcTZxTjFI2xahrXC/qZrJ
JIKZyrFLP2rKj//Ax9PYaQmyrdzzFdyQJlPHqM6xgOlUaD+1lhj/EmUTfjKm3j/JMna2A/5DgZcb
zmdCxj9wpU2OPF65x+XOLTe+NTh4yWf3jh0O+V51+hRuZFG1z343flV9C1AcPfEh9FIPlFIRbgd7
Yp6Zsjk6Y6hhAUwWaqYWgC2SjXGY7VYMOerv6bVLA5/kxbvE7a2tn/hOYHSxCGJFwbomoyOw9oAC
CjC32lMl8E9Lhngn/Qi+u4MV9tarxoyuENy+X2gZzBExzp0JImDIsfPxU4yT8S62Np1Q1aMrkK4d
/dnWj+bch3cLB+POMnrQY8WASXA8fMYvKXE3eKNjmFM6aqMXtrjvx3o62alQ92YxUHJobcRfJbNa
tLzrWFZw7DF3En+bkcTrjNzMJh87TICATxzb0lPvq5lcn2dV1IlnfF/KJv1hz0X9oiJR0hDsdkE1
A6swxip+qVL+HHos95PIu8WazPbkQ62XpbWZYum+S4eaBojSEhEH3mxs/bo1enyhux4ssKyLXdJW
mI31vRVPW8tNMC+s28H46YckCbHDtj6bKFHMTV7C9m+kpvSNrwPe+r+Undly3Ea3pd+l7/EH5iGi
+1wAhZpIFimSEiXdIKgJQGJGJhLD0/dXsiPaok9bxxEOO2xLAquQSOzc+1trTaVU5D15cJ8pZkze
h8qyV29Pul0TfnJHQu4uuNsKGYdsvpyIMIelBJQEb7de2NpECISEEqz2hEvlRnmAB0E99U8lL+tz
npf2FyfvspvKme2TjfumTjRGJwenZzgRh569HitShowd+d/kHuDSOp2XXM0vnRq7B+WNFFR8+vBR
DZ3FO98Pque2EUS7rrm2X0rbCd+XgVjgVmX3qNBKnMiJwibfXRd5ImqMY/A4yjLdKk1wQll67t7E
jNRPVz0TCE/kbPZN0eD64FklSQD+1CsznvB8KIlF44QQj8ZC3uAQkg5YT0Id+YND4hSwYK53UrlT
siyBsvbTOIFegLmhY3V4b2mx0km28e6cEuYQ0+1ajuNnHZbVk1Uv2TXca9peHAdnpNYk/nEfYGfu
XELCcWRsmc0wJ/XYiTuv4rE/h+Eq3ysOo+/Y0EHzLbMW9yNo0VFNSIuWxazXvZw1OWngLaTpGLWm
o72a/rSPcIC9ywljl0cRFfPM97vSB42WyiNLbRX1jb3mGJ8V2/La6CBIl7G0nvQko0Q7yPKhdfK9
HBfvMGZ5t5dZUz5Xbf1KRpF75AN6GkHf6Lzw1Q7ebt16iTX7dRRmbpG/N+yCKWAh8aLg3MRga8rp
5gXOQAJOXehLRH34MJTm/N4vg7llO87m94vTqjNixuq2mqrmrm+bO1SV6us8qOwOJ8Pw3kYksjeX
1Tu6BH+TUTEH42El6gqNh6D/URFjEVVivN1MwRKTtuRMZSrSPaGu7r1uM17JyY6WpDa27SsPq01j
2vHbT3W59q/M9uaDO4Xf7JYCk48zhVNqbI6Lwj+fOVyVkTi6JcexZgyNYWeV+fchFP7ZmHkuxpYI
YyHr7bBqa+R81co7AtPG1PL6L5Oq4BsXfEJ3hkc8ol8xOdINcVJwqH3art53bzGKnSWbmzyY8v0w
Z9E7vJ/NZ8UZ4GxSxSb2GM0XNedusoWdjbJ4Uymz2eCjR8D4xRCaXcdQBQ67lR0HOFuePJNRaeNK
L7Wa0tzVoULB4Q63KFRsqh9C4IdllgmuSfzWyq/P3ZzxjAyt9cmdhbnv3dw81a1rEnlYl4kO5THL
fIdqTPeRs3c8KqqNH2gflk3GnLb6OjpBgTLPiFKtjWvyqVqPrZ/Vu9WfOI4aVZ4CNajhsFjO/HWd
3fc93v7nSvr52RNEylJlPfq1E/zgjNU9ac6RF8HJQ6arv1ZtOofG/Ji5FMi7UE79vS3NNrhbG56u
2ICfvCkwKC+J6RxDb0IIpjwnNrrVfyhbz3jGaDsKD6HOSnEULbPYuA9V9pnaB8sDFW15TGDWo+mY
9kfsF+WhK3tfxWFecSizrOpDuCAXQi817qrrXNus0INsVVSfys7+NM26f5yLhTpqyPRD2w/zed0i
kvaQ6N2QU4/7BXXCU2aGkNZd0+7KxaKkQ5n0MvhjmEinNu5LYX8QyrKPfrHSoDLrwt+Rm3s3ASHs
w1EFN0Ph8kPovvnKVibjvDCWlw73AfIl56A+bS379aqogpLW9420DvVyWcZgveXZRr6u3eh2GQr/
jOL/C0djgYA3iJLFGOx3rUuKITLs6bi0tr/PzZyijHVC5Jc9kLjbLSJd7bp8ElGvLy7lf3/UJuZV
0LbNZxcFw8ceW9ML9K2TYDM9HOtyMF5p6rGJb3W7Z0XjOwXjuu1pp25rguGx9WOEeyE9JqjT3nVz
JOWem8poJCrVwkkLNUIVSE557Iyp27WaxVg0iay6lwINyYNd1eMj/r047Tmao6KxEqzZGtUdBtPb
yWxneex7/a10qxGf+EH63UG2JZFnQdV/3gLySEyv5IDa8t5m/S3TkFINv3r8sQ2+oKijhGk9WKQU
nbPru5ZUV3njuEN4t2jbvVwp53dS2wy/tiawj7rIbpo2d4ek2+og4VRTEG5LBPBBlcZMkA4F4FMh
wvZ+cqzyNaoVD2C5mT8KGhpU9mTnxfM1S5U+XPbkmsq8dL62EY1QE9622JPux7LHVwuu1T/3mRmk
covmQ+4aJ20iuybk09znvbyGQytrw9I2MNX3iT7u9TSJL+uiu0PducS9uML/LCvTft3oxcg4IAN1
R73PFxaSizNSsqZ8Ad9rN3rpc0Ibq8aNHt3N6lNrRue/El58tObBSqyhkod5GMUpd1GS5PmyrPEo
rZVQZDJCqKM978W0B/Vu0YGmJeJ5/AjBDUda770xrsurL2W7pzvZEIbrjEREGEH/qcnn9SEcrnGE
JK8xqI0k9h07mpxTvKqq/lxv9Sw/rcysY6qjSO+ttuKDtWPnfo2afPnOyxK4mxt7K7Uhdg4MFeYv
8+o+4cbq6BhDpo5UymBmx7QnfGGdMJ93Zaer8oaWUZbfZn6YIfalc/TFnHPsgh02uwnzLd97sT3e
YDhoQpMS1FpERkveouWr4XZiYU/qZfEtrMQJtXY1PhJloqxQ9Q0jtZJgy4XScJnvVquwXoTGYtrs
3ZeRN+2dOVbNd3ollBx9bmj3oVLWsJCNZIcd7joJYIchzvrnGWYs6Axc2mrgLFkQUuIe6MAoP/aB
F3k1BJRJNwOusnJv933f3g1VOA7xtmb8F0xvs9agbvS2gSfMDEail8fOjC7bFBC20g7a1c95pNw7
DB9b/66fR9P/PLWOXd1t87xmaebjcboLSlO1h7YODZ7AbQj5XSu6UeNQkLtKTtHADX9cbWdhatKi
8eGe8INxRigJ/sLe5ufxmY07W75iX1kpch0he7P3OIVIZ08cNT9sOOdh872MpNoegw1lqsueAsiZ
VH6/jodtasbiJtzyTdxAqergwcGnB6DAKUq6v6jYC/7hWsPKEcrMw4HNcGnMID+Fa0ngE2rN4FJ7
Duf4TXhZ+XnrGoeWZrZxeJxWRwbgkLYMwrMShr3c247k4A/L49g3+IgsJE05NaNmeDjZ0Z7oh9zm
+BtlTvMwb0Zv7rvAlXRBKmrp0zDVa3MTGrkxpmY0k/yFlR2fhQNnvrx4uWhDN7F0K7uUFnbmHkJL
2epAaUqzIK8W0zqtJaNbEkJGRUoW2tHmbNJemHYu5ojV3dwunfhB3GrPIUhToZ/I7R2s/TaZPqHT
9JjV+mOzwnGDxsm30P8Buig6kVy1WP4FC+7rOKfr+OIdY+Tv4C2+fsQ31+ZcqvyNqZOfubK8rQtz
EDeN5XDtNqC0/chmLOwHaiExUiFbwzu7q63XqsCmZyB+YK5HzvDOuEBlczTmyenp3mfXWsb013Qo
lb42dkdvymInMvwfgzQs/TxXkcOtI+jV5B+B518Xi7e6nh8r0BGKpyYg3mDrsbeJi4wS81laWU57
eFkJcQ+2WZxtWQTufswEm5Q1qs15N+Vb1+2HrLfbPWXyKlL0ua0XE+K4tQ9CCD5nITsimePNBtE4
12VufcxEoBATyHz2Cuo4JjiJz9I48gqco9uNUtdIr0MZMsA26V7jhd3Nfle4Ekh6LsksKrLG5zC4
htGewNBG7Qdz41PT7IhurHFaQpgU8sfx1ci5mQR3WDghEDqy7EsH+prBjWiz3SwtUsQALqmt2PiW
4dxql9/lBhof9Suj5J3xx9vCs5dNIHlUPAhbYAeuEzv3520dHcRVT3Y9RQ2+vwF+c9nomUOyYqO4
3Rqy9jXJYb3S+3VqQjuNNj23l1kOsiaUbDJuWFz4hE2j2502rjg+uohp+9dIWoaBTQFwGY1s0Z85
atrrDfOhKdgLvIXbI5BeYz4WVbe2OzZC9NeRYWpxGTbMzGgrWLK9W9w22nmy6bP9RrFPDdtGfnTL
wWgo45Bg5ybt6R8LuHK7pLnrRuOLjogNjK/uCXTXLEdFSbVA5n91ReXWO8vVw5d18vRD3nCLjqtt
jfJbhJFYRVHacbunfGyQfwERvQR1w/PW9T2HKXvL+28Ot/qVHlHlECq0dOveX8gW3pGemDm7lY0h
S69PGFt0yKH+CJTP0lCiXr/88XCq0WKNhuYYDUdTbUFB0B8SnO3Yagu5b+HbNAabqdvk2RaNN+9r
CkV/r0Y6iQyF+tYmzU2KGwvfR7Bgx1EtUQr5sp791R7zewfAeLgRRosZGqXoRNiKLDrBuVKVVqgx
7Znxh8B4iRhowcLFL0hF1US8rCFu9BoN+QlZS/8jkOQX/3A6z9roPNuZfzX1densoOFxgjNDEWIh
3XHimS/tIRvTamwqGqd5V7s0uzaHD/dg25pb0F8lxgd7a/LDbI92TsyDVpi7NXlFWLyngm5Forgy
uoxtdlzxQ9Dbqc68BvzqzsPdplt3IF3LuGc0SWfd8Hq8AHoRrR8GVD+39loxsGUQMbJ/Yo/E7rVU
LXW3GOchT6ooIATXuzqe75VbGuscqx7l3YcyKLzhEBleaFg0yqm02aebbL6vwcTK+2gpi24fCqCx
va1U6RyWWjPPKrxlmiQ21ZXBZ+gBcUnsK7u6PssmNILdbIbiuNlR6R2tolbixHEjeu+6JFiirWe4
d/VuUTyvohuLXbPJ4YupS47dSpaWt7doiX0chzCbdy4U3NVt7vqOMMTKl7w0UE0pJI715JV+l9/x
JXndu85dM1oW/Ar1oV8L5V/+2DGDAcnFez2andgvFnZjycrJwtliw3V0cTDkxJ+JHN1zjygPQApp
H7XFEdnDJk42t/LU68IVyUpesvzmj3amdpo3HruPX2N8sVKHva/cMbxqN2v5qbcCU6d6DbeWoMiu
n21FMPzkUylzk01qtqsR9REfJ5aFtWbUxIT0dP3D7DK+oPOpFuNgtuUS3Rt0PrO47PIp/Fyj46vv
3KXyv9JmGNZbaSgXnQ2vRf1MReTpx5zKd3vIbO3o5yCfBh7fpdMnVxi+vq3b3NweR8TB+tkHe5lo
g7CSylNmjIX7VWDyZ1r70uQleeNs2zp8531SV7xQzLK5uvGZ9WZcJLPm/kBEtEmwpCuvDWFjshF0
YJwhs2VOCp0P/tesGXPyJF3ysG/D0Wu64rpNkXlmmGSCFbtusQ08x6yIgcJ80w7d2hOVGHbzSnfe
aXTqa970n8cGaeYuI9eZh4rhQMSIoIxgJGKLtjn18BgUrX6SY637dxwm1vLAPNYLb+FeZzcRwm6w
Gs8a8akaV0uwRKdwvPawF6YcqDuH0LrQf2qGlJOecs45Q1Oa7aNg7PFnjeSZk0PVtea+e5RoDXh1
QQwEiqe4abZLblb6m1Wu7ACGbxWGuioqsv7ziF8ULgbmrOu7XBj98hT2fYnHdD6xztoQ88ZnU0SQ
47Qu+v5oGEY+JrW34B21mdQ0R7Pm1HPUW2B8YNAkj/Nsrn3iKtGK20x7eu1wzNPrAlZi5N/xW1PD
K2dWo/2YI8/6Ehi2GL6aKwZOZIAviM9UPA/FQg3AzLJAHKgaO/8SaTkXH+doGbJXb81YGxntzegH
A5ZlOK6qyPRpXEW5czaj2uhhA8BTEbWVUxHaSSGfZtqX5tNKP6vHFZYv9ujI0lC3LfR3eyGVkHTv
rVF29eIx52ejr2rtdbGFoEjWe+Sgtsv4kKLrW1GUvg7jDkku+ekrkN9tLSQnKmkVOd9r8+AM4DjM
J7dIH1Z+ZGK3Jwz1tnd9xlj6poMwl1+adhpXoJ98LuFJmEJNN2Nv991xhP/CXHaoyu12G5VtX3o6
5S3ZqhgtrXitcDzL4s3o1PoRGdtAEASGmfNdM6jWfdRAiu6xGS325oETenUniFHZzlrXLaxKbwIp
LolRrbI8lTLrogeRBW5wCTeV2YxaqFh8miI9QCulvGOsN5wZJsTnFj2Rl8AzyohsuamZZFqLzpTk
r8/eSK+wzpts2E2K1stI57Tz8zptYCqM/t4xtMIQ2OhIByZbt6bQnUhYD4hp+w2I9SuoDD8C6wbf
hFtISN8B7A3w4y9I+ZDlfphjYniuBL26Xf8HHmMVvnPTBNJo3gNMuNtpVR0L4J+Bmb9dGi4aXT+q
MJSiYOZXoOYvlzbwY3EiKp0zRrFiOYR+g8MYnUP/vis3IJY/XgpDPvGC+Ocrv0V12ATYCfnkNiYp
vv3WtdEw15zmbtufZc4gKhlUw737AzXD1I3J2T9f7g0FeG2RELANc45MCtmo+4YM8ji3jL4el4Pu
Gt95Uu4ayZdWuH31uhQeg9HIgmp42Gqego9RHfGK//kD/Css9H8WHXv43l2xS/m/r3/2146TZZkX
6mf29//7t+eu4a+3v+SX3yH/6+f/Js3yCnT+8i/pT7jz3fR9XB+/y6n+40//81f+T//nn4jo89qD
iH7tplZd/7S87Nq/kqJXp9L/P1madFSXX8rXt7/jT7TU9/9DacATAsp2dVC66n3/TFUPLajT8Mpi
wzDyer7+rz/RUsv7D4GxEW+swIxQrXo8ULKbVPF//pfh/gdBFTm3FMdEBmCm5/8btvTNIgZPvFrp
ODgr+LidkIvx6+NjOU4fGAURAGUdHVZnPzJPV1Qhf/lKHv5AvP4Kar5B+q5XCbEycXhefsaqvcGk
y3CZ2c1ks8ewbd+G1e28BAerWC6Y6D3+y0v5bIk8JoSZXK3x3rq/ZdJxJnrO5T5gNM2xJ47qNDfF
sRvD3zz/b9g5lBm/XukNMunPZuluI1fSzuPsPtXL+3/+JD9xuL/gclwA1TJ3AKWjg4noW8/ScBKl
akYcgNxOFMPLKrVv71Xbzd1LWOHmeEGi23l7z9iy4UfThws8CZr+/lRBHS0f+pquWsCZvlvlDTW4
It1gmYKA4ZdyQZtg4p3U1WM2/QYm/dua8i3Wuofy0ATzw0Tq1zWFCR0pL2sj9qV+vzYPRLrGbf/v
wMXrd4PbJpQG0wiPhfVGOVIvTtloyTUmRt6Ld8V3f7Nm37hwsGa5BF44tF5xB8DI9c0lpkAJe9ky
Apg89Y3GUOqQul6p7Dxn+j0mgPBqVjy42c5of7OG37Cof16ZCOfrlbEyfLPVm7iIUqxzZf8uf1zv
sgd1Lh+Ww/zymwX2t8fy5ycklvoKUeN99uax9GgnQwZF5d6JPw9xf0uDOJkTveuSKN0O+XN0GJM2
+c1Fbe7+m1Xt83giazVt0pN+GrH95YUNJZBJhjViTxP21F28ozrStziLi380Ttbpn6/20zPr7dUi
j4+GZ4r7d58Jw6gAA3Bh3BOnfnDPxn13GU/4/sbfVQpmlup0S5aUHlpCHymtf/Nhfwpc/3554r2B
eSlP3pqJUNEGlHd2uS9O/nngwy432ck/hTtq96ORVnfBo/eIcGXC2y/eEiNMxHfx3fjmPIQX/xKc
ohMmbzvzhjHlb76Zn9/zP/xob3d+6D1z3iTfzJJDN6Q561selXUI66THZGCMyZvixEz+aPMUiJhs
mn++NW/8Ev54vvCB+MNgznSs60L5y0IIWiZlCMDKfRPnR2cf7Yx9eLaT+Rim1cX4aHwsb9R9hjt0
H7sP2b27t2+ME8Hft91z9zCe3eMa/+499fct/RqkwLZFpRUh+X/7yPddH1BlF3viLdriDtXm+Cis
63Tgnz/736+DjAfZGwg0WwuuLL9+dBKgs8L2K3ZIFOLMfenyVYiwnXL5zTvq71sxGxGxZSFv3mt9
/uYDzdIeaLwOXCh3v/oNYkHNs5JMJAn/5nb+bS+hiQ+CawU4M3iUqtc6/S93kwLAaMMe/iwfDDyP
/dSOzmCEidP+7g3/E8X/ZeVeL8VxCh+gK7P/VlVeIAjIlCSRzourx/Wi7o0v6sm7Ge+rc5SG99VD
mw732/tlidvP5pffeYH+VHK/ubx7FeS42JcFNjXNr5+U4OfIsOfaSAkbOY2n7FwkyBGT5mTv+0uz
65Nv/26x+ISW8Rf8NPUGW8nbEo1GNE0DnhOYu5Qo6M0zdv98hbf3jitcrSU9ak2gffD8Xz9RgTy9
nYoVdDTpkvChPna/OaS9Xe98Vx4CE9h/7ExdFuOvF8iRfw7BakC3LzX5M9irxa6a+98s9rdXCTyL
GhMzZEolFAZvxXhG5Y/1BOawW40t3zMHKW6qsFT/8rPg+MCdp2SmOCDA6q39iTDAKCOHnMxrmN2d
CKzsMW+wYPnnW/K3zwL3afLWMnGdZYU7b25JxMhWq7Vr0lZIC9R6nJMhHLPf3Pj/7iqcKdHYEH7q
0pT89b70UITLqNomXbLA6Haj5PlObEUH6ze7w9t9iPc8yTHgFyF2TmRuX3+Qv+wOao6iPCOTLm11
F8SWTZro5jZzQqjP78Jr/7vPRAY9xeFVE4qU5tdLIdxQ3WjwzRW2N7w3JrO/0Nz8XcAeuQFXIfRf
9wGy9bC/uZafWAVgyvqmzEVqWhKFVFa7LMvri5O3gV3c+7JVK0nmGNXRK2RoHEBh9C6r3qvyTe4W
z2iM2FBifsbRj/gi0G8sKSrP3AJ6OcUVwY+cfMVEZPZ/0Ap37imErZPX1so85FpaX5yiC4qU7oP5
IHyn7wgyBEjEervASsEMNhUL19OMOwd7JGG9www7UZMdFnGJnZWKC0CDZ4LmLaDCkVZi3mxzfTNs
RqQIKpy8JfVxhqIbqiaZxb6AELkJGnifXVuIHOqgBh78ICB1/aSpsKp7gqADLIgLqyBLXDgFlF1Y
qwIctGlItUGpqN/hFoyN6SYG8VBX/rQcoC6ie2yg5mfihPlBsY4DlC8Wlx9x0WP9OjBjMmMZ1qz9
KsvkI4CcdzdkpqIHFjRXaL0PiK/xJ+IwD3yZkNClX2f3E+BwTb/YavtdjXiy3ylDY83uATd/c/Le
CeA75+Di95NuUz27ZG4AcvvvdC+usJbYzAY3KsxRiQDS3QUtFK4u1zjLl2xwyK8Aq3aYvncm87Vy
VP2MYdbYYPC/kcqQ0GIu2aWDcm53WszVbQePQdZlCMNXrGoDLOCJx0/ItY2aQI+BFtJVk0ATfctz
FTcsWVheBjgW3O3cfx4cGFz7yNzTHGOEH8EP2ytknwTMazA/CiZlJlrITsV5JLY5wd7BWBEAjEbO
O8PIHiqajCotgjEjCa4OwEzFYZz74VVgU9LErdWoMg0MQn7x7nN6+ucbs7xIdqHczUOkJOobLfLd
JK4Rj9IVkbGLRr18KqqtRe8JYznuiO2lUGQSVdHonTp8r/oqXGLbNBgo9u2s1kSULaA0nfHxfd5r
gj9sd3K2W726QLTzlBGuG8BHh6k366VOi5YVGA9D1e+ZXduHFUg9jEOJzjKucUntkzlq84GnaXNe
AqttP1huU3+zkV+9BgSd9btOAdsnyus4uQXscMfZAeDkmd6848gA3koFv/q18RvIXYJBwq9TGQUd
USWB/sHa2obd1pJnF29dBPbaVGomrgieTgKJ4lcGy+yG9T53HPxaxFJHTcxkgYDKNYBX3mEAM3yi
iw8tTfZ6BOtXhDJ8P9gej9egvCZPhr4y26M99KVK5ok9NIYl78JdYevopq+zFSNlX5tTsrb9uN05
BAfeC4CVMCZ+q14OubGgTVhyDuRxyznoqxQ4UqaEckCZO3CRjDZL0wDUDECD/E1kdRzh6Xx1hx/A
fhREeH0oCZjpk6xbgSLxTLOYe4rQ/FThbmvzvSzBe3su9SeyM2CucsM1U1CjSqNlc+pDa9TTJQwY
TvKwNt6t13hiSjpPqfeTY+tHMtiZqW4tvuyMb8wFlyRXqBtp9Dj60gM3v2PPyvB1DmRwET0thZ1j
RJJ5KylXyxPDMTiDHZSCV5yGwg7LRKyl+FFRXGPNWLlztmO98W4cbIRXO0tb+AN7k0cGRbfkDdh8
mck+XuGdYOtJWux3WdOcEbUuT15rGe9sqedmp0tl2KnuDO97jsozwmfYLcbjNYKM7OFclsz1KG7a
tFY2KL3fltKNSeW1zZj3qHVBJdIXMPJRq+MF11QmQc7QFnGhlv7KLQett5sQZ0tyjcNs3OfdOGwp
ftrMfMk7wjRICbx6ULbogkFlkVHgukUvplNQZNlB5j0ZlQzwaxj2Iio/w81HVRqhs2ku+B40TzVP
FGjfPKxbgqRjmhOhBygheKISKy/dW+xKm1wY+uadfM2nCcnl0tA/v5nWorMBM6yFWpaxx/fZJlgj
DoUkuUuIgdFEuI4TUL0zjPlel/72Esk+shKDcXhBbHrPNIY5Cv7RTVhz5bDG7x8iJZvvZlDSKh0W
qy8uUx6C5rvNpA1M3Jw+i9cqKiUf3XY/Mq1HjuXMU/mDEWjhpzzpWRgz28irE7rYMN+JcLwOG7fJ
QIhG+CwKAG3K7/2Kw2FMdCoGpd66OA91wVQtnkEdmtgiBsSPBTX0tylsSj/hxKTHpHBnL9z5BbZM
sY2V7xi3RBzx2nNxqOJhDib2p9VkotdJOKqEbuzQJbKJuk9+IJQTF461kCWR5QLXnsmz+1jXdnDD
hqJZGH3DID02wgrsL+ctEelP+cTAFWVFSJwZlmtgpH02+FUiu7H82KmKjSeb8+5bNm15y2uNadC5
WHxCFe1BmMER7zZbJBw93Hcdba9n5lxqAVD0rG8iaqebKFRVhYEQKyqmO4pdSmM1870Oe8wBe3t2
vm3IRpnPcgQe8DFeIw2fPWYFjNdUPgPuD+DxI8YGqOTlXIGO5+5r47XBd5CbbOHSBYi17PPFiSM9
UkAExbIeuuH6n+fJ675EAZQUkNy1LJEWI+PYUQiLkhX8jKXVSMtK645HF3h24x4njq+NTyqwNgQ0
gDrOvkBe99kgD2yI7bKxgQ0hJj8qgth1bPoDNYe7jOKzXjr2n2EAHyWWiwa/RrrAlzHDVBwB/MgY
GvSwualHkfjD17YEh5rd0U4krdY8cc1NfRoZJjOZNWTjxBzTpw+1vZWEzIUOdpkeArQnwYvWSn1T
6KdsmSIzzVx3gWPa2OcCqsVXtwT7SMJAlninGyDy34S5mIRkGmbvE6QXki19GUu94GqelR3gDN2g
13FpLIRyPFKnaRSTl7Cxei91hTySyG9V3DFMQmMajIDea5C3dRLMlv+tVcX8tfQgRBL8zkZC8YDw
HjtEE6zvbA6eS99bd/i4huTeEFeu9rBnrX3cshH3+rgA4UOUFhXTZw2fO7xrJzP4sdF3KFLp+I29
q2fVTAepNThql82OPGzsFU7azY4LoDhQD9qj6TVJX3jllpo0L95H8NHbwTFy72M1KQ7dZseMeN+N
Pqqfya9hSRzYuTV2ZbA8oOgO2ysjO3zNEfspfJ2Xvt55i2P/GIo1Zy2id2lTH6vLMTaF0LeT5Qm0
I2tDl3dGSEjMIulxN6SQhjcsdl3uLF8MiBhA5Jz9nOOvSWq8I35kYT/6+2JqM3AQ1a/72qUYMpGr
kVONrukDXuiT9VCCJFX5MVvncfihBuiX9/TKnVUkFEbmuTWF8XVrLGaX8eYoPe82yv75YNj+Nh2H
bpH+J85RjNuwNO/nO01San9xmjyr3mk1+eooC2XPh8qftRNLxtIfi5KWfypDg/EEh5V2PQxjiCeW
qHj2rpk9JpXCLFDlVCVZYe9CY6RqXOvWRJlUWysAbZNVSHSxUf9Kqzj8vuDxt+xy1FLWwRiayv2g
gjbrkyZwzU84N835qbXazbxzBrlZZ8YDpSvRMMNBJ5Utbe49GNSw3JYZKdBe0vC6vt1oXFGSQ0Cg
fw50aSBtFpZXoXtGIY05VOWX6xdto85JNzVtn9WYux8ILXL6Q8URBwF3WQ3GnRDstEdSLrMxYev2
IMg7i/f8sgtCZdPEKY2pPJiittSL8jQiLbt0M4lAoRitj1U4hSL2oZjzA4o5Eifg85z5aOC3yube
9kGTjpPnb3tvKfV89iME0rG1hv58duWAr1QA7cjm42YRqXVTFj2rcNrKj23erh8Nhq7RIZvbYDsv
rWF+jcAZADCFiek3CZwuoXc1WnkZe0WBZ67YcrM8DYyGij2hK1aXSrWs1ju6ajq42CDGqDpsZNuJ
qUbE4kGo0eAFbW25j4IE2y7WwMsBdA2Sk+92XrXLAX3ZspzbDBXaWVibVe5aohLdexdyzz6gGbe9
p8BfhfmitxE30kgaXkVqWFVVHuSUOfmfSpPbsttmKAJQTh6NO2liwBQr8JTxNRquvsk0G6Iqrvx2
8JF+t27+MKKjxHGLdTxDFZhI/KOpXqrUnFuYArGBjqQmksA8QX4seXQciULOwpgAL9tpqTKOeX2b
JaNYV6CcgH3n0zRlNfyy6tYJMV/j1bdgYV3I0GQQVuL/X+rOZLltZcvar1IvgBvomylIsJNENZZs
SROEbNno+wQygaevj773r7Ao/1KcQQ1qUhEV51ogQSBz595rfavSGpjPVu19qfV+uZvI6rlBTWs1
28rV+x9O5S3jwZnor9w2uSW/MbgPtC2rQYAkLegJQ5iHShhYPRpsfJ2nFnY8AorlkylnO9kVk9nI
qK5GUiwSOzaIEy2y+rlqTJxHph8Hv4xsacsD6SZ5j16Jn2rt8XPqB68wK3cj+z4xrievL7CsVj34
d17nofDCLNBKIieg53VUiVpQVhwHVDWtfaBWapV7hf1qWYUGk7+NU5uWPt5DeYGdKtPWIrMJQEz1
iW02mWm5HF2rF4ihtYGHTTRpkuAW8FPnuikzI7kYMG9jV81o6WKRy1Al0opvTiWOHhvVhJ28GuOD
ZZa+/bWxkRGFZRtP3+3YpQjJLP9rjLWbYKTOnR4sB4rFF6cFvrkqsUD+bGNOzJsl6IYfpMDhd0vr
eTmUfqYVWysZly9NO7Xdys7T5KfQbdmjgq1K67UCpIyhXebV49yhxlmTMNxiIFnMZOVgP2E41ktO
Kjbtg1cfnVq+rxCq/TIHaGwr0iCd5tGEgDOu0S569UVT9dqTRi0V7FXX1ADll7aaOItkxO4A3E14
o42xeLBr/PerQpqyv6G/lD6UTpk0B6Pw8K7WFUrzsNIn/EH10n2b2hgZLkfUDts+Gt147ft2VoST
o5kah2ebUE13khSerov6fHdaoaprMbnssWbfSmNV9ROniFmZ6rKsWD4w5qN4X5XsLny3oSBVLagb
4yGtWBFwimFbLCC5JsiQnUFc2YZy6y/E+NbZjQ7VzjzkyyKGy0njMNKHltsFyWWr2c139Joe3RSw
Sm5U1RwZ1knVojQXprfU6Djd9JbQrFyENcJAApYzJPcrWuxVvpqcXtOirpOEpfr6NLOvNJ1tXpG+
PhsXWcJh9Qf1WRHsZryFIJGmdhKXs+HUN2OZYq3CqeJyklswnBXhOPf1j6FP3BvXNat4mwvlk1fZ
m8Yv+i4gGTp/ED1G8DwFUkIKhL5eRiKUIottVrASWJAJWmzUIFc7S6VXxEVMbZRacaftBCUndmiX
eiVMZpAOiFBjOJcuJ8+b2Wz65bIcU713QrxwbvrkpUl7P6dgaXcTLBQ9BFpROCH2FX04eImIgUto
bSLD0pxdsaJan6bQb5NSrZQJJWaNE1428Kac4HkQPlYLkM2copHOWV8lPKgntzTNR5R3yHh9Lwc2
4qCDwxmPEE/u8gRe6YrU86W8mVVt8wZYw7iecPHhcrVTdwmRnCYYQGcLBE2sueYSlvQr9H3CKQoX
k+j8H01AeA3gpCq5MjM0aCE5JwbBcJ0p8t2MuwFUluY9x+RM37l5HMcXdqoVCi1jl2+XVJOMvMaC
Nw8hne+HnGWGettzdj+QHKPEYShEepNNHcpoZ6qXQ5oErYYwuuYH4pDBcZksQmkTHzvQzsN53d9n
ExpyWnE1LBUdI9FzUg/OF3vyli9EBi58cEP5w8pEk47PMZfTS2u36rtVVE6/TulREiBXZcPewIdf
krzOSxQZ6Kgf0I/oTxZSfYpI0xkQXUyq43/saSea4zwJF1EJNwilZzmg02y7vA9NfzZuLK/u/LWW
AzZC5d+1XyRkids+SatrBQMFl43Qi0dYlzougkbVHQ3qdBhCPY29GzJxCc1Ulpfc9R0+mTVAw/m1
LpENhrVM3Kti1Kn2ce3Q0iOj2iWmOxbOdnKrVNsM+agN2NHRb6wCt+9vJI7TBtqkzqRzUdqvjOhr
JKqphf+38WeSsEhROtmLC92nweozL8EEAFErclJRc75PaRBQsCR0ZobWaNWKc1QgD7w+y8yPZLCy
DMADMmTBFUSMcfASEiLLtgr1fm770Mfka4Z9HaScI7ok97cmVQOFjwvCAEiNfDYqy0hXHQignb00
broaetP+gsfXex4n12vWKrf5cal7ul9EtbPo5WSHi3VlxjQdkGcnP0mQGX4Efde3UTWm2S8XAz5d
ahA/D6IN1FOX6tV10JWq3RAQIK5xeUzErTXp8LPuLe1pGmVXkF2ezyXNate5bZgsPDjkl3JwxNgw
hr05Li07NbLfCBOGo+PRkClqxnhuHgUdV524vlI/ZEWM1WsqY2o1M479H520J7qpWbZcuF2HdifI
2uBQYiDSQuj2VEyiXmY7YsOm+lisMXikU0fn1idq/dkd7Ox0diUrnPqk90mOxh9trMqkb34MmGLn
FbUXSCFfxd0cZg6trtBz3Q7joj+jTfXUVH8vZRPskd5NOdYElmtQJqrErDDX9e2c6ZhGFEg7cKyc
tLP1lEhqaATA0Fakwbp6CJqp+mJ69C/G/JR4DJPWu88TW96PI7jjsE9yJxqpLY21Qv2fcDiuApzm
TTkhb8VCp3WepPhrkpc0M+kFUunlXwzgKlFpdfbB7RNcz1ad4mqYmEPhJMA6FZaxK3FhkEDJETfP
ryvfD54EHYhfCF+HnWlq1hjRWRZiZeqetjqdLSMz3SSuO7orK2jldcOJ7H5Jp/KaPlt8KTBggkUh
YvTZtOkZbTx2ycOSKO/Vwd3vRUifrIZMrpZFZmny5b73BZlotW9caVJvBRlI5fKqpT4vES3a4TFZ
1PjUjNKnOYYk8yUoFG4hs/eYhmS2k19ynC8RbdFhTkKHmAqUEMEyvADetHlpPUv9Cmhb8NfyUT2o
qbDQ3zBAIwZn0YPvtsDME/Le9aQTsUQua1TwzbOtZeWyMiTK5ZAuBQZEu5PeF2vkEMuu1o5XlZYu
Nc8oxUSoY+0pKah9u6fp1HT7Ug1gWOOpr17xU3lfdSbsiA5gAt1n+lA/mIJ+Bp4PVQ1rb1beTPGV
m9NKxWT1rTEK64xDiiw+irkfnNBuqYRPuJLgOUjT2qM7hFN8ZS1Gd4clvP2eUD+RJdnnpzaFltc/
FwxgD94c9I+OVDVvpp3+pE/JEhcz+mrA5tr9JXSV+kfFlLgOnaYCcwJ+29rDz8q7KOjq7CFPB9BL
emN6d3aScw7OlhhWlSVQyq0THczJxvG0CXqVKz0vBLdvtVHbwXWmJUaNsBoRNL/OiQlFy2uD6nWh
3cG7Kj0Ssoo2T9jN/bTOV32fWrxKcTH88GyXCMcpmICMlND3QrzRbFFLsSQjJjFCHvGTZaiANIhb
fZTbAeSbrGAv19z8ZBByzelGdgZVEb5OLOC4e4Jbrwmqh0VvO/vkN46/q5HpJRgRrFmMtbyAU5pp
69ezVTtPtnkqytjORhfxiiEdPAqBMeDilynquEZpPnJ8DmloqPGdAK4AH5aGlk0vL8JhEi+RNBuo
vGqU2SnZa6z5znHmVOuSmyjCrB7zGZTCYGIZqBC6r5U7DzPPS5tmEZPNeNwJUgqHlW9zHLli9XfN
8OMx8RlBGVAz+gNC42l1O4Fr+Ob5ZJ3plmNUHa5wzGyq2Oa5s1+6a9vID4P94Br51pzFBvUAODQf
omSw0pwhGo0LGnJHA45QZx8t2n5Mu9dOMm6caT/R2+xtta/8K1T9nwyC309nLZ3Jtm1YZDgiyDoT
pHTwq4xgFGW0AGZ7RDXiHW1P0zYf35ZzQQOEXHySNrfFdUxaHKdx9B/j5nzwbNNYnDxySM6812U/
XdEm8PY+pV/kF478h3qe39c7iemQI+q25ZyPggUNFCqgPGotMMD1jF8edaHzyY/912+FsJJ/ifYF
BfDbbzUyckXqY+fIn3W0Y6bW7myAOztbG6xdi/B1/fFdPD07fw64GdiDa3R9lMYM1AlceXu9GRqB
4xWWv65OK46y7aMuXUprSnr6y9p1nZbJJ1/xXCfAJclh4tuhcz9l3559xTwzy3RktLZumizeNVpF
i1kMztqC9vPJt3t/KZ5DBLY6G4jvkmT/9ttpwzK7rhqdtWZCZbQ7oHB9wvBSEZ79ybc6f+h96Kq/
LQKmCV6YZ+TtpVhWMHHwdddanNIVS3F2rvsOD/w/fLlO17ERhPM48gKQhvH2OuVsERITE/RVSMva
OR4bfqPALfzTx8KyEfIEqL3QJSGyfnuVdsb7XCMoWtP7t+5YcD3KKs2sNkWaFs9jWTOwsEal/+Ob
eAp/Q6KEjxfN+m9Z1p/vdOkbsZzpHtVu027onhj7zmnTzcdf7v1PhVYO2biHUgLJqHt2C7OcTcBb
CpJ3/H46OBmwMZaPf7pe/FaunZZAcLtMOM8jJhxVpCYp3PZ6QpzDSRugHT7wzxwj5+sFV0Fm6JpY
chA7oCR6+0NlgkPNKFpr7faLYmYRY+AL5jqkbeysKz3rbv7xvSNv3cZLgDHG9M6VvY7sHEkf0lob
pTFuei2Y7kA3qZ8fX+X9qmSjP0L2h5nrtPedrUqYlCtKQK7Coc68Jt/K2o5ON9zHNTH3S8EQ6GTb
cj95+t6vFvZJsWkzWkfHizT07b0MxgU2V0lSAc3HJQwS+qaxLbKwntr535f6X/DZXE8/ezH2P//r
6qUd/msz1q8vAvPK/wFPDbjhP371k7vnDa795qV+qd5Yan7/g/94ajzvX8i7TBZtFh+Q7T7KrP/n
qbH+pduIih3GeuRYYWj5H09N8C907g7PDqRjWADuyW7xH08Nfw8lJ+rYk5HAodSx/4mlxnwnDOOl
5gHl/7CSUIecrSG1QyHKdANQpmAQdtKPcSic5W5Z3G5t+so8atUk9tOC2GYV12Zwh1nLvQIbkV9a
ml6QEjEwBhL4hHndnC0nd8gjFVjidTBm+tZN+Tucvv2V56l6/8eNvvn39v6nVed3pPufu74b4HOk
aIJaj12Jz//2STdKoIJBzEin1Fz/pkrj7CIISCZC7DFna0Fl3eQDbTmmZkxo6Dge5pzplIV10Qkb
O2NGwmFgAwVus+TcBARdBWKXqjgMNYmH0h2fcduzb7jdo6fbOlBbDkRx6WH4za0c957KA5hbs9p2
VjpdpAE5s/EiaGQAOI5EnTZHnVbUrmm0YZNzcNng2zU3sF/yix7B2Sfb3al2e3s/kMTqbNowQdh8
zu+H0+tVM8Kvify+Uvdlmw0cYKjnL+LglD6dWcUjXAqOFWM/ff/4tzjn7jsuNf0pRIOVDuUY2J23
v0Vd1lWCb8qIRlyu0ZIHwQMF7bxu/ExtWngPpdczXYLqAil0+qopwqlno/3x8cc4X3FdkmhRWp/0
rtwBDElvPwWcTgEi0McwMVkGTRb8ubosf2me/9XGI77nPmT/XgOxA2LR+8tTeL7ccklsc2jXMXAR
jnR6V/8s4DlBxaPoPBH5UndXpus/0oq/G3yOYB9/t/e/7knxb57AmQ5uovMEmrqFEeEsrojIF6ep
tThLs43RLm1q2K9rxRwoHHqfJj6w6k8ODe8MRqcvicOPd+xk6bTO4wVjftmkbUcRFRzHt1XbtRHI
D1JtSIeNSr2/Z7YWh4pgg8FYvtZx/lk65t++/OlGs5lyE97d5QFdVUF3Q0SNEz8CxXhRnfuYW2Ax
GBiuJOzGunbvP77h5wUWXxrRLGs2jhjPc84fafBeUq/HTEStHJx9lsEVdQu/ffj4Ku+fH84sLOYY
qLBRsga/fX5GZeNt8oI+AlKYrueAMm6exXACwGSrjy/1l5+Ra50OKwRYBTggzqp7z4V00g0OeI/Y
vhg774HOyU/t1A/JdNo5S95HnT6Xu1NiPR2jb59c/v3b6ZscKk5nGHzQaLnfftXBXoi/YcgXCct8
7YvmUlf9s6eLZ2Z5OyOuNk2bQIlQzO5T74uuBc8SLAgR5wiWMtCVHQF9q9GHFl54Tx9/tr/8Cm8+
2tlJQdAFA9XER0NTfzDr4CawxXd+mt3Hl/nLMsktwElEicvyxHr59ha4WuWTlrCc2kjqC+fFrd9Y
X0urp6uOhZ5O2ibV0yvaWnQci2QGeMBQ5ePP8P6x5iOwQLN3UpZQ/L79CFkuRI6Xh4fA75oIsGSw
lq3VffJNzyt6l+BT+iaEABknzfn58RhGSVlJfeIqufeQzN69KMXXmt0WUGD08Rf622PFC4Rl7mSs
984X/RzRiN45Yx9ZS9vvlsR7zPCRhuYIimxyhBNmvvmfyvf/u+r/7ethxmNxgHvNWe/sdwx6uhEK
zWFktyNEtQBPVNp/F7Z3mFLr9ePv97fXFgoP2nlsI7hrvLPXttPcxYznvo9KQK/rCq3pCsQIgTUz
2jF0lxImUzaFUviPTSJXetd+dpD+63NLqv0Jn+Bzbn9nN5Mxub+CmO3eta8CtviLrJvyjYiXtZrH
nzM/C0hN8Boqa7bUrXfZ1GufPLh//RC4Zlj/OS6yCZ3t7kWQNJ2Z1khmVfNoWfrdbJjw9sQ93fSv
lHY37F0ID5xfdhqECBgp2//HLf+Xnf4s+5Wn6xTma+PYNqmxoGGe/Q5TRQxDMiR9NA3TDG9JuwwK
vdkWcZ5GwqmZ5ROSig5qw+Sc8AXiODSklyDFGOhHQjAHqGeDOTD6A+bNxQ5HvQ4zudbXH3/Q9w8n
USk6ciAKehpH544c3a+9dHF0g43LfmCoS0QunFTPR9+2TNpnKZrvl062Eo63Ft0wntFzd+YgTXcE
iWVEgTNMr0WRfXGsxvo1aZ+Vt79tKm/rW15yLoZRGyERDbG3K1eexwYEfyTdRmfutbJ9XKzCRm4+
3CCe7ul4yzJMILJvuqoGkGyCGsM9sWurco3RHveAx1AjBx2zrgvvWbj+tBMS/QtoYnMnHIoJYC63
/cTvQ9IdYElTERMt5vVkjUxmdfUjEfUnsWznvxVOJpMDGD/V78r9fDWWcNxouiGvRuCIBNSp/FtF
eFroL9i18WV8ti6fr/7/vp5vWJw8OUjqp//+R28qRYQCXKlfop7q/KLJded2SGL3kyfwfEk+XcU2
DJ/eL08hNevbq5R2diIUV0tkxkvJgCv9vqjsWdjt5VDpUSCW6pMLnv7gn48GF4SoQjOMogblmHf6
QH98LdXKFJt/MUdm4iWPLYFjUTp2L2Zv/ID9hEP4xKzNG/uz1uxZkCJTjdOLhsnyVCRif7PPvqmT
+yIXvq+isqv7sGUXMhvrPhZgXws5WAcTeUnu5A/+8it1faRk2bXrk3VLBQSR8pE0+DycArjkHy8B
5y8lH4uDAmvUaaRgE8d2dj/qRAw17wJjtcFfxyqx90gLg1XQzu0nx/B3LlOu5ZNYfjoAkSdMM/ft
tQqSPQXEHsUamJSrfqkTOMDA2z30JgmnhAgcrb52F+PFgdTP3Ak5p9FqKxhqGx4PPyxl9v3jr/+X
xwESCViCk8nSIP/07UcamT5yrUJF+eAKJBTo/JCTtuSqLC+mNT/mI9KZhKi4zcfXfbdVQ9Njk+Qk
yDxIPx0a3l6Yng3rucplNA/Fr9JdENQHXoUANiCpJDL9fLmU9diATLJoPORF72E06cTrxx/j97zj
7etAocDA2Tg5Zf13P8lYdtYER2iKkDRYr04bP2EBvJa6OW5jT/ws5OjeT9Q2qL+NAFkKU8JdWZK6
ZAbpreb3+6L0/MsRIc5O9R4GPS9JThTmpr/oELVvsHI0tx68tet20Zw9kF5jH9SLjMjZqJ+cqnN2
jbXoz6JdiGCyGwKP0nGk71B3m86ryKui6V7NLQPKYaqOjYRE2NXWypy7auXK2twrO/9e43M60N+3
XiAfqztRNXzIEVVpbjab2jS/dtJSd3PJONmXxbQzkVIdu8aBIDWVzXUFWnabBpUXpZ2RrylGiU5K
pFRXZcEsUSAS60OknP6FkkbxgKkhd7atR8zXJy/j+zWejZFhyokQegIinR0uli73bfDTUySr0Xn1
S0i4phHXu2rRvzp98JmT/l2d5IHooZ9HrivNmPfnrGBuqO9RKEUtQNW17OctPrLg6BRmAabZ5VzZ
uV56P/paRoJC8ZrR2VlZuYOP4uPn8LSZvHkMeQ04BTB6wUnLme/sNZz4L22G/jUSs+XeunGCiyWw
5M3HV/nLS8eDTnXKV6Wj+m4N1uZuzp0xkJAhrHsnsR94Zr83Xvs8Dog6Monocxl2nWdFhCZ80nF6
P9bW+XHJ3GT+qDPHOj/RVYgZ/FOeFWPtJP46Gq1J0JvH1IJE6R/ZZLrZulSoSs1SU3eog+U3MjDz
+7TsPbIBGvfXRLL4mtg87UJUQwvFrczQivQdUDDKRFbvQp/VnT4HhCHUJ+i0xx/SnUHftlZjHO0B
RfrHN/T96mmzUCE/+N0AIWjw7SJWOjM6DilZPfqkRkfRZzd9kPnXfqt4V9w0RnkCigP1Z/mZSoDC
5/Q2vHloaIvDZwBExRMMneFsO0mNWCRxTNuFCWSdbYq8LkIEHkALGuDrYdu67VOTFYMbTqh89n2L
ziFErV1dx05Vvyo/y74lNaB/qfCQIh1UNyT9YCYkktG+yNtmfvTd1Nqb7fSrHJVxzLE6XoDWLI++
NDgpdnHt2OGU+gHBHJWaNlo2Nzeqc55qwzjqXmnsTLOxL1qfPLsUQdoSVC9WXQMn6USzt4bB/IZa
yHuem6BdtU1TXtXKUvsy7r1d65jdjcB9BaZbD+4wlLZHaZuDT5rAWIG/rWxrj2a736WEc93jDW0Q
z2jYFqgvdrUztk+p0ImmiN16RVKNF8J1Q8SYsa0+plUjH+hT4XcgNKKPULKhEO1ywqCwGpDi0AKU
LUNcrc0ljvDhWmkz/3/cTM1FnMsFgPowLS9aMWovnCuM+4EUoxdHdSNBE0FBlYIqpYpyYbRPSPfz
9dJJdVvkiLR9K4bOL7Tsmuiu+RY7HZyYVotDbTA95gI5mQyp6XkvqTkaknCnSYdz7TuLE7VI8K31
0NXdkQBWITZFh1I/nXN15bR4/R2IuN0mb1MyK2INM8t2jgX3wpXDfSVEn4cy0dunZSrbzdBVTRYa
uDKPRma0V8OoYsTe6Op9C8gCOmgBgzfx1kGCwuUUHYFpFXxSdAqVhKNNGxuPV+GYjL4zGaaek5OS
mHoEWyVjxNS6O8CnzYlM6YpXPZnGmxn7Bnhl3HuLIdNjWan8MNtmtvXyTDIzWfBc6bm1GvSKR222
ctzGxlVK2jyBFg1YUjERnh1aeGwORpk6PxVWenIgXB2H0cIJP4l8QVtvmzkzEHGIwt1WTLi793NP
E2BzShNg4zTIQ1i3Vpnkp6EiNOJABVFOWPYqySdooi6hOn7VZWijs/Goz252wCLv78p+WO50Al76
VYYGKgsTWc6HxZuTW8+lSFucNrgsrAGdU559ISfbuGSWXW9F2+tf8f/XF5nbOtiu5ngz9LpRIbir
x4Pqi27dYaT9WuRw/FXve8+I5bvdUsO1XiGUTleqmKtv2VgvlBM17ChtwrdnagLDcBWYB+nEHax/
L8IgM66JaNN4yYzsDtRVe7AbL/g6T7h9MKKqu16jnkLe53dX/VzGm4bgnHaaPe6IMI4CXd9qof93
RWwHytlBHjD2eccG0tpK4fNkVxLZdiAIQIR9C7UzRDmjHcQsASG5ef+F1+RpJC5w7fpYwE6Goa3o
TaBHoggOOn6E3eKgs4R3grONAI5IJXHwqMA83qnUXH608BJYrgiNaVk07zAKDfhCWrEmR9M/zlXp
XpFYN1314+J9N9kFfgS1xk8H8fWxZd/e/v5N5VC4EUo/+xhnCvEhR9PmwmiDVO08/JTroeo56s7Z
JK5iWzKdy5BH3BtMRO7m2hc7WCQB6Ul6d4EKfb4GdRwF1qBuxspUdw2csotY5c1mYpCxMb14jjTT
J3GEPNKVAjB00XH6PxRV/iLBZJORGefaSteEtSvR17o4Jo9226PXzNz8JuNIflMnBZEm9FaRZJuL
tlyLZrGupDhFwNXkgCRhXjgBOh2jyKrQGa0rN3MwMLmlfKg1IjDhEXzJZG4cvZznl0v09InRwLp5
oVvrvke5vPq9CwpB7PRhGicQyFCsMNagNI2fSlTzx3rw2yeirfKLwUrdV+SJ2BE72VxYXpttK18G
mBoqgqmyHnvESnIjHhvd5jPimq2PTjPuehFPh64c9jiOcXUFfr8hM6w72LRPj1lR+rdoIOHlz2N3
R/zn8oz7KfvmzvZ8i0z6Sy0b7ae7wKovG7DN9AyNozVjnSvziRTZeRlvQI2lxl5LjHEmKgmF8Ngi
BcSenRMb1uZ5b+yWqfbvaB61h6UqzI07+/xj5pLew+RNKosUyQOQL8ZkUru67pPbrLRVsPFEMK65
w9LhSGzUxpquNBl9WJo1QLqzO21HN/E2hCNCOu4YZ6tV0U3LviUYZBO3CIrbwgVm73dug3+qfyiV
Dh657+GWyrj5mRsk1pSkZXBp7OmbyVDxN0uz0y5MtSbdyGFqHnOmAaSnTJrbRKlyyLkK+gJ4fiqC
C+Hpr8uI03GcxEYUzkKqDSgFSBrO1ZCr/BvkX4z/sZeTHw4jZsUuI28YBkzPXqEVL4VOmFXTqmRD
oCrOjkBJUlVMhc2dVVxbnjR7QpFvF9g/V/z5auckC+uNXu5lYJW3zIObX0RjEuvpeJAsuF/ywVXW
fNNqYHydRCqC3BCshmR7WgcjzTss8biYJ5cZVNFuCYqRkeI49iIDUxwnx1IPcRy0C5huLT2SOWj9
1PXsewvH/zoRTv8KUIA6cQQg/KAkawrT6FndtAYOzbBofe9hWUympY2jH9s2J/IhH00arULdc+7z
wqEtygu21PJpRFK8mibC25D2Vyxm1apvki/AnC843w0rS0FDD4bkAnvOrYsDAzd0F1xqipd1SnRr
T5fVtyI35kC3NYTGWL+V1KCOqu9mwiG2uiEF2BbXf1b5UmVfvWF5mjM71Tds0jXeMZTiq8Ce+IEw
h8NIT8n5U+YhoQ7fVQoBP2/zMG17wCKl1E7Cb0dwYEvNjl3OGiyWYNvq2dq9mrkJ98RXN1LGaRv+
roKCMUm3E46sPSmThAOrjBgiQ2UHn894Rbky3LCQlmjvvK+Vc6pj+jK4IBcekXQ+3UojyTZs3fmF
EsuFPlYwQ93Ov8+ppp1KH7a4tzPc0JOxmdJyN+IqZgHVmpBjLSwR0/tGhnEkU85Mo+ZB15jNXxhi
lp3j1Avu8cqJ/NaLKm10N21akQUQ13gTG/no4tvY4V7lI8uWCzpF+pU7VHyvOqAJRa17m8L3kmMX
dFTXfrAvnElFfmUO1wIu1X48Ncl6QNffXLfKDkOZsAL18fxV10uivz1elaZqIlkCJzGk3qxHwlBD
fLXeylN+sUf2tu1Golnwx3MSbHZEWs9rVNX3vMzlCsTPsSD2bxXobRENs3UjXEn4SmfYt35sKHqn
Sm/2RO+NGwKa6utCtvONiVa92vQ9fITZYAV1GJDe9nnabBewSsdlJpaYQZY63Rkq2Jl6o+opR6Ub
DFEGuR82TTzcwtxndlziTM9xFd5JMrUvfaP6EU/1fFGWNOzW6P39S3X6D3ov8pMLHpqC0SRkNmq2
jUGcMOdBFf2OMxDKy6kjPVAqh/5fMj7wdy4m3q7DxHTxNKUwxEtSvcxe5mx0stvWDU/tYYSKeYTr
l0L5KG3q5JjU0NHBWTm0/IZJTFwS6b3KqY0jIBEzzKkxcIvUuxhCPDEiBAvGyBz55/KH5Wp1BGhl
xlttLWuHYnCvkyvxoOE8OjHr57spM7K9JQr9JhnjbjuZOoccIn01kCG6VNWaATEUdIOYJeTqFU5r
e35wZYuJJ2hygjhcZCwdZtyVh3UUIXRTO1fAnAoAD7iny5BceE45HNxCcHDdBTMhok+DeYYi1JOX
tWD0NNCBG7VebIKU6MzEGpICNE0AEkazlp8uXhBJ9HZA+s2SxBN1eifcmzlOLR4dv2+ec69Mvkxa
0e5FrlSzSWIJ64IWDdiklnPuCom/PJLwJ48TMXSbDukvlJ05ZpnCQFfdj2WuXZaW7bDdL6je88bQ
6JHRs0VPtB7tBYoihJhLwjvV3dDmzouaql84r8hLo3Nn8aPrPQEduENKuj7tgApnbsutRFh4SetN
OxAvmm+Mos7vstIdQ6Mzgqe0cutv1aThe4J3vW1Oe76RkpWklxk3delnFl6iK/z1ZFIJQlXjEAY9
4lp3a0GJvWS7oTFrOtdOG6lS646qClb15AQEV+H5ovHkb3PydlcTsy/ISXNUYRPbGAHGidUgijiC
m+6RJpaIyAWh9GPm8YJ/4DmbmJiJjUPViJZBzORndvGs3UDcGbacEdrL3+IhqBJGVCzVjFMdmtNL
oxoXsaRvHOJctEwCU3Ld6euHHHD8zbDgUc0zlFld6a0H6VDU4XZc66AXXvQi6XFV8+M0EtJngLje
VcbXpdVevTpPvk6Qh75PAtTXAmTkx6iRdTroRUMgnajvZElE5uA06SXhzazttqOv0xZbp2NLMwll
HUAtshNc5e2CF1I7faTBpfMylZdYGAy8sxY4iDGYMGNrU3c5+eZWWtR0QrTarmuLLqoxJh10uvVb
5QTxwVhA9ySaaNdGTdZC4oM4oc7UQjOp5cXIYoVVr+f8og3BFQMJrB4pWPxNTZN554gA9AkVA7as
uokF+2uXiHtzXtw0dBuDTNiiSruokOW2pyVyFZAUHGIDPBiuFFtsLZS3UKK4i1Zj7yU+DqBRMzl6
5I19s81C7ltyWM1VPJQ8v3XvRHQU6wutCtjveowl6f3i2OlB041GD8nDbo9x6TOuguBVhZPfU93V
FgeB/B7Qf7yPDT0BX+YPdCDmL8B83MM8Jf068wNYa/TMx31sGdOmtiocelqNpkxnSQpgf+M31Bdc
RZTUWzoDsHGp3eEjySLWQ7ys6D9bgGMhnD7vsi/EEedyjuNPEedqTT8SlAkrKuinwBzUcS5dmlEI
FG8wpxPpaZh22Ljlf3N3JstxY2mWfpW03iMM4wWw6I1PcKfTOZMStYGJEoV5nvH0/YERUUGHM+kd
kVZm1W2Wi8pSStcx3eH/z/mOWLaue2mbCOxEXXWb0Q3ttSaRFjSWLNm69BXmya4S/itIinjZ6dMh
rssmZNAo1v0o4FHpre3AItvpzeRHc4vxoU35y5ofEq7TK/hTJ6yTTLOOs8qyaiM4v51XUAaBFyRT
dyAkyJQ2mTxu6GdgZ6Y1g/c5yJ2ij7pLLKHeUtUzYwm9KFxBpnoYoN+vyJkHGICN+6BoESCTAIxw
GgXrKOBVAKI2rK0Bj18S9Ic0JNV59OI7N8JDaQSJzStWs98l8FzIjzyE77UXPnGjngYj2kJrcYZe
7LsmKQ4FK7K+bksPh2/gWpWLQhDnGjPqYIMZMUHqWLrU32hkQlwoKpugcYT5xUzZLQrdkCxygOLh
xhrL/pZkzD7HpppKd7oRYW/2QvXK4kRPcJowlrKSfgGKomQ4fatuSY5FvcGI168HvfaWbuA2Ttjb
+g++J0Ac07Q/8LLshaGp9SKnWLT0OFumqV2jUxQ3bkxqcqm02pdW0R6skUCLLknyKwMR4wJV2xco
NzAI7CFC30aSUFpObh6e5pbATGUZ2FiqBEEc7IQ0km+JQAePodnfsNU/xhX2VDIC+R0aVsh8CH9S
nIiWhR08qr1Ewq3ht0szrn82LsBl0il4dzhcU95Ubwy1VddBaMsH39StW1go1lXgK9lKyYl6QwsI
V0pSdhGn5Kupyu/jq21i1oc4eHKHIWP5joyrGrjJIcZ/fSUXeF/qwtvInfbV8qBGaCl7Bxe04kHA
x+Pj6sRWGKH+1VT6fquQEAQNhn+crQFqxrp/sTspJ+65p0siOLq4ozJeUNOnXyI0qmVGb+Yb0RTV
VlfV5EoqQvdQ+7H9YmaloiIkJblwwQ2gmhYjoCiXXpFKrBS+LILHmiKPoIzTu+oPg9yUYEG8d47Z
sNG0q1bW2RB7nrfK5cb/blIT2Rd8EzjOVGXvdUW6x/IwWCsL79urLQaf4fyQNsxQ19s0HLxr08y7
K0JS5J99GEr3ealFv/BgDpd97OXPIIaiu7qWW2VhylS0TIzYq6EzFKd2ifNucZGtIoo1a5AuvDwZ
Cn2tLCw+RbX86qnV8KCAf3V6O2ofK7zotzxdsH91E/jEzbLx8UI5vDRL0j+QJuT7NMMtvua80y/Y
+oi9awZQIItaXwJ47EoQYhnsAYY+1GkP4nwsm11Y9DF1xxCpWqVbG+ImQmSQbX1FyhQItHbwbxpX
Su4hJJTbMjDY1ViRR3u4CAGZRAvOR/1doKS9uylsMBsLSDHGd28MKFSgIAWMkvQ8poYtQ7hXa6YX
1TLjF0iCqOTMLg/JeTXsh0L4xrLQknw5xon+lA6a90ViawMFAbxvVGTqguKctLKKIgPr1rNMJMAr
Me2b2lNQaZTRzN67Z46/o6K3lHWOxEgc2JrcR1Qf2agZm0KQrquVIQJra+cFLGCWVS5MxZ8iQ3lN
Gjv+VhMVs8J3btKEkH5pESo6knapcEOLGsdGX1PW3vo0G0gdxZ0kEba+QNO5sYuofgqsYsen2/wo
G4o1JThXDOoCtyrS5zyDG+m5EoUBPzAuIi59YQ6GcVkqUub4pp2txz6uV3Eb1TufKvbKYJF9lV2W
6NpI1I0+Gsbr0Cuknje9tmrY6AlCqJZhZ7f7IM3yy0nwuqNeLy0lTzVWJRjLaqG3CVwhG9KFz9+7
0AokJdw6Kn2UYKv7RhbygvIVXjmPiUIFNfIQNY0N5kmbQsGN1GeX63EwgskJP6OSpQUiXcHL1Fu3
BWWty7cD9+Cn3aPnp8olGd7tSq9AWMhD5m8tQBosu521DypxoUJOxG6pbgawZbgv0fI78Aabe0VX
EqfVB9L0QCpKCwTfoaO1sb3Vu6Zfq1qdP4dlZn5PwyD6Wip19URdTZAIGwxeuApVP9snbV/9dOkS
7FO6XLteokw8sOO5LEaR39heFDrp4N0MVkreaTr4T5/3etSpmXPcbpkkc1wCTiy0DHNRVUczKvJl
tVgreqgvpapgvVPsxzSiJh3n16mr5PeEWSeP9FxeWZ7YtJCZg4G402Lju5i20yR5CscsOOrHcvyo
dGF2QWamBy0p9amvGfaZ3/yB4sBgnkc4owka3DT4jxtUOhUmkF8RatUs1B8HEsYIJtN8DgF5tIwx
xW+qacZRG7KYND6kiqbBPkwq/ZBbEBCgRQ0xm6PyjBLitG9mmCjPFc3C20YYw6zPi/Ov8EbTK9bQ
HTcEjN3Sj7p1OWAuUlKeV7oLhogot3Po/jeXxuwRIujBEzJ1IScT5PHtABzBG10HBU5VBe5G5kLg
Ej38EhdTfx5q35HjPw7op5dWOZn6fDbquChJziqs9AZcTIxK0/hO6SE60Ii0rrqA+EezGLTVKNFt
S0Y1Qy4sT02qUqGZAIBjRbPjV4nYeEFFGxxgkDMNyJ76wy2LKzcllE3JlXXqd7aTjMgUcewilxvT
5AeBzsMKII4K/yqJWBfGjGO3EA+UY/yd3I7tczklrJUugDcprLQV+qmY3UzybGG1gDIaKkTH8e0s
+PSw9o/e8Pr2Ufw3+Jr+/8oPUieZ7n9JIk+8Tvffg7T+103wWmLk+p7+/NchKJrX+DiD6O3f+MP+
ZIjfZKgHVBDRuKEOnHwDf9if+CNeV0ugnkKloKJf+iNQSDd/Q7WDMUrHcSBj5+Xj/sP8pIvfUNTg
QhT02wV/Xf1b5qc318K77wZPqI37SjAIImUMDrNOM/Z5woTBhjj+SKCE2QVfGHNTVMmlGdQFPaBR
nmCcRJgrNeRQH0BXv4eya21gDDt+zJ805eBvYeRSf1W0b0YHvrORi7WeWs0EhdzryXjhwiGVM/m+
yeJvXRn/0lkcEczuG0GxomdzRSuUTX8f/mxClZK0/mT52XTO7+s1U9hX2x+fbNo8y+n/CD2DRk/o
k6DXey9JZQXbwBzbpdAhGLea+TIq1WsS2RINEA4CRUsHh67GFJSq3HLBV5qefgtkdZsZkbwC6EOA
J3npnKEmzii5lXE6ZitZjcbDOIzjNoyjQ9kTdolug18AzdZiZuG8UbLPMoqvYGG+2RP8XXEvJoTb
ogtdVk5zQ4Zgv07q6EVG4uIkruatWxB4v/+soFJh5hSkhkMJXmah92hL132u3YyjFa1bK/vWDVAK
PVRCVR389F3rwYN8cRhJ7MFVS+EtqOUnNPv5jV4AXuXcGS/7jkMzR51VY4Y/kbyFyyx6KRNK4gkV
ukWXN1d6pnxJKmllRt23VgxPFb2pRRCJfjEk/ks3mrvRCsELq2BnBs5xy8oVV9VIy9vHe5Kk8Y1k
j1/GjvukGjwjZAzsypvbps5vIrmo6OVwPZE9EniLmYWYVNjflnJZ9k0Nt2w5FF2xSUwLSqhMXFfT
buJWUMgImgUVeBkgyLPJFtTsYLkqxPEttCx4cat+IFs6ztdeg5DYHnTiVLOiQFnGRD4O+q2AUhUK
4oUCRdIuyqqPd4Hr15QMNcogvTbBhbT+gpPwoa6ibGVWJc5rX3BQHKlEUDVbqBj9FsNIWh9hqwPd
fsw+htxgVmUpYf3SqnVJq50WiQiWMXvDRaq7F2EJ59HrKdS4FaornQRQwG2oMeqrwQToa/i8mpT9
DYDjvOzCoFTLstBpCnoje6fwsHQl/TbmsCpTKq8ItS5YmO6wGN+gtyX0tqhvpg2RF27Acnx7N3vd
/P6lvzcQznRZqPfRcaNbtAlRURDgTn/+TjSKNTzTvcb0HNiAMFczwxlCsaUURxaoHp+JgZqrlH4f
Dcv25KBClT1nIrSNQoSy73qOacE/Fx41EJMFLku/qiFZh9FVZxDrWwM3Qdzy9fMrnUvCfh+cSRWr
5aSrOTF6kudN+LfqOcgcXthTZSsBeF0l9BoMO3PN24NAl2e7lOnS5FIazc3nP2EmCX77BWAMmNKZ
aSf1/PHNpqEOPx6gpgM55YAZ79Lzxa5A7jfo8TpzozO325z2gEeTO3BcrDaMhwjW4JqPx0s1uSpb
l4frgkla1KVAUfJURtc1iOFF2dUhwBX7QYeCyRmjewp1cajzF7Uot7FBzDC4YotYK6NO96QrPtmZ
tEqafRG2T1ZmbRo12mp5cZXYhQM8qI7TZcH+xxzyNXxgYDSNdpsOWHfGztzlWfA97Cqau9XeLfw1
s9FatvxXUaBEJzDwG0cHiECacjkUGUcUGVq339brsFBWroVGEZzn90KzHxKPWZPGd7lXy1Fatp3+
0yzKryFmw4XOEubQVyaVXK8WsV0GDof5cJEN45NKwwt29FM0WA8+mkPaMrxkpXVF1hY5KpZP/E2D
+Ura5jgcl2/P/W/tpUhP5D9zszdmm78yFv+zuMb/gVmMnKjefSD/Zi/1FKQ/XtlTTZup2n/9l1O+
pt9/Bulr9T6k8e2f+jOlUflNwZ6M5hqTK+lFJjunP7ZUQvmNLRbvvC2waHKs4pX/M6VR+w0hNOYJ
5JUqgmD+5I89laL+BiIAkATa9emrBPDwln75l/mVaMt/a4t6+6refXXIPZndTCZTNn0gCLSZDt+1
pdKSxiqCbZ9S6u1IOwe5RE0wW+Z2VcTUniP1UYce/BQONguc2lXWTVvH1aPMlkvuVIjgOnneGx0Y
KEgg1wi/hmgpWaT67DIPSPJdKpLqPRCfKlZJpzX3ZLUmEAtxO2zDSj0zj5ycj7kiTeW6oBYpUJfm
hglgqqapo0FcdUEF93Kwkhs9B9sYkh6yNIaqWrhVZT5UNjHJ1A7igwb49rax8sgZY7ofFSDmZR8q
N2Gsdxck4lJj95VHoJYUHMdq2NYpocjvXqUPFrbZXDs9BV0XhD5hlCFObm5UsohON6QBRdCgJcmm
7ohZ97rkqRvTlhybAnCnS7n48zHn69vboHTmNM69wAkUMVtNeUg29FyV4II2VB+jcHjKu5pjYIPo
KDP1a1WAuA4x94BdNYNN3qT2OZvybEF/+wmojBG78RJOZq3jOd8s8m6gNxoS4lGaa8HuHiankiLE
QlEbk4Jx4AyLZrMXo6NIITvjQe2X9lBLa0GhdO8HCoCsPPqRJx1hIXQkz9ykEwsTT4bDC/JsAZOG
xzP7PkYzBRSUwoC0KQC2h6ZFUiOxca+VRZvS+iszNEFE85B/IPcXYH7plf7EfQVYM5kEMatBdSQv
cWL+69hYK8CUHI+fB7jTkv4l77ETVBLslPuy0c+IuT+4uRhKQC6o5uRgnf/0AjUuPikRriopQwhB
mXyVYTQDK0ameSuNf9tXAtuGqK/Jb8f2zGCzdvw0LaPV7cZGuU/6zLDprHhPcHjoZG1H0TyJ3IPa
aC9Yz8yFHCP4sggMmHbOYDGVRiJ8RQgq1m18pshzehv4VSYHRwMDLWbmyXnzbtPYoP2K5YZfZZd9
uxx1X11mOXJU5tiMOK+mWv399fM6f03v6/L1tQaf8uky+v8uZ2X6WP996WHxGgcjVRwWy6Aedj//
9/+a/vd/rImW+RsAhmkRw+1AgOVUTfiTsmL/puIJxobMNh8DBn/y55Jo8ZfwJOC9mwLlOLf8tSZO
mcYURW2m/EkCb/2dJXF6H96viIAosAJhg6AqCBdjboVr1MDDO4bSqJb8neVbqyAtL7xi3Ly7Hf8X
U/7bMAoVFmPyQVMOPH4th7EAiDEOldNI0j6r5U08vLhMHb1/E+vRuYl2+vROLsqY8hrZPGBomY0W
cUmKq47Y10vzylNQQAdF9zWQzHJpJigjSh2ZBAfihT4oq9LybzDLfsPhf5+awSEfiQEq73ThRxvX
q17wpjzUlfT0+Q356CdCXuKW82pw8Jk54CSq3mZsEuHjqXri0N1CgBS4gEwbCtOZbW5ZQCuk4WTg
EMXx+0f7b/dBvIsn92fisOBUZTFT55m/Mss/vIq8cmL24anAMOFLz59f34kb+e2JW5AD6dbiP5wH
1Smd5qq9zQW6ds86p5BHk2ucI4hmXIVkKvlK8VAoKmJH6S6PVLK8JE65UtjfkIp1Kav9LpL8apEb
sbryiww1ep+ceSlPNk/Tb+QbwrhOmQ0e4Gy581FNjpEoKkczdUoc8GyVpsT35qNvDdUL2OJf9b4G
il14hJn1B8/X64VWmHS8km3pEzeCBObZL4tvXZrekzUDSgdcNdYadf357Zx/phgYkU5O7zPaQIWW
8fH3w3KNqFELKyeRrX0zVNvAiBwlE2e2kye7pLdxaLdoCKaxLMFvOlo+RK0kQ5j6lVPa5SsUWiwK
UQDyUovTFezg2Iks4suCIfZWYzAJcsPy7vMrfduIvf94p5+gWBRYp4YB7EImvvcrGE0JE4mdVDqR
bkeXURB26zLJ2xerG4YNJruSSk3dDV+CPJBY2F3l2YswxFRxgyzLiIiOEkkcvLZ5HOVryMYWSkrs
LUAKu61i8E9thCFV3/rSPbiFfZVj+DuQzGM7KNF3RNblK5+cMjnAuBER9eSAPb1ucqkB6e8RmuuZ
1/gON8hN3ccsY2OE/O8STou25WdcSjI+uiGS0E0pvfcAuJaIZJx8qAUaIurcDJeSaq5hLMvkGIbh
siux4layf9lFUrzuzGxXT2E/Hbx2fMTe0q8j6YvUSdEGQ0q69vT+RU9otisYtyxcGmvRbjW1gxHd
1valYftnXrw3gt78cQD7Aq5l0r3BwXb8ODKibuMWZbuDL9Bfq6EfLZuw42yRjXeQ65ZpF9zVxGgh
brH6dJXnfuOYaanvCJeRX5vAeGoarbvuGs0mrIRUFh09slMlMNRlz5KWqIcOVWvgjPeYkLlk6QvB
NUiBSgLpykLxvnlhCmg6bLYsIsbK0wp8u7L16/PX7qMPzOA4MpHpcIe/ZSy/2zeRAdnjwotL5uNK
eozpZB+8sXoomvj1bw8kVBQ/LEtsVAFnHN9P1L2tWdp56ZQaKDIDRQeen6roz2yHp6bayWNjh6BB
stQgqc6G6QAsl1lD2EAux9E2JZSyWVpUcqAuy6w1MVJiOBHxc8jrdmboj27ldIkK8wcQEmtWSkMY
hY4OAw6OlSx6xSJ4oJSrPLvjWebUdBGzi9RBSECbYjWcLJbH95LzqVHHdPOdMTVvjKbwcUjp9x67
GX3UbwI3//n5s/vgpk4Jv4ZJ0c4CpDdd+buXRJFaN+0iuXRkckjWlYb9FwF1YIh65ebKQYeTXhNn
8vmgH9xOBp0c85xtpqd5PKiU4Q/vg650yAiMVrYIL3U48Ejf0FN/PtJHs79QISMw+xoKfevZ7G90
koXmoigd1cxfvSH6rpnd6NhGgwKv9Fags3ddU/+i1ZouqyT68fnwHzxNMQFMMMoSvsAncnyhJOaI
2nXT0slGtd2oY/oUwGTLkM+i0VceciW1l5+PeNKp51MXFGHZAlF5NiGXHQ+pKEXJSVEqHLW2jS8C
PoCaVztSpZh9h/huGFClSprId6Lz4B2rZfhs4dPvapFtDNGNO38grurMj5pLHt5+lA0DCT4KVM75
AxeNhAzA83kKrrypJ21cYQ3fc/tH2RMPYo49cYZyc0O5gQpWbVVndkUfPgYbXoT6Vgyni3n0kpsu
Vuuyo3JsdOFdbXeOi/RKFenVoHovsN281efXOz3W2UcsNMoi7DiYLKgAHo83CMmDWWAUTjzaF2qR
faGKfeY5f3RJGp8rUy7Gc7K/j4fwMDvE7tih7Sp9faPXGJNUqeTQrgxfPdnbN9KZAd+0FCcX9deI
cyaSZ/tpX6YDI2a5uw7Ro13nZR6ukrT9Xhm52q9L1MyOnlnGyiRawGAr14joua3UK5StWzs0elgI
1fc2UQ8EwZPMZWr9NjSD18/v/kezC5IQVnahTIfA2TlkqFBxpW1TkDMWPplxf+g0TIWhf/ufDTN7
qVA/+UI0beGIqpBxKEZLj3yslYuC78wkNm0P53f+/QXNXqcsxgtORELhEPb+AxH0GpHcddyIpzrp
zz3lj77UtwWIDg4Hibf59N160FGH8vW4KpxQI08r1S+jxhYL5CFXlWUcyAPYSVG8JeIhc0zDu/v8
ln703QBYFbSPqGTzn+OXerKPdzJ5nU6ipvI6BRf0UiV9/vU/G2U2KWd10Ks+OzMHO9+SWsF68P5u
6xGRA4cvalVMOYgqKGMfX0kqGnImcjN33LEndS/FUzwOdyk7zF1vMg+5QbgkaUfZhmmsoUDXHz6/
xnn78fcfABuFCY9iOh/D8Q8I+8Ht1T7hVubKt6yIv0h+5EFT7JaKlzz2RfRM4sQv0mrTdR0RoZBk
5wBB9gffIVWAqTQt+BknUIMs4EljeMqdzChdZyzj12BU7tqUkmmJbXdS24MaNOPboiu1iySJOmzW
UIQCHTcvR8YVdY3otsIL4yhFeuFVhGlmVRtvepsybC76FeLzaBfrw7IkQQwb3nhlE26+qVvpvir9
aq943dMglS2tDGPfo4/FFl9lK9gkkWNqbrBUtFZe1Z20gyU0fiVMjeOVF7hE2lXpIuGJCQmiqpAU
5A8qznUzjxAuaNF958fkBWb6TV6aO9xY/oVvG90KEZ1COmNyQApZX+oyrh5SQ9dN7T2AjidaK9Iu
+rK/9KxAcyK/KJaaZ0HPHUW7SCTkITpVE6BlY4X+IYg3rVTck6OIDhIc584dtWtUd0QpZ0G69qMu
fVZGW13ImbsvkrJzqpHEtsqyLtvMiDfk04olqTrkcirEKupVrVxENIumEsyvxDBfgiq6QuC4CyQg
d15lo3/NSmM/tc13maefWYQ/2GlaNLvA4/BJUB+azZe97RZuVRD/WDb9oc26Z7sf75QqvCHC+F4u
8FEb3PszU+cHyyTELerGpqrILMizb93F6GEnFLGduoO5ORKivvA9/1aughvy0O/4W/9gQA5c6BzY
bEyb+OPvzrRMImz8InfSBlFHHhOwRoIZQvfowhrbAHBqeua+npR8mGvoNCLNpPmHsGLeBtJLdFHA
OTI2mYW6KowhWlMYCu/pFdT0OILvDT5iR7QRNArbuE2S5DXP6kt+Wnrw1HzKI/bjnQLjZ2UE/XBN
Bz590SVV2zQKHUXimhF0fj49nUz02uRyZXZCA8tBYE4cwecTY5mRUzap8u1Y3XnIjT4f4WTyYQSo
q3QKKTSj5pqdozKlzOj3talDiNUlcpsfk+AhMYMzgpaPhrHwilJmpgdGQ/f4cccm1DqP7F7KbUi0
pmDhklkWZdfnV/PGND7aAnA5NiVeTjFsonmfj8cp0r6V0pRxqqpElQZFoiacVbrP4u7KdsUN1vKd
i5WevcgU4/mqoB0fSvO2Vsw9SUlyTM7kub2COi1iJz9KB5qClAT1qj19fO/2CiO0J8uNjdRpFPt6
Cs0iN0pVTIAxJO3lxkYK6dnY5qoujZ0Bnpscc6ernkmGXaRCWQQFYb8/EvRKOMgWegHPg7jVKMtX
pD9epJ1+n2bjWjKjbanhKsSIYRi7z+/ryfQw3dZ3VzDNWe+ugMQ4w6pAajhxDdGjACeqOqGcHVQd
zqhaOv9gtAk+L0/aHHRJx6N5diMHZi5SJ8AMI4/X0jAsJEz7ffYrID/y88E+ejORc/7XYLOJKOkp
flkBg8m+WPQWSZ6Qa0zx5fNRPryBBn1VGirTHDR7L1M/qiur5wZCGMC2ANxD9h2PXWOeLjOaqJ+P
9vE1/TWaenwDWxhI0IQYbczMjakNjiE9+er9PxnERE+uEvJGEf14ELc1izjJ9dSxpGEtpbdTllZU
FmcuZfpXTr4dtgN/jjLd2HdvXtyOckXkU4oADuuIvR/f5E8YUfT/8HJmr3jOmtoOGgO1Wraykh+x
+mzgivn8nn34GkBoRfJCjwrNy/HVmJyF26RRUiePK0fqfmlYaDLJXBHzSGChfaak/+G9+2u0+UmU
QNygqTpG88C/9p69GqmmDhYEoebvopv5fMhSMkmLUN6CtGYvgyhkAE5i4GWQ1SWblk0CVOPze/fh
S/1uiNmbUDWeJYNu5U0wVfijF1bWrHztH71vlLsnkQr1xfkTqlItwCPAa9ANB/BOnHtAFMhbvzpX
2/vw4bDqTpoQOqPzKq2nD2YqTJb22ggWvYk5SKkxhqCXS84s8acjvSEXwUGDIFEBQB6/dKma23IY
WKkz6Vg1rdhVFaiporkGXHXmaz1d6RiKYgsbrUkCNt+7tmruo6phMnVxjlvF8AT5yvEV/0qK8Nto
l2q1x8B6ZtDTF4NBKaqjXaVqRi3v+Pqi0Y5FQkonCtIRL9oXO4uvkrMqotNPd+rCsR4hZBNTsfJ4
FFtp/NFMeF5dOK45Ba69MEG//gWQnqON5wj/H16TIbA/yeiAqc8cj1ZQkjG8gu+pllCscTaMpW6d
dOeAjB8OIxiEVjmd+TkjttMzySMcgxkCC06nEsqRpMROGpvPP92TIw3sW6L1qGfqikxLYnbvokh1
bfQuqaOpNXYZdSGBX+NU04JFllt/lRV/uxGB2IvWB/tAsmo40MxGDNUsjvxwSNjW4rnPpEse6aJo
0jMz7PTPHK9OSB4pIusGJQxCKGafljzqhI9HVuJ4cAjEysrl+sEKBVGxn9/AD56TQpkJOIY5KaXl
2fbBS8n1rG3UAkmm3+sGvIHOuOGgfab+/NHl4HvhiER0Db672fKkjFGsxaaWkIAYlUvLqLAgSMaZ
hfaDDwmBEroWFAKTgnG20AI3bXOQN4mj2sPaULPLRLYv2wFvGtKMVE9fPr9154abXZM8yCSXmjLQ
km7YhGp5TTrAYjoC2EUA4rx6/gfDoetA1jOFNM4JlfgsZbUVLcPlCKYt23ENUK8pAbMBGdRjdWZR
/GDCRUDO1I5XaNJ8zV6Mwa78jnCdxOlwP/aK990Yi7UU4AkyroJh2DaDuZW8c8esD1aUo1Fns1Mj
yCMfsjRxFNz0OSZlBUDQUOG/S8T68/v5UYHOYoKiTo3GlQrZbCxUrdFg217uVHlyaZn5RdNLNZwx
/xpOWLUsLZPw33DkBFWov1rJutfLrll9/iNOPr83jjQ1cr4+Pr55ko7eFZpZg62g3posjRg5cFcb
oDyIy/18oJMPkIEQslOGRNZLz312TNYqomw6CCqOGiXfRGhs6BKf+cZP3phpiMnYRlwCWL15j4d+
PeylsiUcoFOfqq6sln6aPsVYi1EmBIup/i887dasoEx9fnEnq8A08lTpJVkM491JrTcKY1sD3eSA
VrqILOM1zt0Ho0puMDvfGJkxLNOwPXw+5smb+jbmlPfJ1uCUvh5ZpTXKtcLVRka5HNzxnhzstRlE
9kZ3uzODfXRrkdIxeU56v5MtXQPfMestm8XaEDdS2MCladDGamKfm9le0glNLsR96Mtniisf3VgK
K78HstESmL01RidY4XQld1plgXRsnRNWTh5v0KzyQlkbw+Roi6Ivn9/Zt0X7aO1jZQXhzgGdaZxF
drb2RW2VVNjZGXW0ox0LITEbNCz1yiDwHjNs4MGisfrkJRD1FoEF0QbRHoxCi5V75LaYdrFGVpRs
vA54ildqRCVDHzDWUkaVtQx/6HqOGkaq1p7UVcsU8etSqcp7MzJe7Kh+NvNRW4ECfNSiBnqJYl+N
QPecSrLJb8/877mmEsseVjiKI2uPhKBdNGAMViG42HVZFdbCNEt1MzkSV21QnFnl1GleOrk9iEmA
BOBsMPXZvGXEuiAN3oV3Q9biUjYlSA1TCzIn960cM+NCHxpzk7vyxTAV5QFuFN9iEiKiKh7vZUzZ
deNXazNLdsRphWvFzHRuRgGgINCfhUWmMpnRNgQo/9ze6WTF5MFa01lBoxGPWWL2YGvPCPwI2KiT
CeLbe37PAhSqsuqq3ru0cp5qU1jWmW/ng7bptFqyJ6BGQr7VfIsTx72Bd8jInLLT603T9yZganrw
OZVpRAC5TOI26AXbkNxNHgfKUlforYWwYxbktz8CHn/pu/oJShCGSnm8DXOhX/RFXKzlzD6XjfzB
qjSVyXH5s/nD5D3/5PKKOEGzofgh20iV6vBBS13SrOG2LgvZ66f/Nz8TKLQS5y3KziLZdmqnnFmX
TiccFn2q9RRWielCT3p8SujDIldcC0Q9lop9PMhXsuwvo2pY174C8tO+hOawpHJ37ph3qhbBuTGF
u07nBsTw8z2cUfaB4baUWeMmDxaSYju5P0YQx6yl7L2Urn/PWwqJpDngPft83jlZi2dDz665qALF
T5DVUxIftpHb76BiXHZ5e+bIcmaYuSjMaglRNouIj8BuD2ncoPupQGucU1ycLPjT1WAKAYw/OaDe
4hLelbc8ORGNFnIju14vd64osn2s6Mn683v28fMiU2USjavUH6dl8t0w6mg1wlLCDKVetIEac+8L
/UoE/ktr2zew1PwFss59URZbtbH+0eCT057yEIckbbrV7wbP47amB+cxeC5dTP5DOEo/h6huFkP+
neimnRf6MQCIh3TIdmcufNr/Hs3C0/19N/bswkOJvTB1sMyhFLYx7HhdiknLS691EKu0bR8KPfza
W9JDX+WXpBac2fKcTKXT8DD5UO5Slziph3ip2Y9dZFNUtF78QV3g+d53xbUah1tiGc4MdrLXmQ2m
Hd/nUfIk+tZm6iRpuQRet8B3veoAhifGudDDc0NNr/W7R+rKyGfpyKZOJaeLrCPwi9lPae9U9GKf
P8GPR4LrwrJAUW5OENH0Ji+EwgfS1KQQ5UKkk4qxp4M8DlfkvrT/5CYitkZagaXInDeQEjS5mMu5
MoIGmk1A1N2inPDtbpmoq6bX/q5px5ge2rvxZtsEs4vaRk14aIGX35hKd6jKYldY9VJW6+0/uJXM
M1MXiq99LvHD1agqceimjgJaYpFb+pWN+bEkDY/t4Tk5+cmedLquN083hW5KCdOfv3tD4NqkLgUN
rmvA9Qsodh2U4qqx63VVjLswxuAgaY+fXyAemdPPnUMwDI4pc4nSzOxzp9HGPBOx6RKq9A2euAto
IBEblrBlXKXrqpP92yHvCcHRhh9YthDC0nxdRcDgEEnI95FU/LIyzAgE87XY4cNyVzfoMOIiv4dP
JzbmWG4HqphFph3CXr0FqoDhMhD9rlX8dtMFBsFqbdEtmraXl2xKJZAN+SM6hupyIFjeqVEobbwy
1fdukoLy0ybSoKijDPKky4NB32xDYNQiqO9tYv3KWtnbltD3L7M22ILbu2kbLdlHjLSC/gn4opMv
lEazVmOr7d0uqjdtZTc3YyoRNWtH2xaqm5OaXH2UjD/zOtKvClf/6qGDWPXoZwuj9BZmUrcO7L9H
LYzjy0pRvhmx6O9rjnPLzPbGharl47b3SgOqg2tuRZ5BYDTiYte1UrOSpDqjLRjum7HfZjl8OzvB
OG7GTXHrh7rlYCx0r3U9URyMTTjFBbJ43WCbL5R65flUwANXfs6r5qGTiKbTUvXadMHmKYRCIcdU
jU1Z5QKJuGo++4y7DAy1ok2t1QhDpOEAPLBb+dHo3vqu0S6hlJcXCI8t2syydOGXslgYk8ik86Po
VRq14kLAZr2SS/ZKTe0uhobsPPv/sHcmy3Ej6ZZ+lWu9RxrmYdEbICYGGWRwEElpA6NICfM8uDue
/n5Qdd5SMllSV/emre1u0tIk0YIRATj+4Zzv5KOzdRMzv/KdpIn0yr7o9dTZ2u6oX4g6uQJhgVyv
KsVFZhvztraMe0slL3El8jAX91g0xTEzPNiZLW7J0S9ea7tsr+el/0pfCMrNDbBEwkAK7GXcW2AW
t+CRDwKd9hbuYsWhXagQPYB/CABBAvU2DnMLCBmGTeQGIGaTPHc2SHCtg+bWNwhD+O5EDCcmk6MX
gip3nlXL3ilkAThd4qeQxHdaRBznkK0jpqIMkfv0KPps+GTgS4Cr0c1rDpS5N6rE3XhQ8Y72NMhD
hfwjgdJKHmjSPDf+UO4SeFzAQ4S49Yl5oJ2xJlC08al1lf4ktMQ5JiDszn0MMBd6MO7HIZChpuz4
yvU1exPbtvji1D3YMD74YaujqLZ2uLH17jDDIz+5dgdfeRS9U8OYUWFg4sL2knQ3W8twO7GW2QOU
IdDSdYFpzQ50UK2rQ2dp28uKGd+FpsutMwz5Pm8alx9vHj2dcIFKNC8OMMSLOHfuaPyKR+SoUJNn
TGsX3eyOL6nVQlIhzDsmCHEQ30jjACqKLXrujoHZCX+jKS2PyBN5yJRx8OiwYY2l0RjLbUtuYWUF
rFTS0T1K0/nspRLyoW6sqPzSC4XnLTf4nPpIJNpu6vlOFmuipeuGqd8YEy0GMIS4jOolmPel0QH5
zon4vYIY/TLqwt3GIw+EynJya2MSRAIpAkfQPvEhs7OK0a/JrYo5M3pCwltDDUAjAWPt9AW4qeMn
/RK15oCrJEk6PLreJHIotdLTt17etDcapNaTVwXzcVhxuzsjn+pt5WrDfaZAV9plA49LVHb2Kpv4
xoP/Gi0zKoVmBj0+67F+q4EWtkLRcJIpcMZXBLZczGK4tlIyP+OufnMmTTpRm2bJtu2CpY+0zGGI
Fpexe2EMTjKwuukBP9bOXWFV0TDS8gWMDS6LIhVh1cb2ptNkpBf2TTHlZ9xX4NPtXRq3T22fv/WK
wAAv0C6dkqScRD94rAfhNavQy7C+el6aRlNvPGkL81euvWQz+Tnin7I8KiwL+2VoLn23vF10xegg
6+vtAgttQ8H8jIR82Lhk9sCyNZ7IXBm3HU/qSCXW2V8RPRJ6yl6m45kh01vlc13IQYnNLJILI7Uh
nwr90Sz542D0vvNCuL1xH43dfBm32aeazDAB1HRcMJf109PgVk+pThMJHImuTm/vRDDeF7510irC
hoqxufIzbys0G59KdzeP9lfbw1shXGIlFoWOODskfDKGCm61MeYWewymfgg1VwdxWu98fzrVbnL0
/NoJjUAYQB0nrNsdkz+3T6/iGjTtWH3LZz7A4DFtCJFvQe6RdsRw9qKx0+9xnuwB1p2SEle6M22l
P30jWu0TzA8ihwxxXOCnMd2j7HTx+eTWvWdoly7YZYMuShFtz7T32ko+G3KEmx6nT3PrnqzCgz4g
8i4SRX02reUQuJwFMinrO83gTocw/WjNsP2Uvzec5gZ5L6ENo7Migl5JSJ45XZNrqIcbEh7JVRhu
7UI2F5wzIbEXX7invhSzijyv2ALyrb8GTKiStLrU+97fJ8GdG7s7tvD+S9UUp7FyT/0I2i2fuRxF
rx1UaR/H2DEOFn8grbg550labqDiyo2n94Q3zNuMgmQDsRZbuHLHyPaXvd0Nd0Utvwk1wMhHbg1r
aRCJK/epO2fDs0rlnAHjs+u+uY0bT6ZbbG3uLsmK5cjI7fuvC6QPiulV8ApWBpUfMbTvtgWAiPUa
TWSzn4fpmATOvko1rED9Tu9+G5e1Dh3fdV68FvMjfU37A3rw1wLQblyRjx6v5VXEqLjxzlUvZv1o
D+0C03Zg7GzZG8XwqvV/py1cG8r3L71aCH+EnqFuf9dw2nra4Wak2xWOe+EbMyzh6URswm8mEes7
eP8yP73Dv0nnqj6uMxKr96pUlwmM5zko10dCeyH8AropB+WUErts+7/paj/+Gv/ro33fo4BR1vpK
EG1gxcGD0Q87p253U1dfm3L8TQjsRx8lvRCB3GgQsVutDe5PZbxcnEK2Nf0zOUhrwXNL6Ro1/nTz
6wvzgz4ZZRwQY5xHXC7vZ8mJ2RjusoY1TGICyvJkloLZuYXsotgWmvebre3fp3d4XFHOw6TE7mQi
sfzru7IpCvUxXpu8KYvYEGubIU6/jl2F9K690OzqqktXvGzJex69+3Luf7OE+fBj/ekXeNc/T4D2
hC6ZC3QZBvXSPdh4eUpf3P36Y/1gukRryaYHcwfSovdkq7JzFw5emjAq+vTIDL8LuRV+18J+NF1i
yO3C+fQ9eln73bESSxDImmJgzHr1yptTjKEYPv3PprhRpn5j2tVjYovD5GfbX7+/D18Z7/aKVmAO
ytv86xepu7B1wHtyp6vh6OrzsWpm7dD7xVeY7wy1uE/CWFmfki49ut7vTHMffIu8KIt/5DsBv8W7
3r1Iy2Im6YT7cAHD7o6q2OUeELp+MuzfnDUfNLbwINYJkolMG63VX98ouWtzRmQNZON5cS5bp1p2
VWWuilCRHQoHY80ywNLxl9H9zSLjg2vop1eGk/bXV261mmcJUX97b/Dh4leg6+39r7/GD86zdSrB
14jIFO37u28xWdyuXDIOUkeNl7V78GFB0i8gj/nNC31wzKzoTiZJuAxtNM9/fS/Eh/RpLHgm+UX/
bHZ3vSreGs3fdsQQeYP7m2P6o8sDtRBzXZz7bMne3RaL5pM1R/m8Z4kT9aO766Fur0jCX396H3xB
awNoYri1VwDp+mv8dET3GXHZZsrZyZL8S7/axRz79v/gJRhSMz6GmMHZ+deXkJA39Ray4l5m6uRW
VRea4++E6B++jZ9eY71IfnobiSlrNw140uSVE7EIg3b+uzH4B1/ISjnCUch6nRro3f2KE0G0zCsQ
VQU6sLzsbW7tQ4pCJPz1x/Xx66yMFjpRfJzvPq4ZFbHUXV6n9pbHucq/zhY8MSy22/+713n3kXl2
MndOy1ME+4RGiOi8Eb7/0DFj/vXrfPzV/PP9rLfVT1+NJpSFGYv3A3blVvesW61Kfze8/vA1HJAP
K+OCiNd3n9mkYHAF8VpoePF2is1D1/+uJP34JVYTAnZTDpt3T/3WV75kUc5IctSO+VhfzbN9+PUn
9cFJxixxFakC7uG9vDss9RkwPEcBUsQFmm48nVZ4awe2dwl+t2D+8N14bIxQ7VnG3zZHRk8mBl8/
inIKzR8Q0xx85b//dtBrIBzly/e999QyI2iKYC6Qc6KMuQ60pgtnf97Z5JLpuf+Pkui/aYwPqv32
P//HazPVY6/uviXZX6nUDl/sv6ZLYdQbX/7jLnt9+Zkwtf7Mn4QpKIkcXKsyysLhjHTon4Qp7w88
ZNBj2VJT6HJH/QmYMv7gBxhxoWRCUkgv/l+AKQf0FGUUfIpVbQXK/t8BTP2tzuY2gP4D7hGZH3XL
+0fTkqAJLWbf2yrpGw/p4FsXvTsEm9RoxbmeSH+d3Sy4ataJbqf0+Il8Jf2WjI7l4acP7fyPpuxn
nu4PldjPvRqTYe5IB+8XOAWcTu+PsGqZ9FIFxU40SMxClOTjVmAYPmp4g4kjqhR2x7Q0r3vWp1tN
c9MNcy8m0VXefC0YPn/+9S/E7opD8y+/EdXyKvDlLFq5l+939y5e0wGGsLkFP4Du1q+00JFzc0Gk
gnFpGsFb2pcykn2PBsN3FUMm2QyXfjqvaZSxfrU4tXEmiLaOyGSwns1Yc8hlA5S0ZAbz7LrcTek4
lpsMd+hp9BK5G5jTIj3R7zpnfI3NIdk25Txd2UXun1hvpdfNoPQjhe4YDYw5/LDps/48oLe789KG
7rLynMtgIvWN5AWFwggR1HdL2u6+Kqb4snSK+kTP40XNVF42gn05OoyG8Cto+cKyX6uRGefcFF/4
RRhgk0j3xuCrRmGiMaEcbCtKvOTOLstLGST2Yzm63S6zKvlSGHa6kyQYl4xBO9169bTis5vr1yJt
P4l59HYd667IrLNT0aTlM6DsPipbI71lLZmGHjoEkLoG2SB6YoW60amtGPrhtHTOsrEEiXlF6gyf
alEXkR/UwwUkasyjJaEXgQLqlEmbGDF09MR9F9ZNIBr7lRF4tnVa6TJDz1+rzicNSfmafhNPmmA6
SeRa2BCwwOpEV9/qJWFQX+kpUXhzYUZj5gwT3Ha3t19K0WXlEfDIlWakWXzoAyMqxIJiuTkMM6BH
bX5sHf3Z9fj62qQLworcMkZ61VdN9UdrSL8j88O7nI5b9Lvw0PNRPyTQUdhDNP1lrg/uQbHS3Ei3
fA3W4CkW3SwhGgLClFRkTTvjqbatcT+RPBXOyiZ6yxGXeh6kn8zMJ+/UHrVNvqDlmBd8u431NQ8I
VZYEYrGNqTY8UJFEWmb54DG2JT2ou0rLtD1orXrL2StsKbuQgwjITmRJ6VFPCJeRt4dG1c/FsBhs
OuLx0LYFgRhFPh7iwrknL3IK7bI7eJrO1snzyaQV3o3FULsMNYKkL3SS4LaMJ+7iqTdFiPA8gj+j
n9sSeMdu8uOAlYVrn5M4UQeSbINPsBz5SjvNv1panfCiboizY5zpxk3jFvKcWWNdRb7y2kumKu65
Luv5qmYfsV7JyJLIsCkcJ5rMlunwpLkLia6DSC8bjrdNZvqQwmtCnEJzUi+Zrhe3WufuNWe9BpfC
1rzTkDQWjHGPzOtL0LNtetPMjMkgn7oaZj/Slc0ljIVibSLR3vhh2nbSuNUbRy6HvulVs/Mcya9j
i7Zku+AXNyLeSScpnmHjX0D7f9Cz1tmMc5IxiJriSI2kzIDBZGbvLDr/NG2Pli2cO5UvY5QszITN
DsI6cYo94P7GfCm9wHjhBGaR46RlE8Ygbi9mtEApYzTlfKnsWPump950G/iT/qDNuGOtuELNEcde
96Y18RI1ZtHtNBB4YdmTC9jrbXoaDdGHnZQmcQZkduc+GZ5xnKUEbozL3hJlNUWOTLODH+TLE3uE
KRRSH8hQcYO9H8wH0xjEwRSZ970YObQ3uoFHsqnn7j6tQfFH/VyRc9a3JBQvrYHdM2cvNiOIKcLc
budN5uB+AqxOxdQxPHYUF1pv9oIAOlcWdzVXGGcal+u5ks74mBbsAMJlJodhNzlafqE7Xlw8LoFw
yUy1jMrfs2DsxyX0U6dvvy1+R6B7rXIjvs5sO98FwYDVMx9zd4vRUYcvQzAzCcrkTVasft1Hr9GN
h9irr0wVs9jAd3T2HdH3IRGgPjkGtvGszGWbdQ17hL7up1dRGhO6NyIgCfwUG5HrgMUMVrdNG7QW
j9BcbHLpiG0+DUbkQ5+4sFoPWXY95RVXO7GYXRDL40QQaL0ubIwHJKsV2S/zoNgSeAnuRL2X8kxI
7hdLxkEd9concVnV8VVXeOUnDGzwAKZsItqdfKz8VXnOfUbcCutHQUBujTbszCUjzx5S4ytylNI2
7OpU67fD0BoPa5/8oGX8o8AvnQsR49PtZg4MPcEYZDOeuk/9XhzwKlf3Cfnj96arnbnfxUXK53+a
7InecIn1/pQ4XrLNBs0gfYAdnGB1fSAoveJLrBHCN1O2l/3MBT4v1Z3rzvPG6siYCPPS86+C3Lpo
hUU8gQXq7aFfOuuzYjo5RZUMjPE+W6WWo6ESApXnvEDyOLJ0TBu/19nU2O3JS233qeUcImNzavLT
zEdMUNQac197DviwsSK4qZuy+I7/6/aiT6soqwtEeU1b3Fr1yM6q1s2JDX7v3tL8khaLW7knWrur
/W3StctN7XYeegLSCwxXs8qtW1jlnVYnWxOK8yeCn53k4KiGY2CW40OlvCtpzxaZT5zMKvMbbv2Z
KPWSxI6NPosG7a2YJkIH8+Kc5P1yW8+NFQaLpe8rt1yuKqPVHhHal5Fm6nsthnnIuorESbEIAHRF
97lcOn+j4sb6bI6k9OlTHhyaWOs4HNL6Yejz7nPS6e4JjV5LNFQ5X+daH+zcxGb5o4hDYjA/HhLf
d3eKx0bGgteazQiegwcpku1UnFucWln+TD9Y3MGOwR6ki36bLH18uRB6eK+bRZlH7oTYEeiXZl2k
zWSxx88ngeXbG7qQEXP7ORiIwItF96CTVP6SISTi+CHlj5vBfwGvzKNOy5v0PBeUhiynh24nifI9
KJEmn1yjnlnY16Z7a/XdJMKlVNVTDqQEtQbxwEcn1ZANE6HEMtRbI9TcEX6zi7I55oGa9kdnILJm
Q4z08DZKMvGK0d12Xl/sbC2Pz/1COJxonSEyDKu+JdqzPUE2Nt9S5Mj65sc9aC4lF0tak8o12KzE
AYyTesLj6jKPp3zjJ0o/mCWJyVZH6pFK5/Ios6D9/OOASLJsusqDIP68lKyvyzGIr1ujqywqOJ07
LS7q7EIRAm5HXFnNNibTwg3z2daT4yKsyT7pTWk+9GNFEsCcmQ/lNNgZKdJ2SwJzkPvWeB+TLPCW
zQTJRT/Stvhy5BkAz5B9SpEJk6eZk4p4mDWXe81CZbip/J4LXrI2BwMYU9W5tSnPPx7LnTnAT5uH
Lvhep4QrB2gO3upBDybivhLbeChync+WbGcdxULfk7FoecbMYpVM3zoC4JfLXZUk6twPo79hqySe
MWwhSJ2T+EzMLiNa1qOAEq2x/Ww1y3CKA2NmT9fZ8vzjD6k0uCBzx+K/LioGi7tFtJ8hlvTkfE4O
IbrY8ngDPyLa0K9TLaSydV9Tpyq+u1ZhXzAq48dsF+2IXyXQbIQ05BnASPsZbUf7PKBnX+NRcvTU
xujyV+7cflbLrJ9JmE72rex48az0u2icCAAMh5zn0H01V+Kyb2Z4J7bOwZSoiT/17Sk5BzkWjh8f
P7HzwY3tdP/onf6txvx/LwPh4zCF/wcTEFaOxr/uubflf9y/lPPLW9P/3HSvP/Rn0+39gd4aayZu
WouZ66oz+19Y50D/gzUWbR1q3j9TEP5su+0/aIRX2hFWhXUmzADqz6wD64/1Ikfl+EMNTDP4Ltrg
V1EHcIve9ZYEuVDCk5vkmLrDimLtPX8a2Hn2IhWeVGeXz/HDhHX/vpBa80J253IYnSIud3rsjNsp
aLmjhn49cud5DQMyqv48Jk0ZuZlfks5przfEYGqES9a2oz43xqAuXZegErKOEnmTkN2bRjpeIbgo
o9zUJFdSZZfZl9i16rvBtRbWaGlj3KIyo/kMjOKybar04CUJKirHlG5YSewPHruNTdV43td+DPKN
6WTLhIJ9dvNt3Jf9dloXrZixdespzTTLo0Ep1HOdD61a44KIX40H7CDdUmm3ea/G28qonLc2qzt7
Eyyp2YbT0MHUm4gbh7I8m92IG2RIUOEsZXOwStoYgpKdwduUTuYFh5z7dgw7sPJkNSK0/0xY4nIl
TaPYdQzKvmQjg5Ro1EpIUaVtN4iDlBM8tSKxX4rKUce4rPRN6dfiC+1AHITtQGowGembHPdDqAa/
fdPqcmEubCmgrkW76uH4AirE+8l4U5pWz1uX1skAFZFvMc/oR2Tu+1qMR6oId7O4/nc9ccaHxKys
PBzhc9CeEQrGY84EL8tWtzoZpZZf1y3JEGiO3zCLSKRqZJIusBQaDj+UQ6RQOVqpf0p41sbwSKaG
DO9BR2o0BykZEHDFdDU+y6IjuduutQOEezKxWyJciFnuN3Fufq7s0Uo2OEfIJnC069hZYVLzPCff
Y8t3AMwxLuhysiWM/nqgbzv18WRtxj6wv8x9+gWVD/nKDlHY1Mtk0Xhal5KmV8Ls7gSy244a1sra
I51DvSO5YzxROpyUO10nqzvFKyrbjSpfDnwoYFCg3AA7rbRS3cZrLVLUULRWCeYDDu7i1RnBJzlK
VNneaVHecAH5/tOyGBaDqZzyq1UPS9okOywA7WG0xngJq9qHbWWZqD2HcSC0oh/ptPPUQZlY5vcz
jrK99J0oqdYG3B/LbWXV312BJEqT5rxNBk375hh4f+QwvfQ1QcP6ND4LU92WDcYmvTCAvRiMY1K6
xSbXciAx0xdXVqTO8643tWF97dy+iuzUJVvLxNLiDYyCOppicul9jTy0SV3ACQUQnLbDrg6GfiPQ
asoxuB3ign+fG/VD0QXfGIXQ5jYk/E5Nf26dsdg01AZhM3CdaqTeLyAHYfwuI6gKkrw9eybIQNO2
rW3IgyiS7Ashwfpzb5vLLjGFoH5Tbb0vXLOgZTdvG0LZo9bPAWmMBGabUhc3o81sqqzcR6K8ymhs
pPUV4pHrhLMxWM+0iQ4XUNxPAMP9oo26mlBl2imXbsk0zv1EmjtoaJtrlfBH5TS4vDQIiiN46sjo
EH32riL1wNfMYwLXfVvENpku7WSjNjGDO48hQeh1jbHtlR0wlOqDUNnJsGtio0lQHblaHNJIBo+m
XEcxfqs4gPRl3kpC0Ul6hIH8QJwzKpKly/zkWifTbWcr3L2alVnDBqftnd0uNSZwLx7PdNpIB7tu
eEIqFt9LpYR9xkuCfsxAN5dq2dfCBukjdFUcAyHkuSxz955tpEOaqqAkKbKUSIvEQG+4DENzn7RB
/DDO3nKwi5GWuB+HTWF78LL0dtjknBo7VDgkrysGdkzFCBMuJHti3Eu5i9ATHUyt6gC7Xi5vZuqS
q0aWrSIeiqqcv66hfqJdC1sX5+fiyPjIcFeeVZ6juScrdv7mTOsdhlOCNEYC3KJA1vH3KaAVOceJ
3z31MAi5g93Wva87bzCuSm8EHfjTs/ijUe7fH24WT1idtZqJR9Zbn6I/P9xMxGjKyWZnN6cgvJPW
Cjt32upjcawykjsTwkqKukAD6NMdeoBS22LCVoe9pOmeihrXt+svw/nXv9WPVcjP41xihQwPgwJZ
bXSwUCj/+ltZOZCtFHXbbtJSK5Ja/OSU4nFphBu2WWchD18ejIXueqpfLS7GsCsbQntS7YGQ92tG
+JTkTU5puUrzgybY2E5VhTprVguBPuXt9B2lwRKibj2uF8+vf/0fmMP3v77BRhzLMQ5n1qN//fXd
3hvaJLb59Wmv9wFyCRQVpwTh7I9QxdWp6wbNuWSGQKxqts9L3WbeJENLdlvopftkjqsDQK7fbKD+
trHnY12VR+uC2yXc5J00wNaIhxqhN+28sh0jpEiPZUp09OjQLCdAU6xx/scK798qdz8uZP//TgVb
JSX/uibeTy/jt+ql/Msaav2RPytin5USFQ96qjXLC4nhPyticw06wdrp81+4D+tf/VkRe3+gLAMN
skq/EPCsPsJ/VsQggdnSOsBxDOQ9zr9TEoN15gL+6QLHUA8las1ecrGj4G19t18uRFWgIq8LJJky
29Y/Hnfrg49i4qxnPlXX+lAs8uS7vz4mda/XVj7mLdqmQ56rfmOuD1XA2wkReqa6iJ0iuTCJHffI
8/G2MXwbQRZlEqoEOxS0+6/mAhNf2S2lpxJfGnK2w2SdBNfOhIjXpgTRPCeCInFb+PNzXTF9DGLx
wmoMpXZB6eRJf952SqWRKbrvDoUq+n+XPFfLjRYIm3tyDogtgdYCcp6yY5gUbGF/aMIphWAUku9F
5WKsRUwNPYm0Lf0hWQscK/OsTbkWPWPQ6WSkJ3ZNKF+PCJiWunhVI1BOZSiLGHbKJ3OW6rbNW2wg
FkDyQ7w+7vwfNZeIOZLAgV57rXEt18LMX0s0m1pt/lG0+ZAW87hnxrBWdJZoh0uGqdR5NcEee6Jd
nS/dWgr2a1GYUx22VImEpudhVRQucHct+Y7ll2qyDYLrZvUkTDgcEiYQJh11OWwMIOlhsZak2Vqc
irVMLRKBwSU72UO/7OzKdj6pSn1ywLofOqEnpzqdqouh9s2Xpq/Js+gUEWkZj+wvpcDJUhuLyT6j
mIejI8vPKPDVm+N1w1Vml+4FKnn13HTa8NVsuhd9UbW9Vu/pGHpW5+i4vOW8h48xcTh6gVjY+wgv
ymWfXQhHC24QifLIcpru6DE4I5G07h5GU8ui1h20MGPkOrRm+bzYcXXhF8a0mXO2OP4g3DcKmyms
e7d4yyiUqL87zGO3qVtb2mkUHYO1UZojcAoe/Iy+Ri3fOk5aHJfZyZ1olvHcs1GEyIpIKo4mmXT1
YW40ZPSxXxY5tBCzvksTKpEQKSkrFeExzGcheLUkjnWFA+OOlhOPxbyK/GqP0f6SMmHp/SdXlNcB
Qb9Ks1RUteWTOQo6OtU+UlQOG6tX90xU7Xs2VMWl16Q1bVVX0CJNgGuniIWCUk8ttq7uedbK5uR0
ln8Ye+olp56GJ6mJbJcZmffqyzxvN0zJlnt3KGIe+nyBSeKqJ51CeSdFNd7n0EOvqsqJH/SmCva5
5tWQQqTjE0/pcHvkqBg86G53RdOXN3LIqmdLccuWU6NfefqSW9tsUnlzYyqhcT1UVrarha89NRUj
m6k2NQZ+tJDc+yjlU75DLd+zqmsOTPRuWdl+1+NZj5RojMgbAy90/ancLIZhEJ1iTceM0TzZmdVN
GcfPhS432uzpB03cdA1xp9KxiwvkMBkamOrbJIXE/GPVu27Wd1WObZS032lj1VoRosgNIru25YNR
styI82jwenNbV8luyknXibPk2syHt1i3xm9j2iMTzgKDLaRtF4DJL20jTbVPxeD6aXbVJ1pZDtet
XWSOIpZvWHK1HdjvgxlwndiE7zeIdnrEcHu50N+/WlAl3ljqus9OU7vneEjtY9cRi9KPxCVrbMqS
0cf4QEyv5i/loevs6tAuPQu81Vl/m2fO6ziyeMhl4EYmZrQ6nYNtaRtswZJ0fhzS2LqutTtyepQb
xa7XbsBciNPUySYsaaKuAr9IP+fBGN+QDTKfiGJPThPLb2hCOPJ3aa+519U0jN120KwdWOkrKbKr
MfYu/alvQinrr6ZiJ6jTTsxDjbm0nSIzkxm7qf4e+4GxGQL91lkkfo3a2wgaxshyuiIacil3WtEV
x6b73Mk0yizMqAlq1Evg7/65L+NsO6XtfBPkVRFq9OiP7EUmRtaI8EMctEyvjVzXwhHu544GsAgb
XXoyjD0Pso7RNNkWa9lm6ZfXEkmfbAcmwbol5ou2ak1mLan1ffbgZZQT6+BpVrfrmQn5xz0R7jzD
3DAu+b5YjLvs2rI6k6HTdezpUEE9uGzocMcYN36p1Yda6vLNdIpyJwYWn0GijKMcs/vBBs7rsXd8
sFyW9w3RIVFLAbmBmSrgjPTJAcZ6suX6bSMjQyka1qN+X/ZaczcPDHcy2T3rGgF5Y5d7W6Y+b5xT
O9k1Got87rhGkrXjTUFFunPaLfejETxivvN2dZ3uqA4KbI3lU9JC1m1sOkTqZAU7U/VnBINcj1KO
UcnStO/jKwfiyBfAUqTjADULrbjUd+4i9kBG6k0jx31siHKbVgHNqIEi0yw+2eWc7Lt6zoib6eTO
twt/N/CsfPDG5FNsdz1f8+BvmsK7n8XyvMyiuJ+HvGNdIOYrLGjVwZ6HNGrklO4mDG0bahCQCzYW
LHxu+Dmb60RO10NAs210pn8Z5C2MFPDBF7D+1GUKHvBAIksfsYBgJgDNAT/1qjZgRrzNFNM3T9fp
hmcdDqx26+sTQ5FR1aRUxzdFbFwX6xigmYZ5V9ggMn1vJoTXjSV7LA6mnuRBNRZMAeWyyyf7eQG9
YmX45rq7dJ3U8wAaTCe3j9ac2jOx3ikDxdBURptuWbjp3qNWJgU9rj+bG5NJyfjCHq++UUFzUxvm
zqTEKMr6kaPbCW3XZO88j8ZWZhrA9D7NweyYDJFm+8kYTWcvhvQgg+Bket1tU+dQ1md1shobVlaS
8gR0T0jOdqC8NzU2LSb+Ic3OBaaDPoSTXpNYXu9ygUs2e+Kx+sKECdueZCEQFPS4XBa+ZFequp5a
C6SiPpKRHjO8jFMW7uqiTrOtxBo4zP3r1CbpKZkDea+J9Ewpepfh4d2l9EgHrWj0jTkUZEtZPO3c
TYnPK+Sa5+Ty4+K1a1LjHi8tbclap6X5FJoidj45ok03iHLUJmmm4F6YqGhMEXxzgqk+TcbAISPt
V8mWaNdIr7/V+mnmIRKPLQbB/Aolsc4ifbJnYaabQKks304lhfe2nRDej2HTpNly6vvEnDajL5vi
2kaq45yKiXVKHlqOzL0LLRiFCJGSKO3CVmk+PxWByIJXpQaFEe1HG/Df7dLDr2V7tCS/6pcOTf02
9S/DzwuEHz/yZ7/EwN+yCe0la+1dv+QHf6BS03UXixZKtR+Zkf/sl1je2TYWgLWJ8QzEfn/2S+Yf
qMh4TjHN/7F5sP+dfunv8wD40/Cy1gWZxVDjveofyelUpoXr7uR/sndeu3Fjibp+lXkBGswBODjA
VK5StpLtG0JqS+RiXMzh6fe3qt0zCm5rPFf7YvdNo+G2qGKt+MdpmNYg1AsYSOek1ZMrS2uwxtIq
0IUuTWY+uGV1D8/qHuYoN/c95qS1EVISx7Fpkxvi84v3+BP8511RLTo+OBfiGSgSRsT4Nk1beM1g
tjbr9jwY4dcsLEIkUnkaFUsYu3QrhyYa1zDw+R4MU89O4SuxTrqEGu31UJuuZ0EXemV1zY0W940q
CWjsla0ZHN6guS/NtjXIk4licZmUcysVP2IDLJa5SZJVwnWpK8PwCYVegDc6rmFQQtbhU80mwOXX
H/Unaeak1Jtc3vgGDGw8by6tTVxb+LBHzjEwiDdj0bXDJmT7xlRrYMIXncB0rs17XyP4qtY68TV3
pNYvminmokCbnjjTWjO5EDgXt+ih/O9oQQ2OZXL9wW/6DpSzHA8DF6Pz+K+3+dYx97xeD0S8TYZ5
vExyL7+lBnxd48Q7QIcNFz06ktsxHuvNXPf2xRxIf5/MHpHRZRt1y7Cj9bENS3HiztOw+eC3e+dF
BEXCCE1GGlgDtN2b9+iWKN+4NzgbSXDTddlWIxig7i8HI8t3uUj7O1DYC8RmIR5oeDCnGYwPPGd/
Zuy8QCDwRdHbaqrIJH4PsI032nCMl0TY1pEFbu9q2RlVJ5F1iHJfrhM7/RKhUVpNVjYtIbIpgnYa
GwFPmS686HaGtSJauzBO0mo2OZIP+qnmEElUDcPS6mc4iagvP3Pzls6i1KadS/op1LpjXlrCGbaj
bXC7TL5NTW3Q/qEnd4TtZUpult41Uw1k7OE7H0x7WWvDDYoLeVaBlyxs5Ec9iXKduImtIeaoEJk9
WTal90A6rYFENjWzTaiZTrlEXlOs3LCLb3O9yrZ6rZ8SnjL7C5R/YNAFZdcLwhL6fVkHqbaIplZf
JqTK33chZxDCvQmWR18KLJL1MtgEvb6mYPkGv+644uhuGuSF2H8M9Dt+84202omKmpEGCp0jYYSv
rZ5Hj7kMHbIeMgcMRMZD/qRpmbGsjNTBZMf7Hdo6XHgygdTsif+8QwgxcdOgHXKmAuZbgBzzXMuV
mxOzwLY1u3AtQ+7tsTOWO82umocQU2eSi+LUx2q1qaY+P3SpiV8fZGRBmUi9z5vyfCzSnLNp5aAe
7OmFdjOXizORbbLX5JoIvHgbT0ZxSmpc/BS0WYqep+r3hiavLWrtVnkNIAQBuIFeHbZ6N81fvKyU
xA67wUVWBTX5170AS2qC4Fs7hF+RR13Ok95Xy75zrJsSjmaJUutGDKPMVrE/BTcJDW/PUSaT+GTU
AvcchS8F441hLDwTQRE12TkSk5R3T5DneB6ZMTSNVpv5tTuhnpsKw906dYmmamyvp1yWm9Sr0GM0
dDWiUM/aBbn9N3GcBCtuTVO3pDVoXGR5qa0DwZc4mmW8Qahi7LmmiyeIZGcZ6EW2LgcfAUSpEguH
r1kcaE+UvxKpMDYxsozy2xhDQrklL3km5WPtJm64BfD6Q5vgUsIxQHMx1Bfh1D5ywDaXYyCdpe9Z
2rJEV1QmUb92NFI8aJir1nNSNCvBQMqb0TzpZ+0qrpKrLHSay5Rzvl273T5LZ2vJbAw3dhe239PM
uXSMcN4OVXyey2jYxES5EiLi/aH1yA5x+qu0Ch+yXeQUZAaCb8wU9dKkQGkRxqFBiEVjnox9GD8D
gzTnrDU6PFsXm1+HmQiY0kjdjRGW/U7MxPwuy7k2KCKNpn091FzvZPDEVt0sCEpol4zJ4UJO6bxJ
E9HeTBk8VlRW9mVFcmIBjUOMSdavZO1guxZgeKdOVaf5wimEDvXkjd8IBQkerbyy9wgk3S+Ic+xv
hOzZiymwxWmYQ/0uuywlFUjQZbZzmvlzaQbzOWpH2t2Jor3wq4LwnOk+aqCLWO+cU5R90Y6Qs3Cj
ydK+q8nruI7j8DCH2Xwo8zy8Skfo8zYfVJ6MuzNUxUsSTi7JlIaZ7NIgAc1wEl9AlJdx95wyR7+Z
mKh8UiJMgBK0NDtl+d5k7cDlakrIfRuylRHNybatSVVBKTPK+65A15fkA9MNx36XTd2z7szDOTeM
eu3MdTGvyzCDjY7cNLkMmkZbght/SeR0WoeDt48bljESU6oFcs/qELs5LWIpkNXUaOm5P0fuvUDR
XyyrYSxOSryQXBrF1yaA/6+1+DP9fdW5HUXZjntrFy/yoTgYHiIEzx+Cm6HAT826a3xuUM+tdLNp
Nq4bc4TS0VoGCA1iuXIicRHFnbUpPXFfYmcTK9onG7nK+45YQ5sk+jbqNXNhF0a9TWY0xqXX1gfd
amjLUJckxkS+JAiujBYIElF1tXRHiSZf0Xcb73OjSr4MiSFu9bTQn4F1hzOup4/kqIsTzwnkHoWv
czMip1wVUWDujSF5DtzqussCmo+C7st8PFHFkSw2MWbAs4je4H1Kmj2Kd+mdVR7kTFH34UXi5lf5
3N4ldsl93HCv2abig2WNiKBpN9pnQbDRzVIe3Ho4Tdzmwpsca83191wCUy20pnSWqajrvSdzcDG7
MnapmL0TO5oPAGxXRZd1RDUNckHaAMUQdd1qVz1xn4RBTOHSGgWyx1rEmzAJHwuCi1Yxiu9lXrnZ
LpoisORe3tdVVD4YVSVvhZlka4SC5SKw+nqVdrazhUGkhjuzE4yp9ri0CF7ZuWkQMUFtcz0Gfby3
48q7sls/XsVzlW3yDJ2xedSh+rV90eUJEr3KZnyz8/U70lbSk5IT3+0UFITB5t730dSImxC3XUIN
hDGFl1Xfy3WNyvF5snM0kejJzpLQQxs9OgXX/3BAHUEE41PRiOzZi7rhvOqraFXLFvUpBDCkeqFf
jkkgG/zzWl6uTGIpUUpokgti04cjyuSoZfkyqKroFn409rRhcWmtN1pXNP5JLXoSpAo/gvyt+km3
IdR7zdi2/VhyKyciKLOuJ+HVwPoizAqKy6oqXg2aKMyF07UEE2UA7tm2k1b+R8HmlJ1VfTJ4J25u
0ath+JR3fSe1BzBX4F/WlzoDqNwV9OPayODyNr0GcMtPjTDrWJ8CAOPeddr2nIzY0t1FVaM0Hoi0
or2uj5W7MQerHkgJmiAANPKQOPJ4DUgl5NOZYQ/Rc1dP0ONBHA/XZsn56pxh3nGBqcmWHuOCBuVm
JEpn5H2YSFWJs0QnPXAAS/pTUl7NfDWbU3NvG5lx29XwL3bfZ+ey8Fl0J0dbeSIPHvS0tXaoJ6x1
kfgexjw0ex4TVsbpGuaHincCvaAKKPdZWl1sr7t5QmnVN9FEM5vlUf1oQKMvNb0foUXMci7XMZE+
ZAaVHsxS27bJrYetWLvM7c4m88mNLrtYpJseRcuaVUY/wetknVmuBQE/lOFXD3l2vW5NL5Wr3uvL
aR3HgrUpqBMo3lGikwCACA9aroeHFGRGX7l2U+xl4Q7XVm9XB7PrSP4ydbCKWFDcXtvd9Mgb4JzW
FaHkDJq4n8uqDA+x6DmbzTkVdSZZQhT/9o+yMcWhmzWjXtahEJemGVr3JYDRN87a1pr/ZX5E0jWv
Qy8qCA7QSu8JeXTsLT3R2NdePlzXikPoyuIur+pyFQbiXvDesKIjvjaTc0q37xvFRMy2xYFVsRNU
RYxrM20+91VvnZbFBIeh2IxOEM7WFnoKxeFWxWdCV0SyS8zZhwQZjLLYybAPUZRE2SrRSH5YFpQQ
OghWnOSQx22YrG2v6/NTmZHZ44RhTMBU2pFeFYdtY16JOaBCfhZ1+n0ICNjSOV5+B1mvTnSfOEYg
s3xfK34nhugpFeMzzp4gz8yVN1rpQgAR7HOQPXV1qo/pQusTeKO2hkGaJGRSciSWDMUxuUe6KTlS
T+i+oKFMs3gYhqF59PEefKGf0t3bHrxVk9bT9yxJvo6K0yqP9FZcSgR11P99c0XJBXiu04iypdZ8
SJCu7aE3orMWr9xOhD35CbVzayk2beiis0ZpwgylDiuOQjFXaca0VsnHbKUkK2g9J8XJjUGLxVFs
hrod4RkGoeR7jhgNMVFyzvzNz+RRqtbx60cwfJa10gyA8gV0E2cbBG6kM7urHMlbj/QNeFs/oFNG
DhcoZVyqNHKxU7UXldLN8SaQ0NlHOV14lNaNSmWHf4SqLYR3pVLg5VapoQFXurxAKfR0v72ywggF
XgENu9KTIrxPj3o+rfDbLVSMXHljl19MJTSqsufQZeYuyIYFkUww1/h9ry1JYiacHrh4DHxtBQ1s
LI060Ba21J7w2I0XaZPs2XdZ5cKifRZHcaH0ej/Yda7deqtaa12ChYq23LVHWWKWDfjAvCmlR9Zo
52Yvbdmc8c6fC10A/waTs7PKRl/C/a1rzS4XPqr9obHiveYELYry/GpoRbZKU/8+qqp5icCdw6RV
P0RNNCB9Z345PbqOcMyu0iQ1zkZiKG99c6ZgzFbqyugotMwCO8T9EOQb8rLGR1aUmfigdAWpjaAT
6HTPHUsuEzk4i8Dljtp0fryPWIBXIYV7EFWRD3CEy5DBD0YcucSbBUEMhqSEnyLxkrtsiJOlU3Hk
5PDdn5ZKIcqRLj2xlWq0asfhhnr6fTa2SFSr7HrCbrkws3xah9LlMoc6qbiVczmu4tHre3R5jeMS
36ZZ1+2YKqiYjE0UrHpeL0Y8Pycx4dsLs2I1DybDOR8T21SttNa6MUmmYscBfU0odqlpqtiUgvJL
8oy8B8D3O5m53rmbhsljnubNST4Ewxo+KObI2uwjtIC25qdfQ0Igna2eJdE+qK3kD1SNzX08+sNG
uEN0x8FWOymDzjiVeT88dHNTX8xT1ax0iyoy9Zul8V62wqJqvLA4PuB6+0MfIgB6Y5L+Jq9dr1/q
bAbksyFXU8EhK4xb5YlIzOTpCJ/8H8T7EcSrAl3+XhJzjimbydK9ksTQ0/5vTYz5CXUa6X3ELuso
slWdyg+VuI+AXPnpdSW3AghTkSd/YbzOJ9ROVMwT6oFmzFfBWX9hvPonj1xaLlT/lSbmtSKGYCBX
5eYAR/F8lDFvLNFeRuE8kFez4VJUgZw4zjXC8XZjhUX6Afj1TsWFGl4nF8gm3wEV0NvcsdK1pJOI
oN4MXrmv8pZw9nQL9XVj4+lpPe1PCRf6q+ip/AlE/P5xvHLwUtO1Scp5F2CfSt2fBuHUG7ezbuzQ
X1toZ7gMJxQ1T9nZnGTRBwjjO/hTfcl8w6pSHt/8W6C2rxunnjqeGLMFsQpX67Gv1hyLP4rJeF9i
ypNA/rH7MxKU6f+1UM/B0ZsU/lRvqihsdoqBJ3cO8TVe32hia4/TE8dr2hvsjRIStaemfrjmJ33r
bfkln9xtwaHDXHhDMONZqi90O5Rr1wz3BYvYZ6fLqw/CQ95nNKkQFD0Ay2KMKXbi9W+cmDqxw0GU
bRKtPXPL6nTKm0svCibyW7moxHq/6kH8Fzl3ljVO1WH9Ylb+ZDS85zLUL0DsOZNNVe69LSUbuUxT
B+UTzmTge1sW0GYnJbTkJmCPEp5WLMid2QeGtvQ7bTnn3il1VYcxch50fTgpo1Fbtvr8BxllH9W7
qo/+ChKGwAh8Mg1Q0sJkvE0lEH6MgtzL801opkQpIqrgyh5ZuCnartABvSRVY5YEtBxMh3xF6hat
D4Srrg9v9eqXYCEinYE1BarHYtKwgL3U0yoQHmNXIDY5Z7tnLcHjO0+TExOKoCJVcaGVi1j5gQuR
5V+1sL4Jh3lehdgQC0zxQ7/u5cx7M31cxcpfDOCib+h5sDeW1990yobcKUOyzwxZBbK84U6zn5Rp
GWbD7C3/xiZ+TVuDw9rQs8RaDdSdJZ65TqaEpmnqG+buFLEVPChUjP7oytbrP0dWZjz6RYa/ISRM
gY1RC77WlWjvG/65x4isP4IrDhIKuJ69VcEVA8XHVMFPFCI3OW+G06aRCZLoruYsEbmNkpPpBcG5
eXHuDRPHhZgmbfq4uaoRstmF1dJr6vShIVzzrk7phGYZSq01vuZ5W7TZtEFgrG2pLy3He/R4RrKd
Qn1SHEgfgMMn6d5za3WppN70nADRct2nmnzKediNReayuyh8PzuNK0PplvX22ZwwnyxSww/Ps6Yt
UZM39SlhsrrN4XKqnEXGscFciH6m0gf9UnZq1V77HJsDNIBWBvdFgMt64Y1a/qXw3PCckNnhzPDo
L+qNzNxnrUirhSbtflVIC5VYi4svXdYUnh3iuAVs6u1y2hVZCNnfYPYjpiLvCOTMaLjgbOYGwzaG
ge+2zeCDiPiR7JeQi+5pMDckLieZ2TxKEWsXUefIaR9TdD6RKYyWeo1wElyhHt15XoZWErcb3qVS
jdkA84e80us9rZySD+n4KSQ86pNq2nMVMdI9ABHWE9HGzhJO3NvgxEiXfSVR1VDtm/sXphATmCQB
dOGqt1KAgM4t5yXqOaNe2FZ7a0dOoq9CqxkfTLuCwSeRgLjftDYCd93P7RSdzU2kJdwJEsIL0jS5
ClNbBggQc+0mKn0Qgpqz6aqoONiuu7RHlu3MPsADdJNLQBsxwSXB8Z5zNWq0s+99BdSUCrKpvcl+
8o84TlMBb6cK3JnB484qx2/PeHHJc61AIGfyL8MJBZiVRbdEG52lCjCaQY6kgpC8Ik9PtCzodsIi
cxJXtMwwwgA7hUAoCwIMpoVQoNTQW/hoYWyvJgVZoUQ3146CsWwFaJGGMC6JOE1OYgV3ZQr48hUE
FiswjBMlspk5KG8bBZXRFX6vQV4tTWvKdpkEyMgVtIaS4VGPfGwzCnbLFAA3G+B+jQLlqLxFOZ4o
qA6PP+96sq/Kfjz4lvROBgXsaXHcrTIF9iWla6M6JP+JtIRzGgqttWZ2F7iDTw0FFuaghlGSj/tE
r431HLfzbjb8awqQEVvglFj0GvKKItMu9NLijm5E8XpsWmM/dF6+b0tfnmUjrn4LwoyQbQBN06U5
qajMSxOoE+80mKfg/u8oHFTTDQlTCTY6JuljpdBSvbDm51EhqDnr5pdaoaokauervi2uiIV1EX7m
rOS5wmENhcg2vJOVVCgtgTIuFZJdvYWzA8QVCs8tFLI7hlMtV/II+A55dm87uoVvWlyYChVuZAlA
7PwJFnPx2NQKQa6BkgchAJVhgIIbsBt7RYwJBjEDqbFzxKG59JwjyIo/p/QQeYDVdmraHI3K4sR1
UqBsPZmd+wr92XlIZ9WJUJg3CTrVoY/bblUKrk7aUHp7axpO5UCQTFFm4rzIxdUgsMYt3COsLhXC
7jdyOO8V6h5rvqUkZA1kyECx0xGcP+L0poLsXWngdouyfa7gfC6s3iaSzXdoF2/pm3V1YaS1LLh1
6doWsU333KLnDRbZkSeYpzojRYJjxUIiq8WOezfiGV7r/jif2qMbXBV5MB0Mt63I47WTg5d41l3M
YrGlCoQIbACYU6OlYciDyUgVpTEocgN/xYygZv4c0Iq58zUUP11JDoVpjVBCs6JHKkWURB6UST7L
6UtGYsghU4SKW7fjNwJq5nVASnS+EFppnbbkibB5CvYVn1SSrSTD+7IqORUmiryhCnzeGIrQ8bOM
ZBvPStY9Akqc9pA/A77jpTB1ytJNRQ5FOGI27diUayOZrUVoxV8BX61t2nQzkjLFLLEloy4SQUnl
VU2kQp41a1+YuJnHkJ8fx/NWKJLKtqrHvpgPfTk/pBLeFOVotpR8BGCE8LFheVr7efE5aKyZS6x1
aXXmMovj+iEno3lLjDjkrSwBJepobfSivpxj9wLG9bpQvFolzT8iCzt8D5iwjguVWR+m1B4YxhLU
B+lfj0/ISbIUc1n1OCn+rlZMXogRnwz0g43OF+4q3BZpB+Mn2LczdyiWvM5v+RTHcJ0FxYOy1Z5M
L/kcEWYdBeSZSD/O1tJgb6MxTDy5lTT2rcL/RRAHVx2BSkjv/JEMblxLSLRam/ADoscXumShymy3
2yQAAy7G8EcAsO4hPrKgkwMwPCtqNCZxH/GZWdtfOG245/OskwLfm0yZ3dgl2a3Q2gp5NdSrVBws
anzrps/8riJYqLsMW7eT6zi1a9KloHLriO5E4JLsmra2/ltQawJRXZ12xCSVQpxw60eLMsXB1zmd
XRua0SbVpyWb4Y6ZIPYoyYkLQcBZPaWOzxAKYqf9Mk8kHxnaMG6FDCOPlni0BwvZpUYIWmRjlhe9
hVPTmFuM8mTXVJwlhMWZTkjiYzAeojwi/TygA9RMoypfyqk2L5zYKS817P1oPPO6vAtdbdRX0hnN
Cvo8KKrFVAlxU4oE0QBZLfh1G+kmd1Ze0ABCqEfz3HQdMUmDNhKvZKW+KBe108ibTKkakNJkhBgV
3cqZM1YhqRmnMAX2uQD8sA+pFXkhVGIyNls3r50z3xfJd2QdWbSGprT2jdtap5Qb+DsZ2e3nYMrp
chfsz/cJa8CysdvieuzKtZXb44mEvakXrt4WLFl6+HVKieWEphxOMDgMO+Q/8kxgCnhE8MgJc+E0
RfAN/NV/zvJq3DLK56vBi8JdQSmCsZJNZW3xMmPXZ94bG+LIp4BSlcwj0qOYgY+7bI7W/pROl4kZ
uf1nEfhTvOqEnrMFus4q8lqLH9sk/XLsvECi+M6j9cwpRy47k0WmbJP0NKWRhG4xWYxfjIFYL73q
nDhYhW2rW4sa0JVqb6Im81swyvEPj6vVk+z86doA9g1WbSZr4rCrwFk5YwSuada6/ijQ0Cao2fXy
uoqKjDwM/OBIfYNucpasG+zCUxnwXYZT+bnKGBDbCfnuOSIaYMgqHzMUmEOxNo24+aLFZvCl4WfH
a9Rw+cpts/7K4I5wEGXcfi7ErG2zKWtPvQFnZIOHUXCgniuUr/Add3IibIZDVUecOy7U0UEkHJTl
3rbKyObcOVvzMg/H3r3LhMNBjL64M/OYrYM93F0r1Dtd8NUmm/yYwwPbOCH4iB3yeVjhVViPOCb3
WBI30o3eZHF2h+8YMvmY8xOMAZk/NNG1d+kxCOiYCeSpeKDKVElBtgoNGlR8UK6ChNCZTvyiJMvM
SRumi1GYRA6ZGntgrXKIrCxwTqJjOhFX8ep6VpFFyTG9yFBBRmaQDrt06naVPnELUXFHowo+8lQE
UiukIO9I5SK5KiLJ9It41UdBuXdVgJJUUUqxNtcLDg/xGQh/z54A1B0VdbUJVQxToAKZzD+zmVRM
k+8T2DTHRDf9H0BYtKKdPgIIXwARqwdyGp+Of+v8ISfw8Z919/gaGvwXMOgGn3zwagA4eiFBxZSU
9Acw6OmfgORA/QgPVYHI6o/+AgbNT66JmDdAmmaAKqo84b+AQfOTbfhAKyhAlTTS+q38CFNhSC9h
CWAlbHkUtgGggUu8zc/XfGRRROxxZR6M/MrRMUcTZx/tBqSZSj8w5AxBkd90vhYdjKnq5q0Dd7CU
2pzeiEb2B13kqsMTxQlxfolyARgXTAjZrQxOMYe6pLra5Yr/mbNhcd37jV9uTBec4/cH5kX/VLdd
/fSPswfZ/GPTFd8fWiI4/5+Cv/8o2blEFLfHtI1//9ffxp28+ktkcvzA0NWX/+o/1seBcNU9qcTP
psv+fADopfo//9M//DGcPhiEv8So/8nvAUL9j4fi+z8WD/Vj9/3VkPw3Vu0an9DSqu/a41tnYIJw
/hiS/BHgLfpOCw8n4bWqCPavIel98kxVAMs4sV1y9F/4N91PQK8WOST8LLyXRKT8RqTJO9jTd12b
fFNXDXMgM5VY+hKk6kxodkmwxyrrc+9a4Fw4tJM/lUul8X20ZABp7/RpuBl0A8EEcZrToh0mTjZp
H3t7cwyqK5LzQlKxZvueJPkGz3s7tsVCgO09UlCfbcMZ6QNISfEj2vZv8WjrLcSGs9XQAfp83XZ4
I0q2/fK313TyyqbSoaKqc6aHYbTM69R1JsIgAo62MUriO6OP2WnxDCE7oGkObe+G5nKTowfcwp5c
z4CeTdaEcjmwotB3q6XE2scGrV66d+4Z/nTZtdbwxaqNyVlUs0VR2CjmDR7Dee16Wd0tklwrvswR
qQYX1KrU8UIHSL5yk4TeF7NIybqsM7Gk6WcUC7Lsq20j9P6jEOa3SLl6FVh+DXBy37QdW72qF9E0
Bt6GPEOQi5HLCZc0pHqLbtS1ZSB1d/livf0J8PuWBlCPMhm3hL2Dy5Nn+/pRoszJxsuRHpKcWa+z
QuqHhnaxpRn0dJM1obeNuuLq91ecv109Xq04/+G69L9wxTH4Tv+eFvtnEXUie20UV3/jh/HBxadg
gjUT9e+BOB/d4H8tNNYnqmQd9kSX7kXdMpjkfy002MspgGQOkVYMK8YG96+9zyc6iXZIOCzWG7U+
/c5Cc5yKL/c+YplY0Gx2IQPC6t1UnfMeuylpdauSyMaVo4v7KCB4j3aLP8qgffSFf9VVRHLEZioP
TY+eZ7JhoF+8sZ+M3HecCccDdQKwEf/bGDC8N1pxbGns/+Cpq46axZPO7w9+kT81SXIzag0cr4YT
KvEIky3KU8xEw/aD57+bOjzf4y1zpoCZOBpXXs5SVgJpNB1gUm77mlhBGlhLfKHVhcydGIciOhG6
tTVDdf66no6Ey680UlqbdNgMWYGnMYeAW0RVFEis4km8cquOYFQyTHdZJmW5+v1p9x9OqFeT8G+n
6v/Gacfm+vfTTu3uJJa9NhzxN35MOyf4ZJOWAteGB0GdHZlbP6Ydf4S9xDcDi8gwXGQ2g+GvaWd9
4sCpshMCIHu2Lk6Kfx05rU+wViDOzGULS6Dv/c60O5JML6cdvxS7OuZx1mudFfsNSUjYT0O+sq0t
E8c41QOUzqvEjsR6Tp2wW3MZtuu1FpravAjYwcUS4a6pLWFb63aRu2Z9iPERPzszfngwi2x4Qs+O
aacu7QiFkKdMyZYxfFc67UUNLHFbOkVyVpN5+aNj5MdJ78fk/TOO7V8Hxjf/+f//dli9Gnz/4YD9
XzgU1df390PxJn7isBk/5K/tb+ov/RiNHsoIWqgxNAVUsby6APn6J0YoA1X1QJiMU7aOH6PR9D6Z
Fj1DFDgcL03qj36MRlP/xI9hH/A82yMtxrN+ZzRyoH11/4GQpoWGhRc29Dj4Xx8cnHpoJiaL3AZx
Xy4dC2UTtJHcvHgpP1nk366xfz7FN7loMYnoGn79lAgxqG2NltxGYbjsW6K3QjJvl9hchsVIMvaq
Lchc/vUzf/rJMGnpNi/Sojn+9TPnMkZpZ7tym9tmuZ5qwnc1lR7166e8m83qo1nYFLEmUz2AzuT1
YzqQ1aYLG1q2jRxZsi1QMK/0WAUINOSVLad4dhGZcXc5BQxCxzsTPXCwSHYiTs2onH2lk2G36LL8
UWCfJYujKDvrOgHi67amhMRYoInVTqe40MzLznAikzRZnCifp0jEN7/+NGppfDMcTGIbPVVNxMmE
e8jrT4PgLei6AHq1mTX7UjPNaEJ7H5sQbbF528EKL6YBMWVDxuomqfV+Z9sy2WDw4TqhVd7wwet9
dzrQTY4FBoskIZIQ96rZ4eXuTBBTLHyyzLZUDLkH2zDHr2LsyajVy+kOXDoDpsUJGWk9RbB+gahS
H+0PZB3vRxLbiGEDSOBaw9H25hzvIKDA8UW1mBdmw71wm/yMELxp8et3rz7Jy22BQ6ALHGLo/Isr
4Dskgr5CPRqiDCSb8kafxoYD0jmgevLbPnir76Yjqw1XYIPVhQfZbxOwbKc1iecr4q1NIMtJPgIc
t9jOioWPtlAfR+27EdV98rsTkqeSoGFxEzK4eb8tjJmkhQixDaJt5MR6RF3mmGEoa/Ldb75Hbluu
YVi8TrX7v20kikyvr4zWqLaCOhBE2m26zvwpOWmzyv/dT3R8FKGoWEU4HlhvlrVQBqk9NkO11dom
uYlD+6TRvPqDvsC3F2qFAfA9cZGk8kTllb2eAUlhZoOVSLkVYYCFCJHnzmzH/gLGtT7LOsf73bXa
Q45nUyBCPKvC3t4sAYLdKnCnsdqWGO1MS5zOdoIgXcMcRP2oM2JO+PUX9m568UDX4ZHsP9xq1Jns
5RQPWfbmwvVZqH03gl9PQvQraB3+m6cExM8jzNOZyq+f4nWFmbuWJ7dGYQaL2eyatWGE+X/zFD4P
93AATQzGb54iWt4o9ksi0KtwPSXD42h4zQcPeXdxY0hwNEBPZbC3oYx/8xWFZCFVjEo+iw1LMBjQ
hSYMF8ZQ4y43JveU4ot0V5kzcVpZJzaVcj2Wg+5+sI787JvzwDgcNVCoIFV//gLgMIs+c8yQb46s
K4mZN7A2RH6FHwxIdYN+vTLycTERM6NVnhkKztePEVXq+o3Bxw1CdcVqiX1K4n5tYpaY8v4mriQx
0pa1sPRyG4lqH0rj2xjB9EQ1CsXSIHkqiOoPfquffnYWMt4/CDLpyK9/KQJaUpzmptxOVnejjusb
u5o+Ojf97CFo5likGbVshWptePGCUccJV695CPwvHclajyPKJnDl11PjZ+8XqNPnCo4qjovO66c0
jZ+WSTXKbVgX+q5LpbhJWdUOY+MlHyzO6ke92uT4KtnIdRNNp1L+qvPHiw808WUgQOvojy3pBAgL
wuh83SlW0kwg/0bc0k5OZU2t4xD69Yd8P2l8XTdYP8E7ONugA3z96NCNQiQXpdxCKfVfk85BOoLm
aSs7/IYWx7GTzhvKp4YRfIYjPDtkNon3buiID0aO+tJevQM4DcujCUnngMXp/s0vokGKlC0049aM
qmddJ7hMTn1G8XloLdKuT1e//uDvNnt1R1BRnToCYYS7bx7XhH7U5PDm28TOkYTWRRXhwWL4nmNE
h5LLy3Ba57093f76ue/GLs8FEWfbojIUgOvNc1vHHepk6IrtwPXojNIq+hWCyPlgdzwWrr55m9wn
yM3kAoPi2n2z4o5ELuJZmbDrdlp7W/n+BLibdTtanrSTSVb90m8nCjXyON62mped0+1prbFy+ku3
y+evvLhpb/u5I/+HtPPYkRtZ2vYN/QTozZbFKna1VUstuyE00ojeM+mu/nsonIWKxVOEzj+LmQE0
gyymiYyMeM0hMwYT1a0hQfOYPvCbJfQvuY6ycors7SOPFXhIassipXV9dpKh88YmxGNGEh1mK6Pw
JEh2r5ql98c0bFAsy3r5oaBj+QBYrfNsimeIeGrRgUZ77HcdMSkNReDn2Zg+V/lsetNMXPvrZdBA
AzvUtnT+WievksMrRLUQOo0AunoU0AevTvqvtwe5wh3LPCJ5/5BuoaOi8CS6PFyDivoAwILCx6rv
BxJWL6Npgr2IY6rdgGa8tC/eRZr0AZXhY6KghDwEph8h1KhqKZTyokKgF3jHiLeLe/unXUWc5Zfx
TqYvg7Is77TLX4bkQl/a9cz2V0dxnpWm8eZKc+CPJQqw0JAToBIFcFK3dw7eVVhdjbyaE6PGOUIM
cuHnA6q2ojcGeFeT5eUx0IzbH7lx1mikLohvA5oaLIfLjwz7WR1kMRQoJY9Q4806OtRmZOxM5eYo
zmJxTm5IUrqaylSrtCChb+QPrVB8LWddtTn49Pefoi6aIfAZlqR3FTZkyahjGQSv3yh27c1ChWk9
DMrO2mztCgoR1OApsPNYWK2NqTVAbKqEtSG5OEFtT7/glmt4UzuUT0kymPdD2PUuPHdMdP7+A6k0
Lz1xziWNvsu16lPcSoDR5X5U6PEnQE6FJzWDcXd7lI1LZumPU9amgoTG0ipnmoGwwMaJc1+FAf4A
OHZ4JiqCiw1jpE9CPfp+e7yNCWXBqLYwIPK28rJ3/rjYVZQba9VMcl/qW8k3NLTNmx7EXoKBugvC
X3hqD9IuL6ZmZz6XxH11Aeik24QeBYkpvvZyZAdY1OL2k/kzGHbPQCPsMIu58bS0ST6YLOoxtIrG
C9u4dsuq2hO72TgUF8Ovjp5gE1WSaDMfyU+E6ErkEkezGXeyl43lXGraCxWGm85cuxKnYJMqLBsY
xdGNu5HM8y4JlRL5e1WcDK3pdgLK9aQSLAkoQIPIl9DaupzUWRrJqvEX9Ev+zCuS8gutWAPtlcQ8
OMLkDiwj/UWKrBLxkt4+/+1mojjP2QQAQrDB7fly9EEL5b405cpP6vSFGI1CuLCkl1o0i9chTjRs
MvkZPbqdqHDVvObJSzuKVIn+Gi+s38rKf+xiRauHMA6D0q/hVrRPad4EJboquiU9jFmt/QsxAyyZ
3Uh1+4oMYvvEMwBfowHiQ3nEA8f5PGazfRDWSNgwp8b82rRKb3nUuKTvmHZZCWjwaWzACNuwzLFF
oOxpzVP3Xk4lqNEVoEHI2mGghIcRXXvlpNpJ+6kwOnHG7aD8JkIrBg1qV0gth0Nrv/DOQe9AMu2v
cE9tfALKAY8JO2/+vb0k19tcsXnRIjbDew/M77Jh/piZARe6JOiTyrfwbPracmO7XdyUX2+Pcp2r
KhCfeUxpJHLYzqxuGNjxGihZPO4lChxBOD4qg4Mqila8QQMDrdnaeySz6wIjnfPlScJ48BeJl5cf
VstxC14zxvDZ0MXZzIfgfgKH7HE+wntHRWkwSIH8YU4RUH1pUBhrLXhAf/vdy4/g+iZJWd4oqw2P
/k+Zqm2Q+0g1kZ1nDuQMUc/2WRlDhPRzC59U9DLnn7eH3fp4LkA2Ou63vEbWYA3TDKJwNvTc72IL
zlhVys9c/ZKnW03ijQMKFHGU2N+CDnUHq0TtOqmT2b/9I65DDXQ13mT0tLmJaWtcLoAjoSsnRzM3
R6GBj9UsNDDjrjsCm0yQb4tQL6B4nzzAmRkgzaTWzvjbk/DHD1jtAKjyeV8Hau4LbSxf625OXkdI
4ce4H3ACNYzqITQR4wGEgqWrXi661aq5c4ldH6/LSVgdr6CbZCuYtNyvY/E97Ar7vaHP7c4dvTUI
nX4a7VT3+OcqqHct5e1elZddpkXv2l6XXSQatJ3MY3sUuum/V3SxVb6IFFGYDqICxEO1XJc91GfV
d00w2Tsn5rooZKu0BiixaRRgUJdcbRutx/NFt2vSqATfmFwfog84enQeXQQEwo0YvK4Y+3dFwHO+
QCGB1G5M/7X1DBWOEaVk9ONShHFE6mExkuyQgLfm4M8ft5oDYUZl4igty2kjIaBCTXqVAuSub58c
g5m8zHyYgt/gBRrJlBJW64m4i1YLfO78Qq+yj5pWF49zncZo7EU7r+zr9IOR8CUAxkK3iwh9uaYB
3AcUgrLcn3BcPthNoaEK4UTHKm6+dVax9wbYG271ppdUbjUuF4aTM6SNUBDyUBMMzuBZkrMT4EZ4
eyI3x6PDsyD7FnzNspx/XG5tF+JL3Oe5L/dB+BHZDMWX2sj0EDvqqEqXwV9nc0ynZWukrVwj9EQu
xxuC3MTRkPGCQkgI14TWMcU94eDY7eSrwbDnI7PxfRoIBgYjq6KJtoouBdaC0TDRWsLgdcZAT0RH
2yi/z8qM/9Scl6fb0/m7yr3amDxHUZ+E1+8oYH8vv0+CeJQGpZT63HVo1CTpr66yD2GHvkRYvEhy
DIUbMKASp4+JVN/Hge1BIsMRLD1JZfhY0utDkSpBP6KAPFKdtKz0ScW8KJOjnaXfiP54ylG6dn5z
zcmxL3+rKrq4n7Q69dXEkY4AzSF5obDJ/d8Pd91cPeqT9BQYQe4iA6f6dqQ1H25P1/UxRpKA+5dU
29BYotVusAYh0MdDeDooajgb1IpQO0FUsLEVY+drl6B4uTAMxXX/W6KBNG4Vl7Q4ifAj1xIfCnl7
L0WmfQ8IrHP5bemxNfraFV351z0RwAWU94A+wP4m21jtPsuEBZukDDqpKBU2aCN5FMu6nRv0+tNU
+gMLok0BukuT8XIde4jaRV/RCkYkBJtj6kia9gLGooKL3TnITOIecHvdlsm6nExGXBZOpjxPg3h1
AyHwrkSdgx+QJjeDr1nSUmqMUywCkyekxMz70JplamBme7w98BKOrgYGG0idTAY+uH5rI12GV0g5
pv40wDJH5qz2WignOxP6W15hNQy4PFLiJSpa/MvljEqYQyCpFaV+lxb2IWNhT1YRtS+YrFl3QzPH
92pgzd9hVWu4rAv5GVqLc0YXNIXZ2dvPcYai4+0vXxZx/ZMWWZAFWWxSNl4FltZpiiCfk9S3SkM+
L77Cni7HCo5l9l63enMorgSQO+iGLJjuizuhznqbKj1fn3Z67BdyQgUj7ODUps7n2x+1sZxcPPTF
eYUsNbzVPsqRq9NhBSQ8OoMcLGbdnCCmJztTt/ze1dSBOaOVRHUGPYJ12amVJ31RMk38vGfn2L3i
fBAJYj8iQO+zwJb67fZXbcyfo5MxLEB6NhA2nxfzB0Ci52G/hJpQQXEfWiEeDM10b4viP4jI/4o5
3xyKL6OBBVuEJvLlUEIqc9hIXeJHeY9jRRkhIDdp6tkUib6TCP3eYatpdIj/tJHZGWiJrBerVUoh
egdXMF0Z3jAP0w9On5a4K0IhR3y0vWvkRr6biwnD39rUn2bJLKATJ8ODZkfBaxTr+nGitPlTw4Ec
NYLRgFiBe3YBu9eTexirCC7Ry0QV4sFMM/OAHXn/ks5qAEcb9zpEjLO/xbcAiIQQsdQ+gE1cKboI
GYOMFta3P9K18sy+wl7AEOlOuFxm5nLmNIqDBEyFlheQ+NXMKXmAGkBfxX6Je8mpNCqUBwxbLEoR
pW9iSXhClkc+/e0u5FIgzVq+ig6ntbrdtSnqwOBHsU/ZLD1hdmoc6xKklYVax+2RthIJhHhUOm0L
UMNev65GVMZw9tEiH7MVyR8EcqmK1qn3oqzR+Yxwi6hL5Ntwve+8YXDUg4nVg3f7R1yHEhptQPm4
bjXutjWGCHfuFuwxZp8NYLGTUWZYCo0oVt8eRdkcRqdKT0TRgL2sngNCSABf0DXzM1CN5HIhvvRN
gviENAcjXfdAu8uA+iD4VRbnKGhCLDSKb2FQGQgT9pqLOUPzoE1z7e/8MPV6jxGyQeIA00UEXVst
t0ITTcMabVkDKThLSEIf6jFs76BTqu5UFONzoWKzlCd97mGlYqEGAT13bmIEGVGl3LlBr+MSiSLo
HS5PYjuP1Mu4ZJgjag/40Pphaxpfg2mSTz2vWoTbUuP59pdf5yKsOt9LY4HE++oIGy3Xs4bdsS+z
vSl9t/jXClqQE3rJrlnA/e7CsXCpZO3VTDce4pqKT8jCVdIwa7BW0VcrauRNaz3xiZfP85jYL9CR
5bMT2eGhUtIOUY2qG2DFKyTyeCyfzVaboAPrLVT8sKbxaUuPtA4elEqpPt2elo0VAD1BdQBgpg7y
Z3WJRxqSwAglJD6W9s+prdeP2GFVsJBgWd8eaeNIIPrzuwUNHFS2lj//4wmpI0JRmVme+Fq9OA6b
OW4oli5wQbk9zvU1DoqODgvckN+o1uWL/xwHPZZZQcwezZJJwUjHDOGzt/+iPPXCds92RtuI2Qvn
DZyRoRNQ1r2VrlHlyABLBF1bDk5zq5NqxTXa6Xpe4x6DbkgvMn0nvGwtGkAFMlugqIa9zqsTlJLr
YXTIVIoyxsbAxOzVISnSem2vb/q7L726lJZUEg9H+gwMt4pk2Dgo0SAHbBBJ+RB1mDg13TN5y2Ng
qEfYdHeJUZ/blNpooLhab72X6xrEcvuMwzKK0VTdh+ZZD8aPVvUfc87/mtVcY3EXSqFOcYuI5YB9
XR0s7ACkiRwh8TNKn2hD6xYc9UpxLSUePDNPjdOQNNXzbKjlmU8MjyKYe9+ShAmcJtyrIWw8B5af
8xvtRI5FI+By59UtV2nacJaSHlORGDbNw5g33zOBJW7YDu+HBK8s4N80BoCtHlKzG+/h9jRHre7a
U4R72M4+WQa8WjsDmuHSjwayvDrcBbgP9FYIPEllQRvM0TqF91YfggJRG+RH6B5Hjvm5VKP+bppR
WLl9ErdOvEOjwoFqgtjfuqjSWzj7yZgN+s6Awp+m1Aj5AOTaudI2P3JhJYGAxkLxN3/5j/MelCiR
9ViK+wRfFRKIXX9C8U/xqEajh8WxP+A9ILvJoOfPbalrO3P8+yuuJpnXCZ1V06JDstqEI9IAEu7p
PE4yhZw3ehU9Mh61eR6UFHs0G3cZaAMssCmcF60gAjl18kJN8K0ZKn9WglMlW17XKi5cahTN03vV
zu6RSH1owaToBXKhafVohf0jwEUkENJXuRp+GVP1iNzaAfvdo2GEKFBhziyHz0qhYd8cHUDNOK6Z
Jf7opIjVqO/GMf2c1+WPJdmx0ATgTXUPEg1nQP1JszkfU3dOpcCXhxHCaPQwFEtibZ/TujoNmnGX
mP2hioOHMXTukXV8GjpxEjj85JLyrjLzszyFP6R0eIgG/YibwYuaTqrLYATBzKNmchjM8ksnaXc9
FvDBWJwDRSBUNNRnqa0//PXGg7G3lB4gkC8g3cuDiAaOIuMVSpI34aAmEPzzU8wzdzbeBl5uQbzT
1LcXzDuwj8thkMKBLhGzgA1mO+6AKu7RTLv0Lp/H4MyD1np0pKR6j/hUcJQbXCcgtct+3sa/bn/u
9Y23vLRINC1AwqR2qxtvCEQ7WUHN9ROp5WOK38ldjUmKv2j/fK9rzbr7/xtvFVZkoULmp9p4sqZk
8vSEnsI4p+GxjhAJqdBr2rF93rzuLOLXUg2GZrYaz9JEWA8DcTUqaG/H2ojzZRfF7CrHebv9aZsh
C51xRmM+rwjJzNgsnHRJhyTF9iPoZW4osj3OxvYoOuNQaCAxXO3PGoMLQIVy4uOoUN8PBAbXlNTy
f0i4YONTuF2IISAbL7dnPWqZilBS4utCmb0wkBNPQqDlfHvGNhaHuKqSIFBaoAS2WpxqxCeyoCfv
A3vTAY5Vk2unmG2m1V6D/XqbL41vABd06NDtXMMljb7RowTNFX/Csv2xl1L9IKelfdZK1KSTtCp3
Xgwbq0S6ju4F72Kex+tjlVPw64TKl2U0VR7EIJLnyQz2oOrbo3Dt0XxYGu3a5SpRShC5zKPAz5Gd
dLPcMI8hsl87aermKCieIt2w1M/Xe8Hi0TFky9wV5lQ/mLHTe7z68p3az+ZeWBibZMIUXpVVAkQC
NqtaJBIf74rwpHf55OGHg26hVYXH29vud8lqde2CWsT4jX4bJPE1D6vv5XiQOhg6aHRhOkR7KkdW
C4+A4a7BrvJF4HMxH2N8DlDHNSNUwGZKxcN9o+d24jZRMD9YkqzXLuekjD0SpfRzE6n1G84nP41g
no/S2Bmfxtiss2NqSWAvi8nJnpQJvIpbV1aPo4xRqYbLf9F9COVBSG6kDMiVjpOZ8HSzlCk86DRI
fliAi09p7EAdlEPdKe458bXyGqiNox/7Pu+/mE2cIETWIG7v10YvLASK83rAfLo3/awELn4ImlL9
KvN6T1xR6jnKK8gxLJIHP8AXGaOr5TSICqvMX5p6OqkFHN5DOwo0xUoZobnBBl0DjlTNvlWdoy6/
bxrvTOT3WrdzUMs4tHZufskqWX7fmYjAunbXNZ8X7dF/kHvpikOEf63jkYKlXzgyZ/7PApkNzGiP
kOMN4WK1lCA6pvbmVy1NtPcNr1oDUNuQIrPbmzgj1ykGXu5kmeVrA5j3TuRKlXjtjPI5cybm+6ZK
wo91atdnZC/qd7kZNUcxRSXQilnFhkwRJ9mY8jsntmIZnX11RFirUqhpWmY9f0a906bFEEhR7t3e
bhvPvKUXScUEDAY46tXOlholqEvZiP3coEBcOfa/QmtD126Sd3JTifuytfWd9GLryPKOsgg9AFbp
ul4GhgbtLsoEVNatLpe8sZXmYxSb0U5lcyuocorQGKL0x4W0HOk/smc8mZlPwAD+wNOd1FQ1en+u
jPGkKsH0NA9Kfbo9k1sxgkIqMuOLqrmxbpQjoiwPrcFnaR01MdQAWlcvKcsMuf3x9khba2bbADtB
zrByVyzyPp8pWY2xj1Fjd0I41H4vFRNF9nwa/JqH+z/osgY7cWlrPuE2gZKiEsxrZPlRf8xnJtQ+
iCvA68Uwqvfsz/6MtVrpl8n4gy6bvLNJNmaTUrEBRIk7ClD5KgVtAmEphdlSVKkw2XBSo/SqKv45
kyjufNjWY5uhaPWQVYNdWUMAsIJo2hTJPd+0m/wtwDbLl228yWqQUYdYry1XAdVxxPoO4x98Th4a
Fb+hcOYtEfbyHrloY3Evfs0yMX/Ms42PkiUHdDRGLH7RR+wORq6juRqmALtTKT+j9LlX69mcbA0o
1tKzJ3Fbjdl1xEmr4fyj8eQcddStPVFNxgnNbG0n3mxsIxTSSdwgTum0a9XLzyPshza3GynvnKJu
CnofkdsEzctab49yS6X+9lnZeMvQrvljwFUaMtiJGPFcT3xrBnYZJiNIslCn2d4EtWcUbX+g0ymd
y6QoTmqFcVuXWc4RFuRO0rVEtdW1TtmcRI8KIeVSexX1BgSOzFTh3bpwdby+6SpK08U3NRvlY+JY
+bFr9dqXm1S6Uyuxd5yulKWoiOvU6w0aWNSUIOVczjsotrFAa5yYIaMGjDQleuM4g6b1I2Kd/86W
edSn+GSmzadgSM7Aix5J4NBzdDypq76OSvnFQj0/M/MXS0a8MRNvqnCmnUO/cTOgHAVWBbgzQNw1
qbaH6RYimkrMNnFlxAHAOaai3JOj/00cv1yKxVUY74RF9oXSxnoPFtpYabOCp52gpO4FmNIXbmB3
muViUjTgY1711Rud/ZgydmuUbwjBI18MAFKbDjp24ZpnoR3Tc3kX2kMXtfbkzcApW69C3N0+RvhE
VYd5ai3sgTQjl10ku5T3QcXUuhm2k8nBycpEfbSx8K6prYokdCPRyK3XilH7Lhyj7Nw2/y1eBQz5
J86+w3e4zfkXFNc7kiM68IiK6knTe5jmzOcm0tX6lLQz1fZCHuzsgPoxAs2KJM2naczk99AsZYS4
srqzEdkJ0vwuMMraOcTM0mMfd5nwsKzJyWglY3aVTDcqz0S3q8ewJiwzzza0CrZaPpqpN1KYeh1T
S8THaYo/p4bUVkcZx97sYAWS/GUKev11tGMcytDwHDNc1ubR9mj+DlbfKqcMCTZEM53ZBAjU5+MT
vz557Ju80Q/pVKTBIRWy1h9p4hbvd8LBdagjx1kwpyYlTZuDcHkOVClLwOVZDgoG6jnVhCa5kt44
iduVWnLQJyS00nJC4N7GD0hpU6zAdLWi1BLHGEIGKHwi04+4GLJBHqrNO9Hxd4F7tTXp0YNHshal
GJ7rlz8vwbani2vbObUWppN1KB9AN5auVhheGVnKgcTpPfxGHaDSgJEDbR6jEnwBDmnTexPDxyBo
Hyqr+MD2PN6euuvIzdlUQPGgp7G8T5bD+8fFZFXoQQUEr5PVRY/DrFkTvkiYE2Kr9VmRKJrcHu4q
XpLcUBVBUA4vY6oJq3gZdnUSRfUc+3qICDLbCtszTN6fbJ1C4JiEtNyD9hinytexmruddbi6hJfB
+UT6LHRVr1Bz2ORqoo/a2IfTj7ulFr5Dl/mTkuIwWonql6H3725/7eaAdAvJrVAGI+pcTm4szXY9
VD2RD68qP0uLDj9aqCvORJ1Vr7F5Enb31y90QP0gmLgWmGRSunUclODGRT1fKQuTK2/InEMRTHt7
+mrfLKNw6VHB08AtrWv1DpaoCI3zaXWIxHxoyJRtpSw6Ru0kjkOQpu7tqVym6uIILeNR2aBoTedE
WZNei5GWZRbVS+JvPdclrF+qEPZTYGISAODOOvRqZSxti72uzdXttRp4FVrqPmwQNSZDxjlZdvM5
7E9B3+4hfzemk3ooeRrYfTBDa2jWaOptr8YTfe6yED5SpNapm8f4aMrT+JSiXr0zndcJFGRlUoel
RLm0s9foITTiJTUJ6sgPKlW9M0Wmva/CUbtHPDrwWzuuzt0kMn/qjeBBCbE6D2ItchMk7N9uL+zG
/GLHoZMowdgAT7hKYSocQqSoCCMyqOlHYWjhc2wo8vn2IOrG9rkYZXUoUCkyGsmGMRxETezChkkO
qtT+y7Medg7Xh0sf5uzU4ykJaUhQE/KmcsJxgI6m6wTJIers5kgvTfeGVD4G5kKhmqLjFNNxiLnW
R1l+HdrkXZfTNAEnh3i31bigCR54hZvHtuvanRXc2jHwKZdeIgABzuBlbKlF1QeWmkY+amK6O5Dz
HlNT/giaqffQrtwj5V2/p9gw6KuYsNZ4Dyvrfvho5VIyd1boYw7304oz1UsmXXuXQjn38sB4b2hT
egRqFD0SgDtKDUF2Ql5PeujR3f37QL4orgGAlpcwbqyavIVmdyVM/9B3cH3BFnAIUQlq8WFRB97L
mUkOmKHKfnsPbWyhpWSM5sCCeYJdcznhPDHCXOnYqHHbvRZhor45ocg/KGAE3pRIrw+FoJroZpUV
7O3ejXuEoXmjc05pKawFZKkWzMoUx5GPBdlDqMyRmwa4PKdDRh/boubUpTHk9PHLaAniVPCaWThe
mPUPHsA/a6RK06HGGSXvf5lRSjs3I+eT+u+Uye9CZBS9thFPUCgSBJ/q75ZRtkeRF90xrKTD7Tnc
OOwQgHkuLfC0pf95OYdClCjHOszhWKjdybFwznAUhBr+h1F4bSw60AD61nVdqmJxDLsg9AfeHdjB
Yqwu9ZO9cwA3FwWoFD0ECBQci9W3pGlKAxH1I8Aw8wE5AtmL0kw5o+jXEbyLxF1KLjtbYXMC4W0s
KhPgX9atmBRtaqe3tNBvMZGvO0U54rid7+z062cliTSnHPwLVcSluXT5aWUT6IkN5AClh6R60evF
G0CZ5WNYROKEawDuskh7HEGNSR+lqsado8nkI5C/+AOYpuEw9KNOiVQ3XrAi0j3aRwo5bGPND0lV
ZNgRCf4uZbuqdJuzA74EwQLKnldCjPiSxEEnySyJwO3bVJE4Mvvo1/+wuyjULYXVJfKurpIqLYPG
xpDal82287UkN45mU1Q7IW7rU8iSYVzwxqd2sxpFs7p0oAnCQs8IVBST1RzEkhXc/pZrrBcrvUBl
FrEfKJPrDDUXKQ6pVkckDeXkUz3MGJXKtCPMOUaCh0e9Bz4MxP0AGHauxld0XCwQAiDwUgDUd8OI
cD8eJKBZiqK+2/lxyxW2yvmo8sqMsnBraMhdbkM1pFEfwj4/cZeI76DJNPwBsvkg53ONUVub8Jrm
bgGbrqPkmkE1FOYpSap2b5aWga5+CPSXRaJp0ZdfroY/HknzXMaFSDvpNOWl84I97GMdSjaeV7l+
MhItfykq3K0jJ/hFFyP/Feg4XsdzP75WRqm83p6VjY2BnB+ZPSX2RWFyyQv++C2h0w4NivPSCU+e
2kNgS3GjAGrN346y9N3ItoFQLSqPq8uuLRWA+TPKT2amjq7cJc05ytI9QY3rEMoozOcSQTlPa2ah
jrlcWihzcALwp+IHNU2LYTMWbGo83qngS/BVV8edkwWw4mo5GZZaN3cqhWjQvZdT2MaT1hhjF5wy
gZhUjI+tllc/aB7Y8lHW08GvgLM6WOyVjXYQeZu9NwJr7N0mN0bFHeSZS7iy5PcA7aZXcGISl7D8
YiaO8yHs9fQbDjG2fsQeg1eDNqv5WxRp6o9aM6f5UFliMg9zH8vfRIZZulfr9iRRSupy/Tw2I3LM
Dh2+7BAEqYqnmDYnb0jHZ7hT05HDEC2PgtC1KHRhq6UkzogBfRkGXtAbknOwJbXBENzMwqd+6uLH
JhfB13GQkDAenep7HIopc9MEIqOrwlF67UWlf1SGMf9VdGrxT1KFdYyepWwM9LGMnu3sxLwL8IZL
9c55jhE4Mr22kBkqoC46ssvNkQzMGiowDiaE97lPox+JXXMCyrSNv0uDo+Qu8gNoUaul+GRiAX7W
4Ax8Usq5wi9FYw/4SaQWeI90AoQQfKIfo66IFzMu8PmEyNHcTcByX3OFxiCoI1V6VBo9Do4a4J27
SEAHc1VJzr5h2zV8Liq9fc10ZXax+GtfbdoNh8jIH1ORSwiq4SJSABiqKLgUQ/Bm9rXxQHSx3jIQ
Ka91kgTHnHJR6zWFM+GfKQ/OXSclMVr8yKFJHqZIlfxPZaWd7eqDE8cH3kRGg5xmylMBvTapdXMp
cIYTPO/wm1LMfe0JRRHPSR+lk98YlaQf/l+GI86IaRvAg9iK4GJXuvMqpfgq9nJhfMxQKcld1DeD
d2PtdO9D8FeYfNsprDUlx6PZ5cEdfrQzU8LHLM8/3T79y+m+jHfUqCCP0z9BHOYKdR42jjUGaRKc
QpzbDkGEQIMoFdW3WvPj348E1GNhoKKBwcv+8iiSWdRqE+ZgkhAbeaja6Fcn0vpZdtp4J/Xc+iYA
YqqMgy9NkXVSWCZhGPVjxEg8DU51mDcPcxUYh1ZIX25/0zVxAHgtymQo3hA7aeet0qfUrmxbYoOe
qrBFpkmb8zfJojVMbNDuuEgmrAlbWsMAjL0o7OFJ4vm4F+WWQVZryI/gB8jkwPQGVkFuqDSgdEPg
nPIQO8dsRLPWGJ3xVOrFR3USDxClMZEK7OFgBO33IrEpbginfMDM/d/Q+ZZIw0PXBV9j23wwI838
JSpMVNpEq3Zu+Y11oZAEJY2XrExIXk3WWFuzLpfstU5qex8LrJ9Zm4sj/Oj/GKr8V/ztxm2j0wgE
1wOhgF7N6sVsY+OY4kcenALDLL0+N+gPCcvyqGbLKEFkGgZrQAf+ft/RzF3UqhY9LQBOlzs8DGLM
xMRSmrZC+UvfKRMWbMlwx39r/g9TCTmG+hEHF43n1WGylE53ooKhnDSSXRGnkQvCpEZPspt3vmpz
j5OVsr9tqBlwFi8/yzEwt0PLwzn1zQCuogxy6+hIRntsZ9U5ZvTlzwOX71EylN6r7ao4Y7+1d5Uv
c7fe40jo8MZD+xaL5NXc4i8ZTlQqnNOcKNmJoiEdVXzqT3juaR6auM1bPfI6yYxib1U3R6a3gtwT
AYW9e/n5Bs55iZRRNscGtT8WuFa5elTb91KPtGoaD+HHqUyaI87I6s4iX+d/IK8sKL8GTXFQlKuR
7RA5lSaEuilAuWPtUCn0N5w9tamtU6mQfLO4FrtpjRIeano1MdaQp0IKYq9NzOA7JKFH4FjWTgd1
83t4hQCxoKhyJVCtkwTVWao6Jz0262ewmiU7N95DpyyzcrVTwN4bXDIY2q+FTQ1a7A4JB6MUSDn1
jdaeNGXMnmR8eZ4KKq/u7TtgK/qqi1A5UA5qc1fkZfzsRmApzkkqovrFmRC9CasOO+iyRzt87lXs
VjVcKFoteimaYa8xvBXqiKa8E9grqrFuS8e4EEZyzvCBZg1nKxqdd2piSa5QkWWh3wWHSI7Hz7e/
eetM/DHoWmJqqJQAaBSDtrQmf7RmkDxoVh6foG/lOPfiG1lqje5Jlvl2e+DNr6USCpAPahCv8svD
2JkYWwJkYXHpnyEa0pSerWXZndzVDUZJUfkBCa4ft8fcqChTglHBdi69JF4Sq3MoTCMJkHLihCjR
9zLj/cLzPPrZ66Z0ENrUnxBKmfG3K3T1ZCVhcd+g2euGUothemcQo3GSBwQnTTRPrM+G1NTvWqMz
n9UZXnvOFjnB8TTvat0BMEKT+ARoGsdrimvg+NBWRQ6u4H/VxI+myMP3t79uc/siJ47eLbsXrOzl
jOrJWEblwIwahZS2rgxA50G0Dok81gg/4gwd1RRn4gfZCjVXcYJmT25lI/5Q3eVy0Sm4UoZaRXYs
2y1eW1wvXdl0T7IcZ0/xaIunxtLzw6wV5ZNs9Pmj3VmO2yJd79ZRPbyTeMd5hZLKnpla2POK0b4b
kBZzJ9EHxwzvJjrRNebhMhC8braHB1WaZRdbYGwow+YOlS10JOfcfIozBWvOrpM/GnY/um3VWp6D
yN9RDtvIk1XgCyO/5WDOqvKAxCCqaYpGaxnXKtrcR6HRRNFR+KKBqkdd7dv5XDzpIp6+KEqYnm+v
1kYIRfkQuV9gDxS+1km0LLJakhv2lNHl/VNl985RjiNtJ6RtHO9F6p0OFYrX9DNXeyLKjThQ7ZqE
0pCsY5iPiJ1WSuKFTUupaEozT807vKu5TE63v+93br6K3gtbAN1PojcPk2UC/qh5lLHSD73BbQuI
Mz9XkVb3D/CbVXGwzVEOUOGspm+ZkSjnKuRAqFGKLls2WkeYYON0APyhfy3iRnzoKlwQDkg+yY+2
HJUYqGltiwRzrMTnaLaGv2Y0LbD8hclEXFp86VaRKZ1SW8qkZc5wWb+TQlxuLRUX2SaqS29WdeGZ
hobcHA+Kk+SIPdTZ1inSgIBy3y1VvjV4MQTwMU5NSZKWg8mc1EB3u6rN7gwl2AnBW1sQhA+lIgIQ
6E/tcoXi1raQweNDlbgPT7GNhl4oh/LOFrymrDGfJO9LAmSANV2rTY9xHuft3JDhNcMQn5Q2tvE/
HloE+EZStQxz4KT/0DZN+No6xnw/BFmc3cVSFtP+AAzIG6icutTtRif+cHuT/oZKrjcpBTMYLVSU
KCwtt9Sfm9SxpCSwMuc0dKZXS863MQGaJov8WITGXVWmD32ZPTsBNZJQf58P8j9pPz9VU34fNhW+
XMNxqOKDIWMpSWG86rRDao13klIeVaSMJQc2dsiGERqGrcJpXBVFkp353bhIKfotsAHImtTjVg+I
ODNFCibePvFAAhopwKfklVj8h41Hxek6z1qQhDvztmyN9bzR2AevwFt5cey8nLdsklMxz6Z9mizR
vgVxYrw4wCYKit5jyufWnePyem/+ge+sfvk/5s5sOW7kTNu30tHHgx7sS8TYB6gqVHERKVEtydIJ
QpbU2IHEvlz9PEm3/2CBNQWrj/4Ih8MyJSaQmcj8lncBojs2ftt7X5WGkpRfD8n8OCPy8y0EDNfs
zWl6k1KdL/zYStLPuqIhcDmjlPopzyxs5ZsKDdXdHIb6P7Iw1bbYvBcuTmaQ1gmqiuCd1nnB1KNh
H5ezG3Te1zwvljukb4ubUgArcweUmhsVO9K4brKDEQGVvz6VF3q0UpvJAq4DBBNC8erWzEMtdAQE
hCClH+w7aX2nhe1RSZvf1cil9a2VgdLn70tPe4pt5Q8TboWetFtSvBd3kUPriPzo+fo+X1ANOeQo
A5EWLJH3oI2xrN8v3JdlEh28sO58J/xx/cUvnT7As0mHZBQInOl8xLHPkQgiLw6ENiJdU7jOroo5
gq6P8oycWe9UTjg8GKAXw2Ref+GJigBIz/XWRfMXSLtugJc4TAYQxXs9KxJfZDTDBQ2VmykrmxMQ
1X7nabH1wQ0nyKuJYx5tLaqPCybhQZqU44lWdnw/o9h4hxihEWBynZ4mO84fUHX/+YalFFWXmCAJ
MjHXwuottpplKww3qAc9u6PFpweqPuJuHunN0VtS5U2kKNPGkXJxaYiRYTxDSQLhcr401MMXBD0W
N6Ayk1LBrG3fqGprI0K49NlRqIReQ7uSLE8/H8VeGtEY4egGuYYZLzQXm7Lo6AW4r6cfLCtp7/Fd
8+6KcnDfN3mdbwx/qRpCEUTqkqBMIMnD5+OHzVB7ucL4GR7bB4twjFgyS24qkBG7Loy9906ejEQB
4+KrTkb13O71jYe4ONMS9gWSj9txDa1TRAL0aqD64cam5s+hY546pM721z+C66N46upTs8ArTlTO
3UAxmva+b0sUAzyl+yvvAl5OA2AGzhtbzLO7lKrNTIGlZatqPVYDvebsIxftj7/wLmBZkMkhpAXK
dj5KbmVGYfYDezOJIw5k+z1291u020tbExAeBDOIMVID/XwQjM87JIM5Dae41B9zd0keFo9ATJnd
9GTkDlptU4vwQ13pBw+02cY7XspT6XXxBPgzQUZcs/xDx8gqE7VlPo3YQZ4obRZ43lmPuUHtul86
20v/YRrZVPmYKql4zKuWktHOjWrzlowz83yse0SEy04Z/tEP1Nx8T6kGdw/QyKHXUVooj2oz7xHV
lYZIW+NBDbVTbEB3We2IxwVjuGhn9Py3r2S17KQ4XvHE8Rk9GV7efrm+qJfSFGJt+sbEYPCpV3cg
qIxYDHVODFNBD4dYbBE9cCvA6RtPKTn1oTN6azepzvz++siX7j3JKqWjyBkEJP98pTNdr20a6txC
SxS/bbCD2Nd29g+tad67vfsUOxiOXh/R5jeuL6SXI642sJm7AFxU7iG0lPe0Ub7ljr6coArtlnFR
Nr7JS8E33htgwKTZJqnYaifXTZ/0Wc8tm494MRdNNdW+QNf7ULdoVcREHvcA6ulwzMrH2O682xF1
yv1kuNmud/vvteb8tCMgbGSudUkHAykBnvh8xhtPcXuFJkgQIRZ2KktzuP0Pso4L63o2yuq9lyFu
okgerDOiBEfUxM0AMTmbrmLbvs2iOXlU1L+QTyHd5YJgoqhF2m2cvxl7d1Q8ecwa1TKSCCzzzpbF
jev757XuExOIjg42K/LiZBLPh7ExItQqoIoUl/ThndV7MfFKUe+nWIsPbaS5H5u0m4O5DZt9a87G
bWWU5lf6j8MjDtj5bZwpym7pgV1cf7ALhyaJgESFkj2rFBXPnwu1WLMbKhRq8FpsfA7JVppMkin1
qrUrsoLmGQa+wWAZn1y1GT5cH/21iIyHlKacEzj1ULjXlhUFichCMyMMSBmHZuel0fgmDq1B7BJI
HCi74W+4z9w2etJqqZ0iWeCxnyiKc7d0tYW1I5hh3y1JUPYKXeMDZkx5HKRVkstvga/Lz9zc3Hjs
Cycf7EtyY8kiBBi5On+cSbeUdJQVJ08f38x9X9zWSt1/9PIYeZEBvRSHwlegtqG9oXhwISigHUGv
GG4zkJF1bzVTNQpnPSx6akf9dy2d+l06LO4GXfvCKM8QSL50RyrfWuebwkvzdLAX1wm0GXNW33OF
0fqWKYqNU/X19w4/EaClJHZxyq3LyWruNEbVDk4Qtl6+V5UsforTJt1Z5uQcJ9Iev/DC7On6nrsw
qGy2gC4CCiNBMecvx3YUItOwLjFDva39xfXmt5WnfQptvbmvxFJ+a5xpy2T+wpFO2RDWnixYoOe6
bvPgaZRQf4qdAPHs6JaCa/s0W9QW3EgzkOSkXlprInxoPDAn02R7D+hNiKCyaWK2Lt1r0xE/nzBQ
JuPTp5Ypoa5rTFDcu2HktoYd5F6Yn4ys7o9Y2taH69P9+uZkFIiRyLiB60Lc5Hy6RW7GCd5ldoDj
XX5qiCf2SE/sEWKbSFKqLe3RreFWW7c1vLZjV9kBLCB716qiOXgDCF7V6cO9ngw/H6Xz+ZPs0VGT
FtjP6/6iFpXkSqMsymwHkyGa49TRg82FMm7Elq8PHEaRATpnNGaP6y5T09oGlg6tHdihnu2NsJ3e
DUZkAMFTGE+19XsHxMFuSaYtSRc5X+eBD4VGsNjc+hSFaXifL18eCa/IZ2Hj154puzlvkSE28/om
yZxhqxXxeiheDzgHEwpxaF3ZFDl6KgSQVpBUo34DLS+8UaesTjcOnQtvJBVjsMmge09MtwplqBkU
EaQrK8hjJbrLklQ/DcCIgqp2qo3T+sJQ0DBp1EgkIyys1eVq9jHqBGUMEThRKqTzlnqH84i3F9Wy
VQq6OJQUtpNeZcCzVusUt3HSNqNnBqWVVIEyopwajfp41CATbmzGCwconmC2iuuFBASs4dg00pou
XkwzwPYadaMsRHQ7jqwHdUmyT1qjqUdKdsvGql3oTDCNfAUmFFxIUGuOtaqRNGFHbSB/ShJcj0jb
TQLyae6Yt0OeNeiPD+bTGOnfUs9I3mcGMEK8YJJgWjzvGGeWdrsgPrG3c7MLIjfLA9E2qt+hfnPv
hOPH66fehTl6LpIRL+Meh9DZ+WdDRhKSBC70GgrT5bDjbAh2Jki0U1OE8en6YBfOPPJO2s/MjcRJ
y73x4gyiR+e56AWZATboxh2hh3VUZmVA5xADlFkpxp9G/RNmAe8h20USHYTl+XhjLkY+YRC54QJs
s9HQlircItl4qws7+pmthKGz1DFYfzxOOqS1yBNGsWfzyfby+RDlS4fcP8f59QmUD7w65EhkYXbT
PAICvoapYkGel0bqUBWcG+0x9NoIFnuyFWpfAPujtsQpjnYzzWxa2ufzVhfOZCGVrweYFSu3iueG
T20WCbpSCF9kfmIq1cGtxXSD+9j0o6iaOSgnc7ppEBR4pEVj3Xk27VArqasFlZY8R9BAy/BeSWK/
d+Kl3QGKtN9aeTwHPztBNIcpZ8qaLx+fszrIOqOuOlu4epBZFNlzEX5z3Sb6K4NI7Q/EQNFFXffQ
tHoperR39UBJsD4o+qr9Ykd1+fv1V3n9sWCTTJqHGBFFIvru54tgFlGWIgFHaRmFPZ8+TLxbuo40
ARgF4sLJJv/v9d19PqB+PqAywvROJ9tBHUHpbue8qahdxsWPscqS2/g+huun9cOO9MxBG6QnE0um
OEBHaPxc4HQFJdzxntq2qg9OQo2THLI8tgKBvevz8vpz4zHBocvyMQ2VdcPPSJYa0J7jBHOS1bu6
JxAUo9r7YAGMjYW+QIlkLLQDKOJyXnGVnE8JvkUeGC7st5MIKUSoZ81eqyptp9TpFISloFKO6vON
Kqp2j7TPvB8yU9nZZV1unDGvP3weBE18WckloVtT+0yPDA3GhxPgSDacxhBJcmP2topHF4rWDAOT
gHYAhJlXGKWoXPI2pH1N1yGC8w9Z6RSFce/Xbk12ZQnkQmYkG3NcyO4EaGgUIjVtY30vvap01ZT9
RnB0a1xWlcakPfT8gzhyTDxX42pnqL350ycpgb4EGQNfILVYtxhV4WqVNGQKkm509uE8zqe0dMrD
9b166ZOiKU0IJ0eCQXW+f9S+mWDR6JLS5gACdLXppC3OjzF2SLp1DcbTmBW3OjHARuhz6SOR6tiy
xCvFXuSDvbhpkZTtwrw2mcRFOHdda4WHNsyxCtfKraEunVOcToTeQEyRhFzVpZDiNxQxs15jP5X7
IaWjpWlJiqtyx6VumT+fyDynaLSIQNBKAs75q2k4jLTKNDqBrc/Vjd4nuZ8PsbsROlx8K853+dXL
A3j1VoM2S+D+RGWhdNwdXRNBGp6Up6QYPxhTnb+9vlGeKWLnNztvJRtxlGoIH9cfeELdLwYfyJcH
qOlQlfW0C71eB4M8h4EeGdHNYgy0kKhEAF5Nplsdb0hIHyI/FRN6vASK3V5TO/NGTQ1UI4oh33dK
8h0mov6GTp4G5NeqTlqnidsuGz4vOfQKTwObMIRF/1iWjnGA9BD5CIJEew0LnH2ngUOJ0rAE6b/E
x+svfGl+qaIRnEmqj7ruSxt1b4h5oaKiNLke5HkWBpQdGA9OAO1HQ9vClMoFW08wx5r01qQPgEL8
+bbJaACqYezawdxVJfLsvbdzmMd9jBXDLooM4bfQY05o7tqnkfgrgHmCnvzYxI+JObqnuh8MX4mW
ObAWfFjy3hx3swqTZGgLzUeCfXjT4xVzH3E/0jdx21svdKeTaw/jvl8k2HOM5htn8ZodEDC18j3U
hE+iCfFHxhDCaFGttSvXZxTXriZst1LrqM9GeldNaAv8l9CaLkqaxgmyAgKlUJb2Nk+59xaajJ+u
L86lY+vlXK02v9DqmD1Gg6j19NpvusL4aHWW9liHqbGrcQI6okdm7TxAU7vrI184/MFzoTzmkfJS
RJDb5sW5NUWVZ7ZOwrE8WPV9P6GtruVte7o+yoXTEXQcVzoCmPKMXIVWoGSnzIbdHAx5h+1jbolT
YlT3kzW1G8fI6/QKO64XI612XVEYSJ3nEcdIFFk7Qy9HnBQAaSsLkCNHwTK3UZXmr0wi3AliYBmk
rg0xFPgcXd2m3DpWOR1LTyj0DNItPPOlSaQaT3tMNoCsdaEwruNImIJCYdb0KNSoSonA1qjfdoq1
hZm7OBSnhQTQgOVdGx3HSpNElpY7BJtZva89/T1s3/TUVqAUru+MC+0PUp4XQ8kN+mIDVkXeg9m1
7UCxLeeN58QiaMMquzfhYAWTF4ovSpX/kbpT59tDHd8mLrFeXzaOX+dqc9eX9rccwP9GTPR/PBb9
D4TFLlB3uqH0kq4o+C6MUlWPjoZp5n52K10/JJVq+y7cL2QpknF+FMViNn5o1e2dO5qi3dc4j53s
uQJ6hs5R/Y+sU6et4umFlJHqu2xyAg/GgmgtGoTKFYs/sERmbCM9EQeimu4Wz/miectjrICqUjUS
GBPmW5y+NfrpNOjxm1EinvsseTsL5cbWyo+V1e1mQ31oHWU3LiiWXl/e5+BxdQvIIBqeNvc6+bPs
Mr1YXkodztLmFHldRQnpb/fjfOdZ0XDokg4RK8x4gkJvxSnCN80XSzWe8Paq90R3+WGejPGgIHx/
yIo5PSl5bj54fbrc26MNgptL4pDai/bpvyAVaGC5LUzHBdbNaumMB9AZpg/vZwufdwHgxcRTs0bl
SuJg1xLe81LPkZOZdiD1ub/Noq18VGKGfaqaKJSHU7dTjEE/KnqxvI29Euigl5DCF4V1oj29yR6/
dICDN4OGjDCIJBucTzAustOcpp4dxBKh0TYFWjx6ZB6t0ERYLV/QOXWVZFdIbXM1t380QzlAn84z
n/h08MdG7YMGMubGkSjX9dW6UxIAEE32xLF//lieAjYl58oL2ji852Iv39tZVL/vBjRchar+sBNH
nAqIq4GxIMx3fdddmhNyDZpUqE3BN1ldN/o4ZKmdhnZAwjPvtWRacGpJtlyOL0RUlPcB9UpKGRH/
6urstXBsKeHSLqrwmLXCfrwv5/yDCdvgkHbez+NxIHlhkQWq0CHLWDfaJeGgTxrHDvo4dA7hZCT7
WkdA+PrUXWhHMQzOCyYVVfKntXRV0caGpoy0Scos633EgPIdheNPi157+5n//WWcEY5oGuvWiCrk
dt03rmLt4376eP1BXs8uRulI1CPoA88KPcvzDdTorWZH+agH05x/JuXSd5YCjTfCmh5gVdlt7NfX
Nx7DwXxiPSleoxN2PlxtDfj72qUemIui9D5lkN4f8iK+0+3K/Ol2xvlY6+3JzYCAYUY5K1Sne9se
vjs6Uvx/Yf5ccmFiO0KitURGXoWZ1djgC+cZpqXbe+rBmEV1cJqOzMqZt/L7SxNoQSGWkwj83JSB
2YuDHmPZWcJetWByROdXqK49EgyVh9bSpsP1V7s0FGUolTSfyiw19POhSrVAFwGFKprspXroE4BQ
aufiO+WE2cZQl3ahLV+LQwTC37qJh5wpNGjE8EmYTPPRqIS4Rd1UHCLAbHehKOuNbfg6EUB6n9Qe
noWkGK6RahzXcxYnFa+2qBS2RopThwTfS/KWrjiEal3sFbh1+yn3tr6A14cmQ+tUuuGT0i1am/AB
m070Nsq1ALv25ljhw+GX2LRsTOjlUfieEetBQ25dvFg6Za41N9HwpNXMXddTJ4HBv+WOemmH0Mkj
oUE8B4rWaoeIvhEocbJsUgwdrtK84FsosEIx62bjhS7tEKAl3LyE/+AuVh8zCsIa/KhaC9S0zf00
mux9E/f6PiJ/9TuosBsJzoX4A5CrhjkYYlQWwkny3V98aBJrtowK6r651iVvFRfZG1ONLD9Div5Q
sIFi30BGeW97oX5Sa3W5MfW63jWl0+7CUZQbO/b1+/M4RPCIoUhpsnUDIGxJtmjNqgH1EPswV24P
Fi3Dmgzy4wHS0Nef/fbPh1tdC6VaadD7TEzfWhcij1onwch9GcCV/f36SK93KrgjPnype0Jctj7Q
WvQAiqJkJKlacfTqcDzkWllvOG683qk0xLh5qBqSB8GvOl9Nty1Ri628Bcm0trxJrDwKSkCMNxSQ
thqlF14IxypkhojKOF2eUaovNk4LFLDTK2sJFgvBYXxu+p2KiPNGQndhPzAK3TKXFjA7dPXpuaFq
9QgDL4HVxjWV+fxNmIUP2tDarBayKz+7SFSGgI9ACIBj/qqbKvqQKTMmPeh1ow4Q9sgRlGmVD9dH
eUbIn0ezINHQu0c/FlgQLajzVfLKuojINtWg79vQ2I3qFH5ZSt0y9vWI8o8/KG2Y7cc8XIhncVW/
SwGaiiBqqri/5a+M0aFq9Vg5KmEmBoQJlebdPLnG58FMjXq3VM6yj/Hse6jjsS9x3FjAAnd216BS
WyZu+6Qr/TcrHcQHvMJSzQ9Fv3xKl7AZ/a7poUTGg6LToUjHPH+M3ZEMqtDSWkMEWGFDZQ3Q18mp
Pqj5qMF3M0bzi9X23F6T7Lfsr8/W631mk88DRaFuIJnrqx2AqxM9U3tQg6ktumMzJSo5ahx/vj7K
BdksbitZz6RjQVFkrX4QE9ZDRUN0PJwU+r7JGD+U5dIgoIcqQnpviVlJ4TmUVrrHyqyGYuoO3Vsv
7Q1qrqEx3yeKNd5lfdg9dksWwgwEZ7X1McjT/3zjsG8oecnGCv5Aa/DFAukpx22io6I8IUZui3hH
/8NFc3h0l2k/Vaay+Jaiu+qxHnJs0sPQA9Lb5rY1UgcZzW7vgQu9oyQSfrXaJimkOVaX3wg7NIqT
43VEV2lXG2AbkvZgtQ4yoUYtkq80igfvGCUWA8SIyC5+a+AcCSXLhZhZgb0qfdLAUvOBIIh6Z7ZV
eDI6qoAwn3X9AZrPcp84rfOkmhMOZGrdle0+dHAM81Eri8sdapP9QdMRK9lpoeVNflqpA+yuQW/v
51TkuxS+KkzhIiu/tlaJJ2irKtrnhNDuTVJh0XGai5nqDZLk+sHFcasCMgJSfRem6BH7bdyY0z53
rX64N7yiJVc1YvRSYtqRVIIpy1/fUK9DL5A4hK6gFkA0mWto46hmiT6V2RwYk13eSU7r3hjj4qHp
FAAthRdDBm/LRzubtoRnX38wjAw+gwoiKdcrpgUu9bSBPVrzjaUOJx1Y6t5wy2FjL14YhXzbwI6D
mMFBteL8DCM8N5Ux5WDu+nRESnZBK9+c7J8GiOJyIL99yb4kZF7dZ5pVOwjzdUsQVV1yZ4MR2yV2
4f6Fd3k5yiroymqo4kbTLJCL6n5f1HMVeAZ8rus74vXdzLsA+iDKYsJQkDifsdHNRgXlK2YsK2u/
ahLDN7Ny2UWccBtp97Pl4OqgAEgHVpAz0yDjXdWt67wxhnrWwXWYPWWZeCryTw35aHObK/rCiaDk
9X07qVF5p2QNrOnYGDEmidS5UvzUUFz70C1m91WIeLj3XDMOj2Y41x886t7xrhEK3DcBKRAtr9pT
fK9Zekz7qlJ/6EI4s/uh1tKtKvKFL4rdJmswFEc4oFfvlGU4Cs1UR4PZzdzbeewi2jitJNaqerkr
3VY5KMVMRT6Onf31pbu02Tk0gewg/O0ArjlfurwcUyxUUpYuMtV9nkKPp4Ss/pVRJGJQgt1ckuzz
USJwvU4yu3NACkmd1SrGvWKEW4nZ64hKEgPIdP+NTDkfpVGbAhKjCQVgNuKPizV0R3CK+bFCAGhX
eAjPXZ+7CxxLaqM0amT9B7zgOqQfFztvenqxQQHy+S7v9KHaacnyKTJChLf5uP1JkEd4s2Z9hC3l
vcV8XBwdsJK+4Q7lU1Mu7Y1aRQPeURg4KIOK/FtSgWka9fpkNjW5i0i/m50af4A+VG4cQa/nS54+
nKbEhMAW1p1kuxVOr9bmFDSmNgZjU2b38ZzY70Nr0jH27e2NlOQCaEV2tuAcIkyJ8oMpN+OLwJrg
ZghRdpnQfPJAcKdJdJvEbXg76eoHezLSAJESCCRoHp7I1oqdVpn9m0QYG1HqpeegYSPTFdmppx58
/hz1HKa2OnUjgNVS/APYVg45iO7f20pEzR+KQjkLkMBYlAejHud3peY0DgZiztfSHIstqYrXhydZ
sdR6IwyUXMhVyDzlicXWeFbzpqdoNE5/byE0ty/mXP/p2wC4EMUgbm2JKLdWd46TxrgM5Qw1DGP0
ZZiVft8C39nI1C5NL3V/KmnEBpJbvppejJM8e7DzMaA18DuiOuEuH+jWzguCMVN+v3TW7eSM5k7R
hxurS/9JoWYLCHch+SfJJh0lISW2BhR9vsT6bDlDPsds6wwNJYudhCmfHj3mplH7VEUr2ieeEUxl
X+y6cW5vwxQvhyqJul2RDObGSSE39vmlxdNQ6yOjJOOjIHH+NJmgaDQo1hAUiW08iVYs+7Gvog02
4YWdhMY7amqy50mfY3WNaLULPaJlFKXWa4T4o/Z9t+Bg4quK0W680XP15OUrScqiLFNKSVKS/nUV
bByhhBNP14E2qjrWbWmHqJmqxwlSxklMyBw1S+ULfTA6yFllcRrsqr/LtfqLXhS9eYAAnZLQ1VVm
gt6LlsLvI2P82JSDptziQZc2yCXkJfQOwuSHtouHjw4yP9/zocIUqMQVNx1U9g1+UfZWxrS+j+W7
UcLkjJLdIhC658ulilIxEQ/DzgbE2YHU0/08oc/8rce2J9C72H2Xh1b+xVWy6MasRueNKRTho+VM
7y1B61qYQ3PXFI4++2mmeryU5pzA4AKTjiGWX7+F1ntLPixVZApcYI4kauD8YRshFDuc+joYzdLZ
xcviELqMy0aIt74rGIUNhZIJNX80pNad+9BppEpAWgcgx6CK9iQ6eSwqP0zmLyVokuvv9IrUJoej
PA67DCC+hMKdv1QeuQUG10CbxjbzDkU/z/veHOy9Iv2d3cVqAVXWxjtzis2TqmKD6RWpcmqt+p9p
M3Kd6lF7sNu+9fVM7/xsaeqbsafdBEx1Kx161QHnWXX+I6G9yHkDA1g9K2DleCAoDarYjh+cuU7u
jTz23umd3dxoSkV3rTPCBj+KpnqClTk/pU4luyYzSJXUTIW+W9rKeLd45pY4+oW9QQeMVg3qFnjy
rLXRyxlXdEsUdTBh1g6Zz4iDrIq23B0ufC5EQYwCvYAC3bqO4dQqxjChwI56bvIHRNrbN1hODbs+
Ka03IiztN6jRZocYed2NVPQVLJS5x1AAMyVg52DC1wSssNDR4MPxJMit4mNhV54fGSpyLE2m9u+n
2nAewhYarNmGn0Vmo9GcTePGdbc+dZGTpOmhunQiYBZRaDlffrx/LX10jCEYFszIk8Zub+uGChaC
Glsi4xeHkp0+KVwk8dfnQ6GEqiSdi9rakrk/2mw2buYq+WQXYosO8Wpe5UvZ5ATkWCQGKMSej4Ri
eFUIpxiCOsS/Uo0x53GyzHhvz010qDMEWybE8/bhmDe/Z2q5HEzjpykFPAO5sQzQPCJ6Y33D2BGz
rQ1eHywu2AsjKTqui27r+LwwpzIDd03K1yr+uqs5Ta3Fgz4Z9hBeyww4ZRvuSJT6u4IawMadeWko
qFk4BINKorS8mtS4BZTnVHYPAiVX95oZ5bdVNde307glibf+IuXUgQzlu6DbAFd6tScXy5jGOAKw
EDtquYsU+lS9a2WnBrdl31iM9gnT1y4AK7RlrvjKPkwOjawUpXouC/qOq5fEu81oRtH0QZTMPdZh
huZbooda70WNr8VLSb02Luv3bSxzcHU52j34s15rxN0ce+IU6uS4fG5WYBhFhre8ufxeh2W6kftc
Wgtp3C1r/LLKL3/+IhUZ6AGFMbDSQB2BdNgI1R+bSAwHIMPWxrKvD2EgJ1wBrAOlKyk6tkp+iejn
Hk/yOvA6oe5mk7CoH8OtK/NZS/VlQMYwFuUxyqcS9QY99/yNqHsCMIkqERhmj/Y3kNX5i6GyC/xo
dtzbCZsduDHYbD7kU9viuBzHuCeVs95oPtXtNEFl0xjDgyhtfZ/HptGABXS6fQOFKHDmPO+lgHoo
jmKA1O6Tv5uftb6lhy2WBIvjKGurmUR2xIwBPURxO+sdfn9qknBsqLgN+7M3tkCw0iZpd7ldut/5
ReoPy+y7D8I0omifDu1Q0qeGGucvXVId03wo0XgPc/E1TK3Y9UuztAAK2cMQB15ooenhllr/zho0
LFojI5OyPQjzq3Gx/F5kIWAvMh2/SUxzT6+vGg5mqioQBpTEpcRii/btuLQY0V8PX9bBEkuBlqqM
ByTp8/WV4KXmaKaWCPJqmPaqkYnj6PlYNAktcTbGkufTatkJyqjsk8fT17FXy458yAxquxAB6Ndm
X3h6uEfhNwOvRN9fOEq4Rw5068Z/7umdjwp7zcbHkzsflsA6oekF7E9Q3wlv2CogRxMzz/aF3UgT
62HxHq0693o6rWMKDDjkx4gfNuo3y4nxJV5mKCuJPYdf0OdZxsNsJ/ND3WeVdTSrro0DU0f8NmxC
O6Pbly/iMCGnP9/YXpM8zXB4B1+JIXgfkroLdb/E9uEQejEyagap+7RTUmPCYoi8UN/T+4Z+7xRd
BGE6srs+cMYoydCQ0FSE6Y0aK1J8w6blUI+9KPaFIQBcJ0mSfw8REX0yxnw5mdL8clbxymIws/9d
4XPHm3wZvIobw4KGcn3/vCpyWh4hG2xlFPq4fIktz7/lsu7UQhFtRkGERU2VlJZ00ffL22QRWQHr
pMp8XW2Mkq8pi7tT1wmjo6TWKV+WHN2qG3UZqh9GvyRAB6ml+n1RIORkJio5V1pjEu63w5LTMlna
7pAKYReHKFWX+oQuHa4OYzlXxdvrL/UqJedYYqNIhxiDXiSTf/5ScdwbXdY3SdDhqwxnaTD7ZW8a
Sv02nD3FwUIy8cQuU2LujRwyXbMfJuHlOzHBKTtUrqlRwA6rf4WQ/32mtN7+/X/487dKzOBx4271
x78/Dj+arm9+/PLmq2h/Cfry+1dOl/J/5C/5f//o/Ff8/U3yrana6o9u/bfO/hEj/fkk+6/d17M/
HEqQm/O7/kczP/0gS+2eB4h+VPJv/qc//OXH82/5fRY//vbrt6pHn4nfFvHwv/75o5vvf/tVfr7/
/fLX//mzh68F/2z3dS6+lr/ctPnX8nu7/nc/vrbd335VHO83EmEULQm0KfCT8//6y/jj+Ueu9huN
IGryHAesMafRr7+UKN3Gf/tV419R8iWS5JTgVpKqVTBo//wRPEg2A6RbMm3MG3799xO+/ddJ869V
YkL+/PMv1GLeYl7TtX/79RV8VqKOAKOhvyWfgiz1fHOV0zCWpYiRWUmy7piSFTzqRexPC/QfrZ2i
oDO05DPqMt/dUY/eOuqEvcXS7tVaw+ckG0JOh8pDhXmu/KiZU8MXiasfpM/529Ycpp02pDe9PXzO
ser9Rg9Ku7EngKMvJv7Sa6zboM/gKRpPVHNRmXzl2xajLp40Bv3zxWBjRtkHR8zC1+sReXx7ivuH
eZ6PcT13+k6PBbFUKiZjV0XVcKLllzxWOgXmXJvs+1qZjFtVpZ4l3HICYJ0P/fvGzcTTtIhPar6l
GvHMSzu7EiBzSQwI+8CQTYxVHUJ3s6SOQAMHLeL38UEzm98RnZk+V2aNFo0HqX1nT6L6Ws1m+STq
8QMGmeqbMsJtJCnKwtiZRpm+HdRCfEzrJZ99vfVCsOx2TwTjFeOPGNXsmzLuPgMLNG4KNR6+gp3V
CQHmonzXuX21U9SZ3ityWTeNh7av78XEeH7VAag281IEc5x8Uu08jPYAlEKukdmK0QxLKEI+L+RP
nSr/5wlxdqr8h2fP/4enivzOr5wq/T9pD/zreJJnkPzb/z5LzN/wOaJ/+yz9CYDvxVli/gbYTacZ
5qJqA3iLSumfZ4lu/Eb9iSoDdXv+f8r2L88S4moAFCSJUo7F+JmjZB2ukxHAaUaaCFQcw1iru7eq
uy7DAnM4tphqB42hRfsk1peNpGCdf8hRpCmbVJJF9GuNvBZK5YjRzoejIuBVTZRBYUDG6T5RjC3R
2q2hmO2XqQ6Y95EOdDEceaJvVocaVOiG5g49HXWjFCLL2C+PAF4KOSAp6ERzgXrMaiTXHXMz1/X+
WFUKVD1kJu6LYWwxf+xicRw8TxyLVm1pQWvt59FrjI0G04WloyCLujjavFKaaLV0QCxCqWzZk1Pq
NlVvPLVxSq9+fuk4oCWglvIIe3hVzG9F3GqhlPrRhKLcLWmd3EaFrsBG+3nUFhNKXZd9SCdFmnec
L502Fi6a75jsttPgHh1D4tljb6sDdWHa6MexGZEF8axXDM/S6EXkOmF31NXQo0PSOe8pyWzhHy+N
IjXf2faSxrSWb+sdEsNcmN1RuJ15N1dTiM9Cu8X5XVc+2IKsC3x0zgcgiWsvOKzpXcn16o6RXjY3
tWaSnlKfvAEK5NziH+rskHnw9tgjb4lXXno/F4s7XIGew5BVIqamCllG2XXHvieAheomDiNJzuHF
IXohQnj9MdPLomZBsZGHpZ10viOcRUUCr9DFsQy1aoeq4f9ydmY7ctvQun4iAZqHW9WgHtztdhzb
iW8ED4moeR6f/nzsc87eXSqhhM5FACcGwiJFLi6u9Q/4i02xfUD6oXlniYR3HaEWaTG+GSd6LVIT
QglR22qqglrLnYdF7537vLSb59qxivv3z8qhxMfrwIS5t4YUdcUgzCWP6Y1T08LZvskPJZbPZ2XR
3+3qyqzeDrVKFI0aq88uzxiqa4270kytxynK9yZ0vRkuR1lFomFQ+gpzuDLIOeAQak0NJFeU3v2H
ZZOwG+YkkberSBTnyZzXUcRclmi+s4Q+Utmw4mOi5vHx9lCbE/rfodaRaAhFF+JiXAYhxaR7WPwU
7mL9n9uDbG1utFD//3zWl6LdA8iDolYGVQISCryog4qFotGkHjr/9lDyM19eVZLQLvUkeJLypFll
q2hohXOoupSYWqsJog7SWaziCBG7+S+iYbbzpTaXD5N7+TxBJWMtzCUiZUlgXpRB5sTKWZGowFRx
0nd/JNnap/1LAoUi4FqXrx4Up4CKWQTUBL7205CeKs8cz7dX7uojUSwleaOgSV2TZo58wrypnJZd
omNcq2ZB5+J+acMs/23gGgKjsMG27fZYV8v2OtZrF1bKi6xJENxWYUmmmFFztKcfYUTKziMkLneG
uSpac5ujjwSPhMSTOu0awl7S6M5F0WWB6qbiWbG9GIZai8lBihnj0hT9R80W0xPm3fUHaQD1MaWq
9K3viyU5aIpLNcUQy5PTK4KEY0oeuQHazwU0oh1Ow9Wulb+TRZfUExTR1nTjEE0JK+7iLOij3vve
dKH1rNllHSiR6RxVFCd3+msb608lCkyBFEKQ5IXLb22i9le0kZMFuqZ8nVWUiTMKRO/dtVBP4F6h
hwaPDQGZVdaYLiD7U7XOgjTMmrOT18MJ+dJ+Z+muecCS4QIuHXEVyYJbE/gzdB1UpVfSABNF8aPK
hDEfbcUoKCCaLmWyNqmGQwXN81As+fSXYQgvqFEL+5NIrvtCb6vPrhbpH8a5dj7kBgvh18owpn4+
tMuJqkR5HqtSK5HIHqpP7z0HAFlAdUi0hXTSlmfyzZnT4eWgr2nSDsmwBs974CsNmtw7J/sqd0JQ
SzaLgdeCRQKRdDmKEnlq71KHDcKmCv+eK6Q5ynGOzvNgx4/N0DQfwnH+x0Fk4vPt6V1D1OXIeOJw
0mk7Ar29HNmonAJgZpcEjhDJhHpnYny2ltn6UVbNHB/G3nHwpLCN6dOcqGl5rKu5Rhgc6a/lQ+Ui
huSHXet9TwEFfI+EPU+H1ELnec8w4/r48bYgvwNGT332SsIZ3KI2TlSPA4B/BiyG5LslCgyvu3w+
zIuxVwbe+h60dFSpOcRrYw2Xy2RFqlGXJAB7bxwQL0etXz49DnYXh4GdVub3Pk3toJrt4svtL3J9
8EG9eDIVI1cHr2RcfhCBM+/cij4JptAuT53o7ANOlWlwe5SrkrCKjQpoQKiXgPCkGvDlMGhI2mPc
ZElQJ01T+JmKVqs95BNiXZP54FAKe5hnTXxZqOMcSqxo7sd6CM3jUHTTPSpR3nuvafl75JvOkrGC
3vfl74kRldTKyo6DNldTNj8qpE3c722jjcUF04LoMbUKrus1TqtZ5mnpkTEJeqFMp4jmzUlLgGnd
Xty9UVafUIvDmTYNo4yzk59S7nNfL9JdofXrdOAVdESthK4vAXwVmkLKe24/myKYh/yjW6jGZxFH
Dd5Fgh6Qj4p/3x6qejYRLVDs+M+sVOkKl3opzi4gzPsYPb6CP3r6b51D9W81OfGevezWSkBWoK5E
AAUjsoouXRkrGn6qIkgQVbjLF3d5MTMjOd1e762FsBEplRqS8sm+GiWtFy1KcO4I4jQfHyyvxr/A
68WJzH3Y+bTyWFwkr2xTGm8awAUKreyky20qxqyF/NCJgOrKv1PifGxjEw+xzvlSVeE5cfWft6d2
jeikOkBJBYVzavVwOOUKv7l/hKsNSzMVIlC6Og1yrOEiPw6j7ljzhP+oacsYKI3dPU4J8kGLFRVA
HAzxwqe0vt3+KderLDnGtB9gaIAwWGsJIJSpoi4XCzLCbPnTdhPtKKTkiQF5YicYXEf7y6FWwalc
jE4kA0PppNVnbCDSOwslvWCKveiD3aORdHtqe+PJ6+DNImtmO6h1yHgUsdOzXVbG7zhNpwPNGASY
wP7tXPcyebvcRXxVmdvZLg0T8ESX4yXkOp2nliIwRKjd1alqZn7s0D/DrnHQnhS6yIfRQYk9DDv3
7ywJtX9vT3hrW7HEgP+5a9AoXXuaCCNV6lZjH0e1Xn9qgMR+deh3HfowNB5HvvKpdvIsyGYzffCi
Ojz1rvBSvxreW34gHMMlQRX6tT61ZkGLqXS8KGtEMI0adTyO3aEf+saPbHA6t+e8tX+pfwEYk4VS
Cm6Xix5OQ6NFZSQChCHSw4JSpJ/Os3vI9GpPBmlrP0G4gIOGmTM9sVWU6MoE4cnMiYJaFeLBENN4
yhto5MkcK/4ssmRnP12HWUqusgtIt09yjlbjpUMDOjM2oiBdRPlYNIP2r+oUe6SF69jHKOQMVJl1
prYGl9dTUnUtnmmBWobDtwrSjwQOa2fdGcRh4l12xJZqr+S7OTV2KMmBBYxyDUWLqDWSahZRQF+6
+ryU/fhJaMa4EwA20iE0lGCSAOaVujmv5+VNBFAUd5oyJYmCJTPzT+mSzr8iwsID7cjwWR9r5wFf
VXEyC72iPpYUh6FwphcA/7nvlMUeDfpa4YRTAbIERLksQ1OZu9yrol4IIEnOUhte+TElg/taiEXh
Bm1rfCZS4w/VLazGt2aj/qdMNOOk5rN5h1Vd8lTpUXRvFKnYu/u2PoUNMJgbFiYg9dbLH5Wr2qjE
Sh0FYE2Mf8D+DofcHoAj3z6nVwhICTsmJNn4tvLy5bq5HGcejbm1OxEFPfvhZ6lXGIU3gNS8fLEe
q94u72evEfdeBDmryqvq0zLN016muP0rXCD9kiBC9rJKSNkLXh86CjJpc7L8VYyNeQCn2B87kbUo
zHYuJWAvPXaQnZ+xbCv8PPbKv24vxcaKU3J4hcNTT4e+cLkSg0PIAkSinHPcwD4hqGCdXC9tdja/
/L+sbiMaeBKKSeiQhoCXo8hjJ+xiVLBN7b4q3dQ+xSI/F7U1Eb+8nQfn1mAcL2C0vEBcODGXgxlw
ipZ06JTzlKRAAHnsncgnLHSfC/eRqL9nmLG1hBIQhn6gCfHGWF21oOtg52Y9kzM8qB9aOh6U2El3
tPI3R6FzijyCJJaufYj7AnUJu2+Us9OXmV8h7HROwmmvXLMRgEF78/wFAMb5WAsA0eQQS1MzytBY
yUs0u/nJa+XZx20YPc56fAQ3E+9MTX799e54O+jqHESoiveQz5VzAnnzqavG7rHuZi8Y2tL86QBb
vGtddwjCKtzTDdtYVOnDTqYNNQv6/KoElhYK9Zw4Us5eJMxAHYj6y1Atwe0ztpEWsBklsRXNNI67
/Ps3kT+W2HQLSd6zltvZYWqW6GCVnu7jJrwH1NiYEPcYFVzonogOrF9DQ9ho2Sga7wwbz/3ijvXy
2KDFupNSXZsNwN5g4cjV5VuIP17OSO9KtVlQNjvbDaSZCY/W/KSFCVo58aT+MrSxOC+JGv+2Ezdb
DhMcuF+w/TQsxdU0cOx0OOK1Gr20vaFEPtLEoFRBMyoHcGvVkygs94hp0LgjOPVqhL7aZ8hxoAOP
Upl8ya1yGJVHTeiEMe7UaVY9m9nYhsGiGY0b+24OiO4uUXqBcJyjzn/E2WIOvqeK+FeqlOkfemqF
L2J29NjvcJHECopPXvk2qmfFYR6jPtpB1G1sGpk6y2oU5X56GZdLXKdebytaj73hUGgnr/JiVGGV
7OQ04D/fvT/fDrVuO6oj2Mmmk36NbTx95Jpo73V9Gp/qaQl3vsHOrNZNjHkYw9Ap8SAUmFb9iSSH
eufQO/lQi378L7PCOwsCB3gFtHcvF7Av0yjx6A6fe7Vp+qNRJaI/pJgC/hG6uX26vYQb504qXPCl
CM9SKvNyMLxsrQGDa1TzrW45KMJdTt6I2sR/GQUOPgAm9AXW8toZw89Jw56gct/7XtEqfiWKPdko
ubPWx4Ry9P+Mstp5qWst6pTVOL4Ndf0VB0y63qFifrApvvpJrqD0gjKqdVB7TAZ92wbJ+h+mSf4H
lVzG5HVOMjqZFpoqnptKkyu+isKGj1K6dfgPo6CxDW4fxXkMWy8/2bJ4qRanFbtew2qTfxOsaB7t
ZD6bG4O8QNpxv0pbXI7izgkGM3mBCaTq/SumOkLZG8/421PZPFU8smX3g0famtDTU8DhrclWj+ve
fBZCyb6ijWUFbRXuldv2hlrd1WWD5wJIa/xQ0y5/ROPeCzpzXA7JBL76/bMCoyAvzlcC/mooeADi
/1rZDmqESkqXtA/TXMRHb+yc/3B86UyQA4CK4Im2ao60NNyoa3J8S5hTZG9lcyLj0HeO70ZyhaQA
Dq9Qr+hVrbkiYdEioTEkfKZxsB7qOY4fMpBqd3D4DT/W3eZxKET17fYqbg5K2xNIE0Qo4LqXG3BA
wqAYUuw1kmGsTrL7hfW1OT6WXbd8pGTc0WYw4p0wv5GCw1bAKo5jhX7fOt+vGs8Z3JldXyWp/ZyP
o3HWXaU6WVnvPDnC2LM93jhl0gebNI7KvgSgryaZWkuldpxlROiKYx935dEqxz0bnI2lpAaOJyLI
QYAFa/1ujMfUWR0YBXbBcBoj1T0WvCeOeHBqj2pc637t9XuX81YdjV4NVWcESSVrb7U3y2qCyTTg
wVGVFCwPtaK3n/QoLsqz3Rfu331GjDQro3iJWmzIqlh200ZUIR4ra9F35Ow3Tj8YMhiRgDFJmdcx
UxpizBghIPFdhjEiBn1zUNWwPiN7/F8+KXKTgMgB+8EAXd2oJtjMJsX54VwBff40oO3sm9Hg7mSy
WxvHQlCWXFbSetZcDFspR7WlFg1tge3Zq0l+jPv23e6wzIAbBtwpClggJ1efMOqXNgkTRqmAy58T
p/+xIEAc3D7oW1OBamXykqGZT6Pr8gyk+FpVWQ4iPm6TBZVTFGIbbDDef2tylYEXA4Ain87yjLx5
y7jeosdZhg2G4TX4kepYB4yu6Hc+y9Y+A4QCoU76wtCuvhwF7d2ssUWLE0A7u3ejEmkPoSLyT5B0
m+PtZdsaiqcfmCDZtON0Xw61oCGDhhB68o1T2Ec7suOTwuPjXAjV3PlCW0NBlZBmgeA82AiXQ6VC
G5xlQpUfoEJ1XLIuv6s0Jz9C4dzL4TajBsUaMg+CFanp6vhoWgJVA3THWWus+zhVoBSVyona9F+O
0mF/HTlfCg/tw7pQCRet/n3s6p/vX1leMIgEA2uQjebL6YZjHKYpLcCzTqDCls6lmJeaxampvXHn
I26krDL9gcDiSE6zubrkrMnt0lzFZbKtdOUxKi39WEW6OJShpj1ZsQ6jeSzqE7SW4ZNbt3uCJFtH
j6sVVwJe3VIr63KmkdelcNOQd8/w0vUdfBAOA7FyJ324/qZSY4TYK29UE+L5KjEv8WGe46HGJAC7
CmhccVj4cI+c3wqSMo/WouHPgeLLqSmT8ks/msM5Lvr2xUwW/f3eqCBVqADI5Fk6cMsVeRMGllrT
JyTg7HPnqvmjacfZA1qH325voCsZEsAY6AkhP4Z1KFWGdT9wrCZE5IGzn03kRebTUvdaDfcxB3Wp
Dv10hh46/w6NlESqRlRvooiA/uHsLZXjO4bIGn80Y206dmOZT8HQqd4QDFZb/IusRwpRdHKS3G/C
anhU+6yGVgl3cfg8NSgWOS3dutOgjSVmUJY2FPjVq+lOmJPB8u1LC0INnQB5u0t2Jwigy1WM4MxW
bj0MAWpx5VPLQ+FQFG5sslsX9a4auvqLmujKP7eXdR2GXkelNoTjNjAXOnSXo1ZWlOa6BgfCbur2
lKQZhJluUP2iadvT7aHk/2o1QXrYUo9I2jFzaVwOBdEitFzuOiAgOZY/pi5elsV0Dqj1KC+ikrKy
yIf96BY33WErrJeWYijpkkP2SbjlVpR//2aDekIRll4sA7AAc/6XcuzvRcVHLG+i+i613ehuWtrp
x+3Zrhf2dUwKzpLdycBrQQ7hzEWjD3xOM2v04xJNiPOI0j2Aqpt3ruF1gk3hDbVKScNHJAPVp1Uo
sNxEiYzCroOQaxQNZGmRVqqcf4COvmIX3s5yrgOsHI8KPltV6ppTx79cTh2lynwY+jqYCqNFFltf
7ocIL3G/j9PppIkx8emc2/cT9/YjnXWM4m6v7TrEvv4AaiuoydIapFx1+QNqPLfd0M7qYO5aB24v
F5yfq1O+x+6+3jfcHvQjIPlKtNzaX8Dt0eMh8laB58ZRcagKffg12YNkGpRFfO9qvXHMgY8Gt6d3
vXUYlnK7JEFxba/JNVht83CkExOkQ/YdG6fk0FT1n/Ab96hJG+tIlQieFZUxKRC3+pBG5Y5Krc1l
AKfSus9ryMJzpMx3756OBQ5aih/zGgP5f/m1lmhU7WpoygBhlfHbaITKPbl3cVQLJd3jyF/PCDYZ
kqXMB/YEoLbVWFqKKficFIFQcHUxnVbzwUBmx9szuj5wQPWk5wTZNYX1da9OLWc1pn6QB3XUQzbX
OnSGbSMYTS06tEq4pzu0NSlePhT6ePKRy6+2+5Q0VVrwyAuUcvAOYIWic5buuq5vTIo3q1RQMzhZ
ROmrpUuWXFhl0NspSjOLcUhS867t8sQf0W/bWcKNOfGR4RdjVisz4FX6C2HascjMyqCZ1OWT0ZXz
efTU96Jp5QPLkCBXMkE2xNp81wxRYtNqrQxQtjA/jNBlvxqluudQcH1eGYVigNSgJzlRVzd3Nheo
IXUmDINFDc8Qn6jOI8keTLmxK8fAR3h7h8oJ0VsEd8ZLCOkBuaxvbrJEteo0VdQyGBBe8VVgf7Tn
+z0JsK2Pw+4Gt6KDX7HXqYhC/drKpgx2xjhqB71aOngGyl6/bWvD4YUDxpY02QObdDkXb4K3W1Re
EYxp7f4l5lY79bNnn1IPjZHGqcOdBGtrVq90NG4NyvJrCGrWa3la60sR9PihnV1HEYccW6933014
XlI9IFeVLrSvaeybLzT1Fc4+Y1YEJZCiU9FmwPXt0tkZZWPL0QeCJwE/gMvYW205A3uDRsMvLhDj
gOa1WeSnhWUDZ9q9W3mLPcfDUQpvAXqkmrCKqVXWxbmScEtQnO18N3HBJhvfaNH+bET2b54Nj6Iv
Ppez91jFzU43eOObyasDoC6DSx7m5R4ZmzAbKS6UgddH8yHRhgqgabE3xa3VpAgGCZnHMTpKqwCr
Exbb0CwZpWzBAXcEWJwrPsVusxf2rlMn6v54ZfFeerWrWI2Eqb2twIEoA9Dn4hzWveW7rdEHYdYm
z8YS6YcSWMcdaM/ojzoz90wHt5aTVj6NDriZMLPl37/ZnDB5narukdtxSm8+NIpunemBvledV24Y
CmhSMZfW1BUKl0QjV60BcpLorPYlWRSw3TG2a7xkUiP3i1Qddo7DdaIm3amRcMSdiTC/LqanWl4o
iIAWQdbO9SPvQ15/UWk+NRq66T7KmLoPrqDes3K7Au3ImaKHTc7NtuHxtNqe1hS1hRIKQtiEe3zY
x8qXCHHdB7fRzV8o2cd+3wvjpYuL5kEnU/zaA+7xbycjG3NHsFaiQEgWaTvKMPvmm8ZmPmq96uWB
1nnKQzIl2ZOpUu5urQ7aaKIPTwAB3gstYOJA8+TtgGob4XsVE+C5d82IbFzQABi7w6DHw0ky6nYy
x43tapHjS04SFH3uo9XUiNaulet5oGIw92kRFco3VBZOtxdw/S6Vc+EjoiojJZ7BA1yOgh1f0RfZ
mAdh3aGrsVT6R2iq6JghRXrEPW/0k1oofln30fH2yBtxR6qnScS1wbt4DRHt8l5PjKbOg7xCNVfl
oeSnBsLti67uaRdeQfxeZ8nDidMPzYRk6HKW/FcwQ2OVB4pt/9Kq4oOldE9d7B2TrHnRu+HOHnOP
jMK9r+f6mCrJqTaiu6Yqv92e88Y3pSxNzkwhkoLguvytF3VUdFxaQd83RED0QPwuTZf37xyov7z2
5UsK1PMqzhoJjKEsWrKgNjWkq1LDOkd2uwfx3chgWExeHBLaTAF8tabq1NRam4NbNnEn9osiU+4V
oGYokUQ+FoPvbYXzCSV5jp1KdkESs8rQjXDS+q5yULlsKhTc66L52xzGZaetsxFP5AsKsgo3rrRG
uNwouRONsaGlaWB56fRdTHp7wiS58csp8R6yetAekiHS9vifV9qqcnLMDAUzNBDICldhTCxeUgi4
GgEw1HLEsSTNghyWzp2T2cj8JNF4CvNZ/7RouXaEh0CrGdvm89ia9GgtNztE1WJgOVg7OynIFVaX
X8ZVRq9XPrtln+NyQWYFCWDQrWlQGuXgJ0ro+KkosA0wvQ+umTyHYRyfdTX66Ij8Q1KMz3nt6n5i
Tb/ffXLAeVAkJLska17jrJKmMLEigZOm2J320Ldejfx9P+xEw43zKR+ZNn099gB36eVsqTNOvVUo
SWDWYwsK2m4ews76dXsqG4EPEqP81FItEYTa5SBtkbmVOdtJEIKwO05CLAevhRfVe/3OSBtHlH4O
G5kWJYfntYz+5nY0JiC3SzIngT0tKBfGxLfWifh6ZP7LtyVK9x6DV4V5tgsUKTylpAMazLSruY1p
NsQw3dwF1XvLmNBuyiMl/ozZgxVU3pQdlSlujm3mev40z+KxmcvksNhxvrNztz4lSjmSQ2zJhtbq
JMtMadLCPAk0dWhOS5krBwVA5TvFI+R8paw9iFca7mB0Lr+l64goE6WawLYto3Of40jpgaQ5Iv6k
7oSm6wm9Vm8pG0hrbs7k5VDqLMzRCfM8gHel3Jvh9LMdTfV+Z2/Kt9PlG5tRHGmZDXwXts1qQkUd
Gl5fiDyoClQ9DuNcxfUnk0RuPsEtC9tDMaIzdUrF5Eb+OFRt7XOf6h8lih5cbDguP6n9ZsOhBS2u
UxCiG3YU5tR8Utu0nQgeZfXTKp3od4quNsxbJQ+7xwUR6/nokavahxyI/W8UW+M/x7yZkP7N59Og
6s3HNBkbHOA1o8V/J2uKPBideYngRCGWfqcQAb+qXTuWQWvNDRpZNgaloWZ8rw2AJqgQGPmpsmv1
R4yc7z/KbKrz0elGdMXcxlN/ilqZtVOX9eGdqVhLfUJHM1/8IXVAbOoojvomJtPxTsDZSKJZb95d
hAIJv11XWWe1TpJON2CFJ9XybWg8++86sbDz1rAEq3KhPWm56XJ/N/qDU+BBpLnpe7uxpLH8BoqG
wPXIpNcPCN6fmY6ENleOvUTnSR+koYfV+p3p7L1Vtjax3Fh0sxgQ04LLTdyP+PK1HkoHeo14Wjnj
ksYr4/0vPY8qPU1zBA0gfq19WLzKsIraa7JApKFxZ+Xj8JxBp9s5+1tzIZmESitVmOjQX87FjFKW
dBkhblXlnzhdRUEY5spOu+H6skAs5s0gqwUT+hyLdGaQNE7ocSZuGlSxLQ40zveITZtD8YqUSsG8
z9eXXxEtfek0QxYMkdpCCsOCNgSk6vfT3O3M6vpiYlZAel8LunQoVlFmAaUzI1DHB8KY8wFxXR0O
bZmrhwynTuFnxbRHdLlO7BiRO51qjnxPrdPHJGxir0kY0apb48mh5H+w5tE5Nli4H6Qgy3lIjPcX
qhiU4qvkOoF1Wad1aZpQyPREFthDPD4MpYFkMKQMLuFdLd6NzQiphA3PY076Na9qYu40DktReGkw
x/n4lOW6/SOtHeX9JVha0LIDJp2wIIqtLiGnzcEFNgbDWPr4rLdl+3dXRPnOLbTxsThRZBE8LqBL
rrFIvCrI/6GPBEmZRQdR1do9IoradIBKrT2NQ2wfh8Zxd6B6m6NiAy8xIoD517k/TMjenus5DSIY
aefaxIhR66bk2Q5T9VxGZvLVXjwruH3hbn035kj3RxpWQiu8DCKID+uyKpUGXaUNd7HXhX7txO8V
JSPCa/SgqJiCCeFSX0URltLU2rJLg3Gpow9TFWa5X1pDuRMR5bFdJQ8Xw8jJvsk3507Y5oTgXmB1
bnJvk+c6/tTlv9CSSc/4EdpBluAEf5hz4T4YXbjnOb3xBVHypwcMKo/H7xr41WIvFoo6TIKlMLvn
AWGvw2RGuFoOGPAOrdncK3kefb39BTeeSLQQKZxSDkJBjIT+ctZxO+dJVdfoV1hDXJ+4aLznuGoc
nsKt8e/ous2voVGdR9KqATnjZLoTiqIHNszGJxX17p0dtRHG6QCCjME4kOx0jfbPiZ36pFRJAJ19
PMCzzE7FrKnHWhhi55xubF50CKWaCZsXaO4qGuRuOOvZxKOMrKLzE1GnpyLp93KkrQk5sjhlkpBK
9ODl+qLm3Kh4xvJeSgUs7mWpzoWauJhvjO8VAuKc0FfipEgNYFk8uRzKKdVQqy2GErX3PbLd4kGN
xR7Ja2uXgoqARMwdCFBrdRj7SUB0cfUkMNwwBi5eT4jRz9EHU8zKQUS2fQ/ec+9ltvWppFcSSRHz
ohN0ObMkzMsed/QEQYFw9DVXH/+YhrL+cvssbNzr9AK5ZF8rpN760YWcWWjqOQ9Ox4rHjynmSC9F
EqJp0hf4k3ehYe1EnK1pebBXaaXBlQZKuJrWXFfdEDUUTrTSDSzFbM/KrO6pEW5l6bwkETRj6YDi
rqsPmaLmg5kOSeBlw/iginG6H3MNA5yqT1+iCJo2iUx2D5I8/tG2C/U2lPn/n4Q3Mrnb4s8b54Cl
RVcNVSzKIGtxtTbBodddIuKMu5hfPQUrg1pFrKIJhz0axcayctgsujVMGqHj1ZHrx36c3HyOg6JU
ix9ebLI7W6843t4tW6OQjdE5M+C5Y+W1+nj6CHZ7ThGIUbTvdQ4q08BS5v3hEKiOFGtm7yNNJ3/E
mzuJsjJ1jkLEwZRGyoGy3nAoNHv2cx0p+dvz2fpAQMHB+kv0/RWPJl/GAmsARwSaUP6uoyk8xqP+
omCnefgPA7HtGUKablyVsz2jGmYHMZrSsaNDObfqCSsA4Wvhu/kgREQoO6+lN5rhVxoseILpiCno
6N6YNfU/zKXPphK5p9sT2kgcEJyi3IqZnRRflyHz7UdqrCHXwfsFNAGRioA1EcZnByuj9sQ3nU7j
bDvzIQT9svhjBrmDx7hi7XCHroIXbx8qH7KtI3mw67epxI92Ucv5Qjiz/BgPSXsYQO76ZIrOEev3
8L1lejkeSHtZWpXcq1VIxqq5QeaqSAIoDfnZU8fed80u2tn/V4eMBJKkBC1ViR6ndHq5tKaNki4P
7jjQvPFXrfTDUdWa0L/9/V5ZfReZnxxFaifIIj3QI9lmevMBaQZQQo7rOFCoJVT+HLcAQhQk7jLR
Gn+4sZc+2yO2srrZKIGTaH3s542ePzk60oJR2+L24GkDHkht1PpZjdJrY4zTaQJJiOeVohybWFgH
UfeLcnCMen5RcPD8ensSV8dXzgFnEfozvNdoSl3OIUdNstE7VsrEWqE91nWB8H3p2lnsTyS0O8FC
v+q84RtPysSm5z0l87XL4czYTBPw7qix6Dq6DtFcJyc3pET6oFI7CR9aRyJus2aCVxBO9e9mmaNn
rxxL1Gqkya8bau4DRO3it7ANJShnfcr9NrLKp7hwhmeRmtGp78P4qVxGB0hrX/gDgoGHwljM+65L
3KAY1OYuH03jvg6VH0Cq9zj013uPKSLnAIcSyhVR/nKKsaYWGrAIBJzKzHqe0zbxU7OKd87RK9vo
cvOhrkbeIT0WWM91ucdOjEjLkl4EoR57fr/oZ7XS/xB1B+rd+9r2+qPphC+o72W+mZtnXsX3nomp
clg0B1HML1Mx/BkOdDZGdVT9ZmzOddYb/oxET2lMO6WP6zWRFSlJTCHBBHW4Oikwvj3FpNN4Noth
HvyiNHM8Q/te2dlf19GMceQDAPQIrM51yhKlyGQgWuBi2rsYnzGaLH6WlP1zGvVZ/sdCFXdnwK2J
SU4HnU2gYPxz+bHT1pmanqvhHHqDcu8lvLuMSWTvTfgAzUmog+TUydbxaktZXgwbkWYH/IZmvMdT
KT5Kdb3/MheAIiToshqw5oHbRtktVc5ckm4WT5Faj36Vp/HO8+k64JBkASaWz0Yy7jUhUbh6OaQj
tJCuruqjXQt/cMt/CtApO9PZ2AsymwOdh7AZ5crVi6Mzoq4UrWufiyiaH8c64wluOLw9Bmv8Us/2
3rnfHo+7RoIPgX+vbrbYtLq8Jss651B7vo894pq4981+h9jmaSw1aydyb2w9ycIDjcq9De98daaW
tOg0tLzss6t3+mMorOREzWg6v/d+eH2ASjg7zDXkwi83OIR9D8kyOSsD6JAAkHLXGvOELpC9R6Lf
WkDuIgKnhLmBVbocyphd5AaNBX4L1d+HZamNj8NEv2P5YDVJtbMNr1dPSgYi/UNnnSC6FrTqYqss
jTA2zo0+275oGj7UqBg7Kd71ZpdtOFqqFEO57F6vwzcZQokD4cQw+tmtvZ+LnWoHDMe9cwPfZKeO
tzUf0A8m2TGPQiDyl4vX4adLRND1c+MpGSh5qz/mURa+OxAxH5Cv9KT5TFxvl6PMRqSOUWTotKGT
xI/TXvuitFr/53v3HBgg2jNA1iiGQgK9HMVDdlKU4aif8ccJz+jPxOekstTPrW6FO0NtLBt3pyTX
gj/ABXe15xYTAeTSnXTy7vq+HUzrsc+dPfG/zUH4OCD8cTKir3E5n6kOVWSJGcTOiplqP4598ajs
dZmuS3Iy62BHk3pIWMW6qloMGbquea7hqVk0fzaiA5NCsO/EJ9y3huRFC8e29VO1wpXZCYtK9Ss4
1dF9ubQL4lILUp+nxbZwtbv9Oa+nTxb0ig0EzSnJB5fTV6O8G2OIFWczstN/MhCX9P/VeqdTfB09
KJurVLIl95W2/yqz9PI5bzOrUFlk+muuOyMtH2UfBlFXByvPmp2TvTkcXE460+hZgQlcTSrBKhrc
inrmwCz3RWXq59hGjykapDMVDm87cfhqESUBhwRAtt6lwIiMNG8iyRDGZmMWpnU2BxtXI1zWTupi
vhvexChgRLmVeZpBNVxFESw7EZ3r8efEN/G3OXTOoWlnE9mA7peiWPnO23NrThQpeArYhiy7rA7f
VMVJWzeqdZ4qMzugPF+dIs/IdiL91ZeSe447klc2zYYrAH0NTTGuFNM8e8KOgsmjC2AOy3jfVg6Y
UVPsSW9eCc6/sm5xSuUsvopJrHZi3NO26dFIPSd1SCexWoYuxDOkzRo8bk3gAKZZVYLStI6me7tk
uuXXTTR+xYDDSo7IzZXVwRh0vT+4Yuy0U1ZqisHFUZcd5qIdiOxsrOa9JpcM3RfvCVoHPFwAslMN
pjm/2tB9QiaVaLV5bqJs+lYAujjNhWIfjQoeG1pJ7ocJ2MDOE/o6Zr2OirIwFRDJJF1dKP3kLqoT
8T6JFpE9l/PgPXqIfDy6mYvrWY1lhJ/a5Xi0okopWAPbPVMILJ/NMgl/Dobd370zVvF7uD4lwBf2
krpGvkfoO2AJD0vfK4T5PKMc5KvZ3L73GmUUREIRN6GuKq1RLg8z5bIOS5kOVYzOnD+YY2VTxXL0
9x8vIBbcB5pU376yzWsMPUb0IzXPM8YbB2tA9bo32WG3V2xr3yChAEiRpz3MqFVg0gs1dYzRNc6Y
OZThIXez6ah5sKT8BkPpO55E5j0VvT2i3kbs4AsB28DEC47Uml0+pc6sZQb5m0Ij0QeMAFu385qd
JdyYnKvTwybCEw0JvJcfaizMXq17VT+bUs3b0xjnhMCahjk297kfExTxErS7r7fXVIbZ1VlE+oAd
AiqJjHot9vd/KDuv3ryRLO9/lUZfL2eZA7AzF0U+UTlYtnxDyLLEnDM//f6o6XfHogw9bwM9DXjc
UpHFqlOnzvkHc0p1NDYnEgZlDEQ3jel9PIzWRiknm5KW3+GY6cs3vj29fj7wh3yVogy549IE4n8o
cb5/30qx0Con9pAVd82m7bPuMkGP/jB1pnJip32snjEWwgDLDYaYg3TF+7GSuovKrpuUbR7JkKzr
sExdVNca3nospcTzKbk9h1jtesC17Q1N6m5jxlasu7gstxtk5Ooj2I3Zi6ey3k6E3GMahFi9WC3q
vhINM6crorOKDSLCSc2wrFfK5kRR+jfLkJ4rAF1iBs37Nd3MQZBL5tMoW8eozb00JrHr0zM5scd+
OwryISojLCSS1VQ1mS5TQGmVrWTWV3XjW9etHysnFt3yS1aLjtNxifyMwDGwOvuLhlrmKHfKNpJm
Am7U/3DKTEVhrD9MDdf0z1fab1+JdNCiIUghYA0KzyMt7PymVLYtvidCbjXrkMz4UX0+ypsr3Pql
qK5zGBMGKeWvXirHCqhOx1LeyrmRGy7M6PoRHzEqghRC7B9SkoUPRajGkTtqSLdRShyHZpv21ChF
EHcylEhbaV4rbfRLUaPy+aJZzfw0+HWfiBFbTH0DFaKOXKnWjdStgVhHO7T7OLdSLHBL9LUd88nI
SsfxdG1Cyox/QbotNKWPyL99bH6jWM+/Z4Nv/3Ro6r0oXH/ve90evoythLmyMWn6I04NyShgdxtf
9aCBOgD9pVWEDFsPYKtqg15L9UAe3Qxl21s76WUbqSASuA28zuIujYbkMairMXA1PVN7t5eLuXaV
0h7zhSyTtoIHn4zNf9mFZYV2k2O26qexKcwAfLCQCzv/ceLTfFhuwEiJrdSbOGdhVb/f/o6dljO4
J3nLrczaqGNaCtyJS/ygxlPCTR+ZEFwiKZOC2F/EhXHbeD+WbHR10szVvA25B1UuV775wI0959jN
sqg+jHXcS4gDhnHnpV1gPuA1Uv5QiyE766Lc79wpHSiQ6klePP/tWVh0nei9IHHEQl2tz3GsyriA
sgRUs1JdBzKkR+9QEWpZnaq9f4ztHNOL78fi7b0E+PeTQOwLnNoI523tK8MGcVx9K8n2AFywPzXh
H49Nhlru7hxiCxZ5lQF3ciu1dmFMKG36XDmVyi9vlFnHflfXA+m6Twxcd4JJQ7rq8+n8GFUoSsi0
rOlFUoZbQxmM1khDXx+n7TQ48zEp/FfHGOQTScHHiQRPQKtk8U8BMb++tgSZNVhKm09M32gKQ5HC
bdQi4zw30imdh98MhebLAmtZNLCAT7z/ZibuQ72tprwP5VhS4bZDc7SwG8qLxilK5Me5W3Lxha+P
3zyxcnXIdNQoBiUup21U9LUbdLpzFQ5h+vPzL8SW45nfh2S+EY18xKChtAA8ef9O5YzP9ag4zdYv
hsTZV047SZtMV+Zko/nT+F03KnDXchFohTBbx3zoIzuWWUSDCWq5anzfC4sxVbzeyGJVIBIs6SJq
tSoSijIo4WZ0SkPdkDSN+iY0xup+dOYidAc/GmOw3YhZ7LFZpNZXZc5YbYO0gcRvoNm8yVN/0vbz
EJaJOzaUqQWnJTIy+CvEgRv5FAwvyyzDNGaaUyt2M0MNvlVTb0tuafeh7Tl5aZ8D3wv0vRlUoHCt
unBEmQzqvdx1VSD6IZPI3vw46De9WWfJxg+y6MYEfZ3RqQrs1n0Twff8Tg5koamjrQn0WuqXslb8
1NOUySxF4qvZt8qs03soDulNbwfmz8rvpDvAfHKCdVWp3FmVonzttM6WxFjbaYfzVUFpomoKwwRP
rQ4XeqqoAK2N0bnKu7rwhZNYseFOU2GN2wa7anSfLWkuzjPUlWhHzwUcoD6SuoBmpc09tiptJ7rk
2prhad0r7TUl/waqzBzKX6reTiM3KbU+QSpkzjIxR0bmi0hDnmRXmWWYwXxT/dijjarc6kMdaZsh
VZtyn4V196AZofZED7lF1GQBy0e12V+akhSmwg6IOF/8qGzOonBW502lO0O4kOkKbdcWZZ67tpyY
XmyPmS10I9Bfndo3DUSDjAlInh4GGoZqk3LVDxxPIokG+QHbGr3ekr8FzoaVUt+khdQX2A8oOE0p
s9pSTjJDpxXWFEv7pqJxK9DAlHxOyHl6TJqkYtJsiRgXdtKE8VjZcI3tnZL4F0V04Rxf655t39B/
SJ3ZIiiSWdFx5qd/9EE18WVqm1x3mJPmnMLSrG3Lptfu+95JO/JXOWyJmMHguKY6qiaeZF34mmuF
fq4aQ3RNyxX1Cym1o+uULP7WDqqUdNqx8t5rK5tmhxwr5XM9D1g+dVY68GpS4xcu4WBAhb3T+mMR
JsaPBDQFPUFqprxZ5sz6JoiD6bWsE+NOHXrTQoVeVWjeteY0eIPFBcnFX5ZiLW5BIQG+sLt5Dzyp
yVy/DeTr3pTg9psgHVxM26nzjEPojyKz7RHEUByVr2ph+N+RSKoecxtapmi4Td40NAo0V3W4gkOE
UOqLxryy+uC8ikr/figr6ZWLZpO4Vd81uYtKrfUyQLh4jONOVXa1k+rTVu21LDtLTZ3ZHqK4fobV
ZeSY+oV2uFW7MIlEbffxZQ4yOXYtfbKfyqrqXyIqUzfMjg/NgkU0ujJasS+FE3aWCzNfysWA0+gT
Ov3d/TQNcrkrEJfm/7WcvvW0TNEKt0P12hdzmcT3lF2j1JXpCyoiR43gR+NQI9pgT64aXjf5rJAk
Nfxv/FgEHq4bTJEEQxy6kVFZGwCTJvcZQ7JuW2lCas+IE1toStNep1qJqhkupBbLsgkXofvI4Rs0
uRWWQgPGe+YMql8dfKTb+y1byrkyA93GUW2cwBToSlEHojFVmrERioGWoKQ43JNHzrXgEw4xyaei
ndmFOd1qWSy7Q6zBZh7kST9Ws6OwaJXQHo6NOpTQgbk6ti5CtEEmeMEBYz3LbM4kw4xufLMdcy/J
UwPzmV7W7/zQz27MsGpMPmGh4HtmtsreoFlyXTgmjCmLBhO5KXo/1abR8WWQnDYHONhF5zOisfeV
rirz1rRKozrmWPNVbhP1yBJPjTM7btQn4flidcPa0Adz3BZst347j22R7/ouLnOKgLmd75Oy7oHb
RBlY2bFovqV0Pxo3pBu7s/1AJ+KWOdr3WTMY53ZXw2NP1Uq5lEGHme6Qxd2FUjUIoWWYRO6w/SSM
5rgPRkf8o4MWU5ZwUHaG2RM0Kxg293USp8+hKg3BzojsMdi2fZxHuxTFLy6RXAq0XWQMDgl+GRKb
4iAqvzPASLk3JLeDs+sod7iFJHTya4k0qiaNzUH8SlPiol2vfp0zvFV3NZqh8h4zXDUUBl8x4cNE
cJNGJxsNoXW+XQg4oe23zI5k9B1iGVJRbunzN+y8cYSbs1a9sdUkPWgdQAkRDVUxCk1DtmATW0HU
7H2iseypQWdJyNAV1l2AWropHKWqL2o2nXW0rFKS0VPX01SocZ6+pFFXo26GtNIjSIH6rEDv1gej
ptSUf0uLS8w0l9O178xSj3VOnhHEa98YhRXH8M1jSc/5zOh3H9LRN0TBVWrXVZbszkF7Dl2rue4H
yeAwIhGOhYo5WrM1yrJnCpDJwCMtWPw8aaZ313o0BrEAJRc8NoaUda5R9xAHaOXFR7kzyp8FpUlu
v0ZnxCLWZa4nXCKk0kvjnCuEP02VIoLSLCJvmizpvMvQRKUYZYSPmt6aF/NUDdGOSKmNXimpHGih
EkvCcmIMJbtMrwiYVTxeG13cPGaFnxauVljRRDA1Ekhmg1L63gy+JRHFMBi9x4ZJnU2Q9e3TTNtm
hwT3ZB+HMEr2Vc3Z4cUWGf5TYiTmvImSIVAOYS6F3y2510tPCw019lolwKptzJRdO0bFtolKOGu6
llSKm09lds5cxlxio6Ip3GiWgtJVEfi7nFNouj/0aaQw3SWteV/WhvYSOibMYLNJB3mTtjb6+Tkv
24lY4bwWsl0THtrCbK6Suq5e2oqTbocCI0g3rfEnbsaE3eYlGDqbY0mmnp378vRV0cbspZ8VlfSg
qif9Puml4bmtf4bpVomz+Sem1fbjmM45GV1J1Xz0W1AtKvALW0i9ZVYe382gbYyJ5k3V2e1z26X9
1wIN8FRUcJ0fotHqf3K5I70rTaUcxKQ2pHc60orp3ZKf3ITdJIW7Pg3RzXRwCusFTAh4LLXRdoOL
csgYuvM4w02Snai/r2vV+lraRvstsaOmu0QXIX+GMZ2Yrt0oVi0yX6ovrbGJXo02V7+pml6SYeu+
/0pg42xuVJ2aFY6zWSD4Pfltp+fKl0TOrLu+mmQARJmEej2IibTyRsKc5LEbU+dAGmWOm6RQxoM5
s5xAHy+rJ4FegURLCNPWDlrrBqexJBVjWIawTlEWu5GLVAu8QWrzx9JPjJcEHiNJdNw7XyRDDTWk
D4zspfEd6Sqvp/wiHpRxE/VKMm1ypc4Wo4eoe8qyonqeqhYqW+b75Xw/wORjSURjeFcMDkm7FSSK
hbkjBEvR+6gw8g7JBJE6L5IvTFjSH3vkZB7CQopSiCCFVF7OVa1IXi9T2PUs4n0pqPdxIMVJZFi7
UlGo9yJGERheGrRqxC2vyeIreTCn4ksTETTcptb02UtGGYgokaC9QXi9Lt3csaZWZCzVy7yu5Zsp
lUxcOOSB8EbqlU+ipIKcCSXET1bYXexMInFQSxQ0L41grzpY4GGNN9aRoBFedpuktYMHzHWdnwW9
OdCG1hjOogUzeJdUJo5BrSlL3zPcWmZS6TS8HVROURFFlPHGWvdnoYagi8RYBEUhJJ/PyXbMg/xo
tMoY4qnRa5cZt1B115hd9Dq2eUdZQk18z4nHzIIaNy53j1hTWhdHjbJza4RIpeOAV1eEkoUd3sdW
2uvEv0kaH3A7nvq9Y8/ttMm4QmMdKZsVjXz8WDlmHFUyqPyaXbk1/TnK9xU8iHO1btvJS7SYMvuc
OsnWj9SiQX1PM14XR2py0SG3jUPRFeNPAKpWecx0LahFI1k+dS01yNwEesY3TSvYSUlrcZAUdTc2
Vyr+xtk+qLvUcevBiBJPGefxIdfa7skHuhm4SdeHjasObfkUOVEduCA7rec8nrGI7fJ8NoWd8v3c
CMtvQ+hSW39tZZqKQMwy+yktOjQK4eBSrMsyIzhHpr6SNnJrKvFGa8oQEzxOZk2MwOkDLzVjOfCk
OeiZnjlaRA2DZM52vZrB9FCtPo7wcEH/ZGdaKRoeg9lRrQ7iQhsuEdvIh+u+scwvkoXejqsMLVFb
liNr37da1wjZtyn5IbiLyh+8mgmcLUVE1wj6St5XTaqpjynGKt2l1DSl7aLtlF+EU1AVByeZwsuM
PMEUXZLrueAe2j6iVdRe1wp27WKcCyN2HYlk1GVnQ/ObDbXz3Zx7RkHCQgNe2NUUk7bHaXKHTFWq
ia7PHQxEm64ZhIk6dU7vxmmGXcvntneRgyuIawdhH56pueZMZ2RGuE5YpWIf0qqUQfHlCNG6aWzV
d6mSdK95QkT0hmSqbgc6azdZl5D0xwH3w7PYb1JiB2wM7MzKog3PpVKqR2FPddnjpZklSIlHIztu
DIeiFkgW6U9Q6JvQS0yjvB5H/Fj2EmnALknovG6KXva/Twkz7dWkdolrt5V8U3YVSaM2yEW86bte
qpepsbobiveF47VJ1zbCnp1KE3GuMXGtpgYl+aRcdOQwIwuJAhnwAUCDhnKWRASeY9jXbUEGEpRf
LUluo0MC4enRllFn8OY5qGcvc3LMy9NhQhySDKrdtR2lY9SWfYxI28kaXzI0Ho5Nb3B77Wf8xQSc
OhSL5LLKfMKVnfUCSYDgooHrem2HpXmjSjYhW6mCTN5MduWrojfJnqlBx4lFoSQKHcbqktJ1Qtsp
hToP8rPd12jSqeXY/qxi+nV7mHX+thhnx/fMvMmfu0arZe+/tLAvSqzWhm2y3IiLRCV5rKRRNtz/
Kk3u7FUGgIHehkXK3g7avVVStgsMlOhc5HexIkOGwgkFFfxA57tp6R3P7Pxt0U+L6hANexsMN3Xb
dfdNifqp0KZ83Na9foFkp8lp3FCc/ttFQ8sCtoeksgn3n2rs+4JUPHVSXyrysJVhroIzhmCVy9Mp
If+P7RWskLFshKlHV5YF934UYm4TBujN4zXVxRdZHGbXdeakR8U3tG1V2NoJKYjftNYXXgGw20Wm
AR23VRF2jiptNoxg2A46HoIG+zire043bXyQkFkRdl7pboVWtDBmkvcsvolNsuj67/orGlCUtIUl
qC2NMoCE71+8bntO9EBt0TiKh/1Q4giVo6fwtz8ioyDMAyKaN1bWEg6JCn0n0IZ2Cx0U9nZtNaQH
+NN8Xr38UI9FlJP+GIh/ecFKrCGyFMbSqAh65Mz9ob+IU0xqKGUbSzqdup8P9aEci+wjuFXaUG/i
LOuh2rEtg7lPs23VWo1bh3l03YzRcKocy+S/L8bC2wGShdgeFVmkGN5/HB5ezxq+Cx8npYXUk+qZ
8fPo9xTcpEd4baDIT0HXP0yiZQE7Wzh51NApoK72W9rhJNnKBp8qjxNXyWLJs0DduVgB/G0CIGV6
1gWpCFuAhGa1B9S5MWbfaKetjheOiLiq7GZUwE+sig+f6m0UCCXQQGibr92f0jjLh06vaHeU0rwh
f57FrBR/SYf99zsqXPOv/+HPz0U51Zjxtqs//uuqf6nbrn754+KpbP7YdvnPpzYq8v9Zfsn//dD7
X/Gvi+gZU77itV3/V+9+iJH+ehLvqX1694cNtrztdNO91NPtC4Sg9m0A6HvLf/n/+5d/vLz9lvup
fPnnn89QH9vltwU8/J9//dXh5z//XMjL//3rr//r7y6fMn7MLYrkj0OTPuU/m/VPvTw17T//lBTD
+gc7k3Cz6IvoCHz8+cfw8u+/Mo1/gNNbdB5AhIE6Y93lBTdOfsz+xyIZhCoy6EGA72Cq//yjKbq3
v1OVf7ByAIEAwFuI3kCg/98TXv97K/37K/2ez7hAe37ZcBa4MIBuRBFgwTT81iRDyxiNzqx97baR
UOWPkqB2KZtau9agnuMGsuXj8zZScZ7vfpmqvx7kj7zLrosob5t//rlapMvA7DvAFnDHFjnI1U7P
JjTamqDWb7XcL7zCop4yW/MpcvTyW969noLKJO1zZCewO4SXvoon+Bt1WdfKN0hAXtDTfPGptrqR
NB6T4SdqAvmR2LD5/M1WJyusi/djLm/+CzRyAdaBUZPlmyb0RRYG1g6JtmlbysG1XZ7Cfa5am2+D
gaayiJVQs8GbrQZDuQecEYOF+SAje9TpG4j+kxf1Yr7L5CHcfv5ya3GpZUCDIxybWkip/Gn1dpS3
tZqavHpTB9gQ+npzXlPRzZPkAEbhvtYn6RCp3RHHcr+7BMJwCqjx5oCy+qQWMDUFtioR+INCSqER
q5y2UG8YSjvvdPWSe3q5q6TB2g8F1/PSbBxX7gvVMwEo3CXbXoV2VZZ5/DWK8oN0aJu+PZHdfPjm
IGCROlAAni1IqXVgD2CwKGUaWdezTmUVNQLg+2lDDbq05r09VqfW2MdZYEBgaqj7kosilrb67nVv
NqZdzeZ1bjiBO9nRHVWKMyUrq20Zc+2SWnW+R8IFkEbFLYLSuTUMwEKAsB9UjJQ9OSvuqJWeUlv5
EE94LhANi8EQ8uQf6LcyPhyoOM7WdSFXG2xuD3rLpTumvwAtQdmFpkxKN8f7KaXeemJprg5y0ksV
UBzNXHB44NTWit51GlhN1zO2FTTnmRW/OlOvfVGCETSUNX61nO6KrlW+m41a36AcGxwocEPfpbGr
9dN07oy+6n3+TL9bF5BYCf2EOlhgq/iDvO1oBJXKZ6JjdQ2YunLboHtJJP0xb2z1xCpcTz4KpawG
bYl18JmY/vfBAJ4sVmpEwVvb6Z6cSj3UJda5Eh3nUf0ezu0XanVem8/+iYi3lk5EzcQkE+UYW1jk
6KKtVuMQhWXptzN9UweWG8AAO/D0TBPBMTAue+m8arn+tsLIvBS9kTiKPK1//Hym3w6MX+PC2zOQ
1ZNtc6yy9N6/fBEsVbZBVW57imUXluaG1IjVbWdeGrXLWni1zO0Y7U3JXYwUCjc8UO+KT6mffNiY
68dYVsQv0T+toykNJB4jeDUBLz8r3V4Jvbp3JetIYwS3Ssr16ZNZe5Zy1E8RDtdg739/iV9mYbUE
2iLIKFsz/JB6kbIP1H0feXNEK+VqkPbBFx3wYe3W85c096JveXrdhCJ8OfEpljT2s0+xWg4dCSgs
ZVm57czMNarHnq5BZ9eiH59ziiIskBrxZ5D87ucDv2kSfRgYnwIOYCjd+hpY1ctksVOUqrc6pURq
l3RiuHxRpcNuZ771g0kY2p6jQSTDRQxioB6+A97O9ePEtTS9pzwsdG3fa3chdKXyGOmHDMlG80JV
958/6Vte9eFJ2S+YO6KCSNRaLRND4mabaMptQpff2c29uKLwbo9ugeE67dPCG2lJIOVy12O+/ty/
Ngcj30g7mmV+ui2BLHSXdHxUR1AnHjx4Hw9N4XVokllCV1yn26unZJ7XFN+3taUrMkGGbBGDoFUw
K0MbaTXQuLfJopi/n55q9TygWpY/WvomzdwIzdk9dkFWsYFGjeTgjGQysEFps2gZX4Qnot2b2OJ6
Dn99nlUqMipFmBdSx/MgzJ65U+Bal3Z/ESSbOaITuwGrHCcXTXDQGi8ct1n1Jdb2CpUUu7sKvmcE
ovQmk88MeS9HglJzIn+NBlEXG7WiV7iheHVW6Si97czcS+ml3KT+nt63fJudskFZNsRnb7KKXY7c
tp3UMrPR/L119g4eOohB20/d9KBp158vvQ8Z3GINz7UQ6UW2ianqq2nTsSJynFxXblGDMW+0bbYv
dv7euXC+W8fqBLPgTa/r3ZutBlu92VCUuhVarPNu8EqNf0RbbyIoQ5m1sYojKCMnPybhTk/O+t7V
IKaQP43zbTTsi+moxVd9dwnnRAZkhCvzhlaPcSOfg80aB9HYLpz9jrLkXXSHpAiItOabvi2A0JgX
cQieFYa+Ntw3YKj6izDexDomked0mvjh6NksvFC6VfMT3PKPJ8DbK2OtSBrIlW995pNtggBD7el2
Qs1fyJWbGVvlWftGHY/yvB/tgKL0lheF5zQN6lNYxzeXlA8zziHMUywqY+vMUBpS3YlLZtwJdjGF
5dZ1Zm+JwEYufA6dzQTCxNgVwybejsY+BAHzUzfFYNOOpU1xMVRoZm3Bp9Ajf5BKV0oFrCHQEUB3
dPZaej43D7St9Tt1HyWulmzql6r0QIA5xS3qLkqxDSvh2/czLqTlXvLswsuHU5F+Qf5/fEtSRoR4
8H38AEEvG2QfAyY5DXfNTEPHU5+AGxcPJvhj2sLKBd7G6njMfbe87Ho6X0LD+r3ZxqYnN7v21Ln/
phTx2QOtDl6/7ZWsGUfl1p7cqHIl9SHG7yXxwispdvv0omqv+uiqN49djE/xMZ+9ThLqnVELyjMK
EJsYQ1EalF7je3nO1cUDzDnkIriyQzcEwPOjebCeS2+6DW+MJ2qK1h2ry58PW4j3U4pGhqhv4f1/
o4eoPSgJ2pFCf+VosQ0Bl+uSHMC5cvBCoOm8HXpXlVyNn8KZ8Cj9/DzCvLmZfZgLCtfc0JAko07x
/nADXAwTDfTmrXTnXBnP8U8HvtiPTD1r9QOwElNCpNedzuuj8VLP4NpFdcW7Z08k4s63MBbFk6R4
2WV7q23Kh+y+Ohiv9SVLTsa64Vtnuy2HznN0m5/7Z/kspJvmvDkUp24T69T9LUyC1FfJa6Gvykuy
/Usip4LKbkeHl2By6170muvTOb8EclHXu9IQSrLns1kvLQDHnFtFfmonv9WI19O4XPKgdEIKBnX7
/gmGxpEyMwxR0fiZx6L5EtJX3CWd5+g75MOoyqTDFh8ZgibdNvmbKuwzTOxv+aDdISu9HOESnZvN
RfsFOKI9e5a0+/xDr2v6lGoVaNeUb0j+cfB7ozv8MkdOZtWlaTNH9VaeYKaJ8Z7z37jZQGBortsv
zonr1MkBV5kl3eROMpeVlddcJYT5kpcexOGp9iDMzxd6KHKyulPKjSeHXa2FPMkB+Sxrwf8yP7eq
GC67F/teuYmf+ifnIT2RP3+4xr2f1XWpXTKzv0YLHkAVwbW0n9SfRuj2sxud6iD8fpH95xOaK4pV
MLc422LWeTvNrjyCrnKD6aqgoZ5P2KUU30IrE6OeCvKpIt1GsKYXcPE24gT27ztrX6jXzrwv/Usg
CcKoH/T8Qme5wdnqjCu/uivGU52r3yYwv6y6tVlOGEtSp0WE2soCSORNX/JiX9TeAAxi4lwHIJWf
YhX+9lD/dcxV7psPbWoGIWP6fAeFfuNGcrZ5c0eOKfkbjSa7l9/GAKXAdl37p3hDv39luPo0eZbO
4LqdJAUL9W/O1Fv/VX4KpqP/6Cib/Ed5puhCaq9OCrd/vNEva/A/A65VJVWaSo1TVOqt6WxU2xsB
BjjbbLrPeXejEj3bPWp3uXpmkWeB2tiqp/p0y4H5Ifr98gSrhYkKd0MLj1cG0JQLrkUh8CZ8zZL7
z4PYh9x7SR8ozkDIXiqaa9e5MKiHcfJ9+Q6pK6hTIu2OU7XtwYaXIZRK52/XKVbjrd8r6XKrjhgP
8FJq77sMXuMOHNUEyBHt5cxrM0+tbnDtQo/L+NLfNLkwQdCduD2deu3VGT2g0UzPkMewlaNtu/4A
pvSoBI/I3mb2348yq5debR8jLmYbxKB8ByrOxjV+9IpmC/pGNkQAFF2HfHCVXdiD69ubYDzIj+Cu
teAChoUO4sKHYSDQNpgiTyoAb7sABI2BMr5bqtvPV8NbkfDdsls96ep2BEOot8uCJ4WikLZ4epyH
2mYxbqVSeBk2h6A4K4PdBO5zFlq9y9kQY6+iP/Nc6Zc6OF7MOLgBZwB1KSbUF4N9nKvLBNR4500S
gNeUOHoezh2WDLtODoE0w3hzRyl1zapzUeBPpT34YXdp+VfWXdafyM7W7DOERZZ8GRI2sExKhet+
pyFBK4tU3rDPr76XzuDqsA3NQ215hvaoJcB79tN8nYKNO6Xs+iZ68WFyfxl6lSRjYurIoczQob6x
nF08MAlu13pO6DZsBdVVT6k0foycq7ddZQx5Hg1/fc/0vJAPiBGD8XO2svnTAjQpX2jOxjpln/p2
aK7fEzEOaFL4RCOCs8rcQkmOzIXRcUcVrq0OuryrJhFqFGe2Riicbrm0Tg8SkdPxgAzGyfZNsFKE
w1bVRd9yah4w9fG7pQoUhyCNXR9SYuzpgzBuh0fnQrYPvv4sfZ8e0axzA35164Hm4X6sA825rbWt
7u9kBP0uoLpTZmwUEtYlUY1yEdrnTtnhLPDVrnZtgFcYyHEuECe20puG7sdZQL+BXtGibbSKdCm+
kGrQSvJdNAvGqxs3OO9fQbPMeL5dAc+Rc49VoLt9+KMrdnPksX3qr+NxdCkQ2PfSbQJtFSRxeEGC
p4cb2d5rzbaz99FjcJ9c4DjYowq4iWwv7XfhdNY1W4T6ICQFnRuOXxxp0+mvnXRMZcDM7oCyIdhC
W6g7SkUzk/k1NCnHv/j5AYfbnqpwfKIT/yGTY/GhNfN/M7AKsq3TLKYyrPdGvWkh7Pa7SNqbh6cq
s4UiHT4PXW+aK5/N9yrIhpI9SbnJfFNkOdTPKJgLO9sMFfljERDJ0O8Q0gvg90oVbb5TSZqP3DG5
Vz3X3+MEnobwf5wyaFgKPB8eagk1WBuChnlLrX+5ImD3KkcA8ZS7WvO0RvSBy73k8xf/mKws04zY
hsWvZ6B1xSWvkhQc5AjJLBS1CnxPcDVuf6Y/AlyQfLcdPPC6RSnyYB98/XzstWzAWzT9dezVeaGN
mhPqGWNHuP0+WF/lFxtOZCmMr/1XEJt417aTwCI6eKTa0yhu8NWnprJPmOtAnLKn+d2h/uvDrKpt
gSMXQzQOyl2bwZhwi5vMcOXGA6d6qtX08Uq0mvNVATt35knK6lm5a6Z8bycU89iNnoxIjHJucapL
XFxgpF5M3YmwcnLk1SGSZFMoTz4vWVceBS4QtThzDYPbcENRBeSCyhZG6wEg/fxTn1xmq6MkS2Io
8wYDm9+7h/qRNWY+zTbQTSE9SC+h7FaVl46CzOTEwMvG/bCHflnfS5j5ZQ8ZAMptK2GuDe1WUzy9
94JqJ1+SQGpX05P+0o27UuNLnzJiW8uj/rW4l3a7jK4Ju/f9wA5ivNpCSqQf4sa1p2muNMHX3hlO
603fTbsXXXhfF99yaxZ6/BwFd9OXuTzW2iNsT5Ep10NCB4ZeLK1AIPeZClsQyYGodjW1ocOy+Xyi
fr/8//O4q3Ab+tg3tIx851ME0N3yf9k7k+W4kWzb/sr9Acjg6DF5AzQR7EWKpERpAiMlCn3r6L/+
LURKWWQoSywNnlk9s2tWg8pUUsGIcLj7OWfvtTln5GkkPjJ+HNq32rzbe//lS9maW+jUANocoxz6
QgF7ZDTiturDFqbH1My+MJgVIDW4SBrFg57cJGdvtj4PwNbfvfDRamiV2mkGs+Zdcm0vPM5AxkZt
HhRa6Fg+7BLwwuUYrJ8YhOTarld8awjyPKgknWBP1cMB7+gQJlWQ5KfLfK4xDO/3RrbTrQvLvhmN
2xjA3XgKZN0cLtd5H72lcP3HY/FfH91xipZTpUKRZcuyMvyeznTH+qAbumSf+/lkTbjv5MHvV8av
Lcltu7LQjDiglDRAfq9XcoHdv556bmSJfYoO1euyCymAKZlVYBSn2gCcbWcP+1b1O+MEbN0OJ/Yo
dN8qd0W3K6qPZnlZFJc03bQeGMn7eb10NH9UAh3LW3PaTpc2VZNdf+rUz+lwKcdwLR4K47SrTjXn
pHBabMgXTVl4WGbIZ6BfTtqOJT4k0UUqb994s788B5uUESkKCRQQiVCYvn6zS2qm+HC4CLjNJdAI
z3CGYIAmIpx9+bFzT+3+Jmve87RiRyU3xs52a8FY9saUHuinKPerxp/SwH0myln/LpYwKYNcCwbu
alzCuDxcKUqIVTOpqNvO+z2knHaHnn7udtI+nR60c9Xj6OUD6YvAqW5+//YOU9xXD8DR2zs6ALAt
Lv1IqNmtAQNpoEL0ZevXj46vnLmnY74DelslYdLd0EW2NT74MLbPQdUN0Oq6HS21hvdm+I4ZCA2/
u+9O39F8dhqk5mDQ97VFzDOhafum2fPey9KfT4zqtlM93MKTPOltbHm+mgTmFSpRkfl8NPjdzNgv
MYDmj+UQ9hoBORhAAyJPmNhi4tlQxrhayV7j4/sCUqT5QvnaaTuwI54V+cSLdeanxn0Dw/nrmbV9
VhAUSI+EbkQb+fVSIKJboLSJuRpBhoHJnOTe2l9XceP1m8V4Xxu+HK7j9mzd7t7zmdW/0czcvoxf
vqwXv8B2tr04u7pRm3o8PeLWyU6c9r7pr2zLhy02RW884r/WtUdv9fgm1pg6migu22oU9pSWy/Ig
MC7Ypy1eyfrMjU7y7txOg7oOZH3y+zV5CMv63ds8unmppd7O0bYm28VnHG0VBOkBjjpTlf1UXcjx
1Ex25hxG0Vna7UV2FXd7q/PdyoNhV77VOvu1zj76KI42gBU0o4iyRNyW1XlvnzhMJ4bQuK2/odtr
kQ/It+5kv9xQjl7w6JFE0WN0q8bbR+BYLd/a8bR0sNXpn9TyQ7UErbwZygc+da4u0Sz/uPDZbAWE
7Zou7DWYb8drTGrFXK1GfluauHesxsFN3Zdp2Lvr58iui2AF5EVxOXyJWzc5z7fyS5r6FEibaqiC
271fuuhq6srKN5blO0zoBXiHgvjZ+sKdb9nr5fI1iXdwGu1LTqy7VXbdG8DQbXm+WkG8CX0LFYHt
poMnPXpSt1E9uWQiv+2qTVRhkUgDVWTdv7FQf7m2UIwKKMPEY6C7RXj7+nns7VlXsthObqEwfJ5J
Vwz1tEfgW/eMmPJIhEiVL1x2NeRpTE4Hhur6+NZ7/XVbOvwWyEfhDm4Q0aPjGAJIHcfRktxaM6PM
XMaB01qZXw3SOjW6oHaQTQFcmEIq9JJcSeVCZtrGELkfpnR9Y/VuT8OLTx47DyJrGB1w+6CZw2R6
/ZG0UI/6BLrC7cyLBG2Ke2iGG6L28fep695iAh1I+EcvB6mHLhgTPWIOjgOycqcy1dWtee+jfmFp
qdgJPL1+22v3W2xz0RjpSa/pHYFE5WNLYIqnq7VyLtX1oR45xZsRh7thNW0YF+VXBqDxMJgn7ahT
bc5AKnBz+sKc8tPEMos3br3HGqDts9qmEDiHEC7peElff1YbjAVJjul+0GZGH2tL+7ATFTDTKD/F
+XwJF0KcVvHcgxcoE+y+GLfijhlS0+atZ1v1x6Vucy9VtVOtceK97pxbRC7hFgeGYw5DOJr6W9+v
9usXfJBZoQ5lnov14ujGPC3REGl2rN7OlrhKStWbWiMLJszR52sW3Slprtxo5RozdZ/tkyJpqrCS
mrrPnOnKzJr+fJ5pFiIvvVjScjkddOE3kXmZouv2FlVNriPepz8MK7cAyyT2QR2mq1RRM78us9X/
/RN83ObhK7AQYMGTchix2/zv9VfQWziBU1OVt2Pmtvss4dOPFZlyuajs0OxShFjZg22JYadJ7kZR
jJDGLnNUcBteo6uG+UxRJrpRTJarXEZXWUoLLgZ0njLkxqHQ3vSaXXMJWkpwEI3j1UpHashMdf37
t3Ks2UQqjViU3FOev41peUxzV6fZHV1gdB+ypqvPMQDea1w1S8u+MllIfm0BSATScGKu9Er12STZ
OkHQApYwP8PjGQ6Tkp3pBUBYu68D5E5ZoOkc94df84e/5PqvZ/PI2nL0j//etfLK6fK+ea5u++75
uccQ8/+Bv2Vr2f57f0tQl2mVfn186W3ZfuKHt8US7wAoIQQ0sJDQ2tsMLD+8LfwRAeqMF+jGYTCk
A/63t0WY74CH4WDhuN5CWzcy/A9rC3+kwTYlJhEkHokZcGj/wNly2LZf7LP44mhbcLjQxYCdax2k
si9unjgos6RPRRto/QaEyhx6/4WhUZgr5OX55aCzmdpNAurBKJbK9YiRloEpIito89JuvKlXnee8
ys6McVEQ7brNtahmbc8hZY2eC0IIVpCiDoCqoEB46tAbGG67PgtaMcUXqaXQmk8Azl50zjRcZM64
fGpq/PJhYozlR2sQ2n3VlsN+qPP1zG3T+Tyam7qloOxAOLaWZhK+s141om9/dNH+X6zp/8zjtb3y
35av/w73lsUl/O3VXf3Ph+dmeCrSr6/WOT/7c507WLig/hNYi7GBMBLOvB/r3Nbe8QBwiXE0DW/w
4RH44eES7rst6AycMnmwbEibW/jnOrd5OjSaEGDxOS0RrP/JOv8rOeTlQrfoetPWIMINThpdjqMz
uVEKLVv0YgrNHhT9eQYWaNnVPXnzuzwvsjsNjtoUkvAM5GeNZDZSpfcIDwfZFudSqIjAdCWP6zNp
Fgv/oauO+0GAJkJukqSPK1McnSt0rX8DfdbQCtikCHS5jOG+yvAfYi0B/0pjJFbQbrUpPQ+Yh7UV
FHbn3KeVqMFNEUgOYqDX6YanqMOZNthZW/pAV8DckDHm5JdVUUoOqHFiQOYOdpRxkBlLvJd1ZiuQ
RHP9Ktd686Owsr7xxeCUIPbKGUNXt0q7CaPaHp/dwbTB5CjVfNcBOyhPchwTMG/QqY1XbVIOcRCN
skGh5yYEjrtu9C2rIGd5BE5pBkLJqb8F1F9Yl5WQjevnePEvJ46p4SzrV7qXSyMdsB3dXJYYIleN
FJyJnYZJJhmkvoAB0u164aTlFW5DRg9VOeoD14Sh7UKAHKPrwS3orkdzjQGW9Wv2KGYERtyN+Em6
T9UsQ7xxxLLrVsTAeFLTagrquR+SL0lfqe/hciCHTVenhgOFl3q8wulvTHuZTt0nWZojwnaXMJYx
VFJyPk7apsnvgIXknPKpW17oaTLOdCfn8jKyR/Vxsp3svZ2b9lNexYb0Ijz4bJX1sPn+4gzHwDIs
2Xtkpf3HpnVzx9cbByVGNaPBD5JI0Z9We0ZbL+dsvY8hXCJOs6MZRqIFVHnXkp4BOUrhDPeXWkJ7
7RqN3myst6Z9k9lQVjw5rqO5X5W61c8MA80b3IYpGrkB2FbptaaQH8hQtdudS+bGZWOOvRYYTWc/
b9jW4gqYjvahH1GtX2TGqFknzaBrebAaq9P62HryMnDKuYh3RUTM23mNpnQ6rRRAQP6oLdoEZCOS
fSD7uYmZ+uMhABvUEj0lxtY1dio8PCUYSrPIgybXi2ivtI5xaVgll5G4l6BrO4Wqbj+jni93eboA
OE9qOXyQIrFBOUT29FWU00xxqpAYi5YhScaLqocxR3DD0gYJsIfZd2FdNZ6tdY7pK/m4ng6GlCRj
W5NKSLaljwKNbkVeKfyt1g2cLq9vo2mN4J5VSuz6ZVwLct8KtHqfB1NBS0HIIuMJc86VT73sGBBL
c1Y+duk4TUFa2uZHZ5rUTy4YyMgDu1DZfOOlafBYRazWFPSejnvtK0qgKqbDr3LYVVlKJwvv/pNd
5eO1Ms8zqpxx0ROP+3D5HRzP6PpLDsQYDepGB+vL5yXqumE/W+sy+2tKmemNrpPt6U4ZARtoV/pF
MZu5nyex/NqPpIQg7V6diyaGQevVWctjg9JovkuG3LwyAHPS36nclmGIbZY7m7BqUELxYgNnq5uY
4TnvNhB9r9H76eehDOomV9oAc3dTB5rZuQynRA+uomSTRsNldK6BDqXghuwOq1xCeEb2ZaeOgmmd
bYKFc2fXIrZyTPHUrVY56edabJLoW6rq11KLhseqM0BdmVPiwoQ0CsPwFmsdxH4m9+veyDL67zjv
GOKwCBuS+JIUiFpsDp9UC9yRF/eouekILjMqINJAGzycLF1vMhKwoo4xgbBJ+QoEncY4foqjxLhU
+9ycuHhousK+mbulH8+W2npOrdTxzhhdrd45g55nb3QRjnoVXKYw2GD2wtUG5wImxusSxCLLal3N
fgqjtRFhpEWuB4bpLVfEcRvr8DIkE+CVt9GXYlV4/TJapyaDnDvowES89xiSO4UBR8/DQK2VoehX
OwZKWfRlyhPzXKzwGgOD0LDdi3vBj+v/S6vy9m5en6/gJcnuwlHEOU940utfI5F6O7WW3oZWXSKW
GrLxs9lk8r5NK4NLxd9XkH94qaPJCO9469rDBQdEAIP6WIxWVZErZJE2hGwMFHKjMZsyzMXEt+z2
DaPVri1AdyelBgEdRC7zVpnV6Q976f/eDn/49zdv/zbM/Pur2dABP/7sL2//vnuuHr+9Kn22H/h5
JRTvSMulYIXeze1u8+D/vBJS+oDIgsjBTYz+DqrCf5U+2jtC7Sl5D6MZ7n5URT+vhJj6Hf4ukIkY
T+mt6H9yJTxesFsnkQgDfkWAK8QPHT2eiyucqrHbLNAzzAfSaK1QEaM8MefeDl58Kv+wYI9HxJAI
eB3oIyZvmsRO9ei1BBBfMReSmsd0lcsCyBEKOMMKXLl80fINlpUXDGNIm1qmuLkugPMEVQxvz1k4
Dg0zZn7St/tpWAE7QZPaAPESvrQy7Key3pVjnXHmdi5UPKT3lZNLb10NA/MCpDwraTg53Hrl7tjr
N79/a1vb7+VjzzvDJkWRShYM1/7jSCW74vTKI15+VUSx67n9+2KWuMNM7s46CT5IRV3LW7kXvLHh
HG+vf70ymJxtiVELH+17XNzx9BNKGwhRxSGxvJCdVGN5o/ty7Jbcvjpz64exRsCtUMe83tdA4ol0
cN00mMxsRAxkqk2YD1gfVZe8HY54vQu0zIkKX4g4+krGQ/x5adZP7ZQtDL5yxbqFx3xmc9bvwVD3
nWdSJHxPaKzdwLjuK0/AUR44x+oYWuaA82V2RPYl62Y7IMUKrhawZv1cB1x8Okzm/OnwBf7vLvZi
F6O+fLGqf9nGTh7TPn1Z1x7++x+7mC3e0XnjFN96Lay2v/cw26BApda1mads8JFt2vWjrNXUd3R1
SChk3kLW61a7/r2HOe9oCdNdxbDCDsNW9id72PFJSIPIRTiJaszkxEWh/Xpxrk6nK5OTAEEfuax6
aZ3W+zR33NN6SQ3UwJpbX9rjqDxDXe7xznbxW5r/7RVePv9//QZccbiCEMjosFu/nFxqWZvXkEzt
MIYOueta1C9GUokQ3OEbLsnj5317JUaknPrs1nx+RxcMs+2UCFaHFZaCdpXarCZid5TgL775f9iq
f/1EeR0YFcx/yG4hZPv1+0mcgkp/MIxQGXP1fVcvKs7iuo6ll3GnMnZaWfQnBC4rV9Y8IF+j35u+
sbFtH9nrj5QRHQcg4RJIQnEyvP4VwH9DdM0QnCxdK0NAHdZlsURuwAFSUh0Aw9bVSDn5/fvWXB6J
o5clhUETbCmCjgy/wtHLamXUFmpnhmrV4NGokzRRTxWjAA+9Jlrjhu7MjPy078RE3ea2lEGRalIE
uk1ev0fCatw3qzot3ggY+6JqLMB36mi1j3nau0xsmGVRMFJTnLdihcbZZGsOOXCtNBNe64oDJk0i
RN7LUrER8puKft85iXGnOjBIASzPmo0Ihj78tyyRtBod0sWmHbkY0X2i083ny8o+2IVuPDl5m4+k
Cwm3PykzgSLBal3rQ7y46ReqcNO66aH6lfcGiEvdc00CrU8cPFOfY3OJjCu9gBp+nxtLsSeybB13
TpULzReHCkTty/GTfahLxGy4zRUpxdptbNlULstWxKyHeoYqibOP+oU6pz7UPNVW/mxD/q9ADNVA
PVRH9aFSig5V02qoiMnbQzVliNG+BMpOjYWxjHrLzsjI8Iasx0CUOUVBTcai0HfVoVajeUHdNh5q
OO1Qz5X11CZBv5V5VUeBz41hq/4oI8pd6tgdNeGwrJNXRIN55WxFYwyYlwqlXFfXA9XrXNgTMSsM
rlLna3moO41DDcoszgjgiGd7NKvUqNRv1KsWDwqXkaJ5Vug5366HynacM9j32lbwtm6K7yxetjqY
j3O8rqiN60OVXGS1gfDZMROq562QjvoIZSYZpSedMo12GBl9elP0dnLhSst96OIxeSZ6oJRcMNSN
7u+sOgzwsd03suj3tqE452W+2ON5prjG55be37XW6mhbU6C9ZwAtUeIx4tUu59l1AL6vwr0ZmSF1
ARhcQI8EeIEIzeuUilizZRjRfQAcXqnG6o8UmVezSIbWR9FaicClCEk9U1OSj00+JjdNkRdKmBoN
eIE4cqzUL2QRhw5Q+uxjOfKh4VdN7RyT65BwSWrIF6zOZiOL1gs3n7MyaLTS/ZDaLk6HBMomAzKZ
r3tqPOJHtcUx22CIKm6I66CsayCT2kIzMBXxEy14i1Qut8hgSwKSRbg99obXunX2FaAEVhm6+WoZ
bq2h2tdKS9HfZ/D3In+pgH+FOTe3K4KN+tlPCeP+QEur/uzQ0PtKLHMKsrRVopulzpz3SZ7ZBPGY
TXzfDjZrHNiwfLZJHLp2SQZTfaYE2c2Sij4OkXYX3JHSMpM7x1TMj4aill86ba6+04HD6+K2xfhF
4n15ErE6Mw0AUi9QiFZW60kjL9UTGpNm9H4sukX1GE6nuk8A4YDcsqhn4bGXF2iN1HmiMVrnPCfC
ztxrC3RnH2hjJT5FZaRDrauGmDVYmjW44bTSrtQ+03PPcnqB9m9YMKlaLfkwQaIN2+2V0QkBoSru
/ECbqFm2zuD6ucVbiXWv6KtHM66JYtKSvs52VTngRXZ1hRzCeuQazsPqdFqQOnqSkAzSLcJbsYvR
g1DWIn6vNzKTGMPL0Qksp5nK/TDqDdrzSYWXTnOqAHvXzF3h9Tw7QNZFm4A6F0QcUtOmOCCs0Zkf
56HDVZfXdqOGKnOR0u9tXcF14xpxDGGiQ8Axo05NzowozU2/IQ1g47061aMTG+X1yuolWoBcS93T
u3p9byGPFz5JjtFXErEy6CzxOHyG1qLetQpdGZ4IklxxFNiStEBVA5oks0bEAZVP59C8Ia87cLsO
08YkK/OurDPENVWtI42tEMPWZ9PQszLnvLPuBzhamdeolUPwhCXzt/LqGB+8OtOwUEOVJCENMQfV
5nHAslOzA5FOYYZKO5g3hbypIXeeZWvRfDCwH/m/P0P/6dXAFoIUoEOx+QJfn6BrTdqKJTO8FuSQ
XIONXoNpUpzdqBcGfZi3RGOHRKaXFwUkIVvwto58kdgm8/DnL2Z3XVetHVsIvrA1Hm4SJ63A1JiD
TfZF5+KdMuHl4lpJMgYbmbKo1T1keCUKaB32MG7dVhZBi0ZiwX4j6ZMNlYTPH+sxgImxWiZsP3CA
A0LY5YLkJ07754qTz36jxPq1g8WwHtIGJzrcR5Q9RyUWqXYDWUyxExaMqmG6SywMT0YyggYjKse1
zrkrzdppm5XI9Okey47IAQ0WCcNAVLuHL/F/66GX9dDWJPz3bZ2zx/LxaKIttp/4WRFZ72CjbGoE
h3uqhdf2XzURU0D6PCTDYVlhmPyiJhIOfR2QU/Tt0J+ZAAf/VRPZ7w4I2K23QyPGdv5opE2E49FT
T0cAYCNVFiUWd7xj9ZbWE7nlNgLBrlBbpgmTlj46qUH7eGKX2IgnVbM1+V3xoRZqDpleVi1a8FwZ
F69QgeMDRRpn3S9L2QB8VoQxo+FfIxooiX0BBlVHf+FugPhZpwk/WLgR7bQAoDcNI05r14WoFDUt
Xr2FRKpPTW/HVWgK+yyJkhJWQqY3SJlsayGIyCkIuDLJvfJKWjbk/5DzwqHS2mkcrjYxPV4am/rH
skOUFVQYFi+KSKsf2oL0FgCpFr+gpkfvnaKuwHvnxKHvFWtws31rSnEtJ7V0TxK9nD9ajkJgBXFI
a0sKkgpdomwng5QQyVUJ+5tzVRN/MDPdE/NzLFym9URuzfcCUcDJLHLgReoq8lP+sUQ2A7wF8Xyr
PREsQsgxTb70cdCsbsI5lcd4T2NTQ104aHMWinVQP4JsNj7lMi3TEwKT3Cc7bdtzY5pMO0ztCoiK
iuzbAO+dFVmATEi5Eyb5WH5aW/kDRbjBNAq7IPe1IeHLkbqTPTS25LBbEupsDyK41Ai3iSK8RD0s
V5/BivKFAAC86FFKiNMuJpktpGNjP9aKhgCyVNL+AVB88nVrx6HhsZrovTbVIvWiRcOMlaxu/4U8
EF1nnKHhEmxoRK0XJPRmDwrBfb7kFB6BiOUZl7W6N2caOUr6pTMUnK1KaUqDRCBXfx7bATkFYrG5
Jo6ry3ZSmunDqEV6EVqg0HzFIBjFA643VTuD7C4U84o7Rf4YJV2yi4bRuLEkORv7pE+mM2Mxpp6J
TEn85hun2C8V/SGIntY6TyqN1mNMXVZL8g8g6e9g4lZhypfI5RZGXM9R/cZL/VpsgzhBXomIhUMM
2unrA7MY0iLuuKvtGrO9VmzchoU9KT5lhhISjbSdS+l40fB/r0WmTn+Zu/9op/+tFumlWOM/pfhu
r/5fpvAArPu73f7ysetRMLXD86sW2PZDPxv56jt6ArSZoN9i1RUmF59/aZhojnH7wLlKJ0rbOOw/
tR3GO7byjZ+FGtLWdU6Jn3184x3XT/6Ilho9Y52z5Q8kTBsd+NUlDwkTRw2TBrQiHD2bwuplC6qQ
A8kBUM5oB7XEd0A9jE4yCPSDZy3LeleOiQGxI7d386SvQRIP0ydrlcYz2JjosVHsk8FYYK9pTebi
Apm1ljwbZV91TU3o5azcGj056iudi7s007maT1mxH7SJhkzeVF/aQap3GAqHZ9mYN3Fst5a36OoY
zNXYnmejlrxHbhCdEU6QbOJCXDzaIo0rZwvvs0vysbx5dMQ3qxzMBx6S7hoeJzf9dZa3caNJcDF9
iR96TfX+NlMqAMRmU3xHYEHeVLsIGMRM2NSPggr325oRmOVNPKk3SC8GL9abnhin2TAo98iCIBPH
hCtf9KNZ7/RRkgpR496I9Hh9sCw8+SrHyGVND+JLVLZYOMA+0MVxE3s3LDbqhRwg/mnt5tq3oh7j
fZu7u2xQrxuchveEFTTf9HTtPxYFiA7iS0Syj0jQOVt1NjG/aMgg4ELenlqM6QtilZbygQRGMu+W
eZi8hGy3ry9W8vVfd+GXQ0nW2NHS4HqyrVokbroLief10iDcQhh0kyoUp9INiKLB274oP0Ja/2wj
+c8EYC93h//z283nv3Ij4az499fGyxqG9XPXPfavNxJ+6OdGor0Dw7+N95A1gnTc9oSfG4n2TsOa
gFqXXPENQv2vbrqw3jFR1nmySYMmHpbn/+dGYr1D2sIVj3/JhAbdyJ9sJAet48t6iuusoN3KhA7l
NqSm7bh6UU+NziSpM7gBDZYu7zOC2T4n+bwfjEKF92FM4mxSJv2mbK36mcgb65rQbeBpzA/P6J0N
n60418gfyYdzjVzn0yXVig+WoBvzV8H0R+vt3wLiX6+w/2xV/heuNY3v8jdr7RqwfV//z4f0a/1y
sR1+6udiQygL+53Sn4W1tfNfnFr2O75n5K5weDcn/FaL/Dy1KFOQKhr0MBCQc+d7sdrsd5wxBEPh
COFIYy/+k9V2fGqRoXA4FjfEJEQdeytiXiw2veQFqnlNwNsIJbRs5W5KJWeDlX2f0k5DAGRzX1T1
9I0711a4vdoT6U0gqLS24HuyN6iRXr9wlY7xWGSyJNDWUsJmhTlpSGJNyUoqUvLMEpoCKJbPFs2+
ddSBcLW8Chs9S86KYlW93LBSih36Y0nvON6YKc6FVSRPC+lQZ0nSciWu2nMxkHyeKqP7PuYoOGuL
pQ9ffN//sLUfT0lAqjmaYHtnHoSx+Li1g6tYpJFIS0QgUYfjesAqHaXXJj0CX2nJTBkyMf314PHI
/HMOADvXq4+OOzGXFbAwKF2ZBh/zFMnzJHyN8UQYNWoe6G7xXbOrL65aTsHv39zxd3T8QkezmMGd
15SRchxSEH7pMnwTkNXu/vw1eDc0jrZVzbb3eh300MEqpN9xSKgTWMRJIvDru7fc5odi+9WmirIC
TwF3PZ4Zyz6m3yE+ILW+KbGOOoMboBk9r0v3U5Sae3foHsZuuO+kCO28F7tsFTelM1///n1u179f
foENec5gi2mtelRkWPUo3CYjfc/N64uCBMHLtddwGo+kAzM0fSuR+5duFt8d5xgbDlcOuiTHfHFi
2XS5Vlvg9YDNEaXvU4Lk0JOxs0Iltt9XLg7izjRuSJH8znzs9vdvF1PBr28Y5P82w9QF13a6Ka93
lmpWjJVub5i6zRmV1VWhrFposLHEQ7PeEM11Q9RktS9HQLOdXTwRlP1dT4uLRsPelpSNDPIlRVCo
rsmOhFTjejCcqzYlHMwuLxzFulqz/LvKHbZKHWK3FmZoy6SQDzcQSydyLrslkU/XuUBnyXD821gg
au3UTdka6Ternutetaa3pmi/5JF1Jx3jpu7MG0fllQ07BkA8MbEzsyeb8t5r104G26sxp6i87ddw
XAslYGXfTXWte80sbsgTeIpoLyJLVD87S+Z64/ZHZq6ZGF3nPrQ0EsGLxOlOLDlr+A14qULi4DYI
6wzoja43Rlc7QSr5q5uxvEgz7SaTtAgO70zLjMtlbJdzo932vFSBOa1MGFftNr9Mc/mQM/3WGdLh
eK9gikwzpFil7rXQNa2rVp+YZ5nWZ8WW1aeeqj5YeuIXasEnhwGMsVw+An9gOrDX0NJ4+B2erMK+
ojDAWtXXJ7lEvVPkg7tbTOfO2po+7OG46xtj9O0kaXxTh0dQpeBnOfGuhFltZcbmnFVslJi2ftPk
5VO+6B+1VNMC15YPUZkUYcm8lKjrarnfvtfIri7o1jteMRfJ+8GNQoLihD80jvQZmqjB2BhKaCSd
7hmSwN55+5APH+NsMA3InNYJEoTB93asa6TB8yEsZLjtKlG5e4Akru+k9pWbFO7e7DCMtgs9lyZJ
n4yKLGc975udiorfi0lADqWSrLtJ6utJXZs3dWGZSJJZCty8zPOJjyFBBLXryCMPs9VdLqMYoEWr
6Hlg0pXyGfmg34b0E7Zt8d2ZmgcNqsHhd8ejVu3Vyj6tyhX19Lw+TqP2HR35XUty5Q4zCrSflTc5
tsl3a4lxCMST5iNdJ8hbIJ8f0rFnoLe0J/kIHdtCdeHUsxamOr93zrQGp598IFhPDczMymkPuXBI
i0kGgrA4z03SeKdn1bKnYmLVVP3DarIAFDP9rsRGta+X7qGfbeiRDqSMSWHaS6UIP7WbOV7dtEHO
JW5cQTQwImV6R1nLT0fVxfbQqLTuUYrxH9GBJIeex53UbFrmlJXeqBgYeRKY6fPgOt5S5t/NkYes
WMsn0tqvkklcatH0vlXduxItksdIML9scT6EJNG7+zTSpDdMxs0aoV9u5ewEXOmvALxNYUW0B8gk
90os+k2R8SBpVvyku3wwSy14jah7MLX6gtbYA946/q2dfqJ/h5Rq4gsTTGV8zU2Uuyy1lsvEThbP
yNFxm3CZA7pDX0fsv/7sOHfquuYBmPU7aozZ2/6NHpOlJIunKuaRtQ37TibcqrbNt+/tHGt195CV
2k2XNjy0RCOC+mfhq1HCsLeLyEtSILlpk0lEK0nhusGWsdo4/Rtsv2dz2Tj47RR6gLHaM1w0kiu9
H1aABDFfpy35akzJL6kqSnapojDwpsLhEW2KJ7NnAGyWpLpiRoh3SstQtxvr8mtJjE9ugPlzG554
mXUPnZ084YJ46MruAWUrn71RYxuxOjZlm3XiJPzetZN8L9J23R2eU6Wx78pCXffMGhGSk+/nd3VX
nzTOyFNBrGxASp7mO6NyNy85i0txz9y8aHZOveQfRiMrPo52RI6gGmXLvnCjZ5XWLC5GXQkVg5+K
VO2myAmp4MiMHplt0X3Yrn2Ru22N7SwudJsYWLJuTbHX5dQi/LOn96Lnu2QoNV87Opsgw2EA2PQA
T7dq3Js6lnbU9nLx+FIIXEghQxSd8rjMcXKtOxBwMvZvUHds+LlZP1h0OHhsqB0vjEg2OxGv2gex
pmj6R2Xpzkd7YafVc6X0erByJBckcLxzMSgnpcGvLKxh2cewAsNuGdnpS/0GXyf74jyMPvr2HJ5H
mslPXZEk73OlKnCImo/k4uWBAbA6mFzpBCTsqg90UsxzObcNQdBq81kozrx3qmi5VAomdYGaJU8y
VvIPqao8ipakS9w52/eXqUXJRGBVQm2CpzHirf2GaKM+SYU++nnMwzIWtEeqOC7CmWzjAF2Ls7Pb
UX2g3/Q0zxzP2+bU1KxgnQPbmfl7m7F7OByL3Ftvlgk6R8Uw1pfqdi7mUXdOYCypr455pa+sQ5ia
D1nDhqHTBwdGbnbnhgB9I+X0HklA+qWu2MEPe0SeWleqbKpbpcqe4qKJKHEZyhMplO7Y4rczpbgr
xprJvwWPe9uPZzxQPqKJ/8vemeXGjWVheiu1ASY4D48dQcas2ZJtvRCyM815nrmjXkdvrL8r22VF
SKkod6OBalQBlahMyyEGyXvPPcM/fOtK9brUuou6sL7qYfo5t5J9gjkzQAuyhGbExarIMzpHvaxi
XM2GUwlxqw5bCpKO1FxgKguTFQ2rPaZAyWEaLQoV34byLqy22HRbNenv4qbPVmoq4wUxGuO1ihr7
shkaKvKSsE5G+cnOxW0yFuCi7Mc0qebHLnLwOwu/RAHPL6mjb8Kxb6lUYtOKBOM5XcAv+dNkJl+q
mKcJA1rzDCbXZyqxUwFEGuxwPnXgz1D7SZFPEzXGPE3XKAFOelZ/FUYWnhbhTtP7Gz9JoWcpyHsG
eSQv5Dp1yQsuzFZ6UKzqU6yHayvJGV/onKuzrpE6JYhb1xVmrdUqrue7gAHFIqCAWoYN6k6t/NWw
WzjyvvSR3sqdUdagsOxyVY0GncngXmm6P2M13SiBBQiH5dWn/reyhrkTZtHODCrSpbQfLw2pTXbZ
xJ7KfQIoo77tIHLogQnOQrx7IwY/lbP7Y22SvCwlUjVtcjXZ4MEWNWaxS7DdZG+pw9YYEKUf7Clb
ZGUyYrs0I7skqWfY+K8KRUHFV2lcU+vCkTilTxelBYQusiXXVEkGMGckWVLM7WwF32IhgsEB9+39
FFyg149LDi6JeqjFZUVD6Vmc6kVtr3Za3lZ+Krm5eFK8HH2L9sx8o4VO4DXN/LmzEVyJie5Zqq97
374UaZ06E1gzp1eXbUsirsycfSJ3kQdSEfGWaw7lSUu+jCFHGqrin/rcpsvUuw12vttCTb9VZf1J
K8k4upn6ItZuRpt46zRQeKKoJBvh+FXDKPX6Vr9RdVI4kfZJMyd4RjLcyOySSCVYg1hCixOcANkT
xcNzbtXXMP1m1f5gNzQrJM6JJKmljTLwtkF6XJYzf5OC5tMYK82HwlExX28G3IWdQNDMfI7T7ycU
tU8wEKCHSZa8cQzRcHWaGqDYUBLgMs7EVCU6O86EBGAP3ZiS4Qv8LtS7SHu0qPqUmHPrkcT6uyA2
5sfn1/db7bUPRcb/TsnpR721f60Dt/6rEFyJ5vRX/Vu23Ng6f9/evXvCo/Af+6htm39g5viPy7/6
qDluvvH5n803WBw0epnIgNeFESS6C786vbapK4pJ09aipSs25M/mG5xfuD108fiEAhGRWv5nqxeM
gGPwQ0ztRPsKp4HfmBmdil0Qek0ydeHSA4jLAj9zXCPHZTSBawxkN5ba+MIs9ASLRU2e2FaBeh2P
SboO7SLcGUWkBJ5mFD0A4MbvIkibhG1y8nbkQB+UrwXs35XMePwhArlawCozpku1VZDjHtS5IrYZ
mbRPx/LRDvrxi4lBLQyNEJ1LfEnrvxCS+YFg+dsu1an2o7g5ptDglzleeLynymaOCZMgH8bZDQwz
ehJOhd9GxZQOMRQH4LoStDW4r8pWQgHnzqGzpAgAbvRpRpFIR3in/X7Q/daGenfWcbSv/kW71H/H
DSSkO85toEP3NXo62jbiUz+3DZNWlBnpacIoEANXejs/t43yByINNJUgOJIssIN+bRv9Dxo9YMBk
U2fPOEJI6Oe20f6wQImh7gDECrc/rvUb2+a1WoQqEFqCt8UuBeDD1n3ZtK4no/VLXOHdaNJWsGYj
x2tGiaqdreKQS3zNTKO6A/TcHhBUGwwmoU26TqZiz+wt/yuNDB1X9taabvIZcjBed/r81GJYf2gH
FMBm9KCBtRZV1YJfDbsrdawPWubo14mkOk+QeqPrYAKYKkURIrEghquLZgrhPtuUWYtGM6EUK9kk
rzKgPLnXGlX/MKOtFwF3ochJ/WwztoH7++fFf8TyFoYKf7+8P3R18v1kWIIeK5q3TH/BCvxzrUOs
UegIM22jOQyARGDFfqx1FCNYYqiVqcg1YEX+Yj6jwgGE4wrmANoZJ4SYE/5Y6/yIZQnnhh6REDNB
U+o31vppDgcBwsAzFkwa4dRmxx0v9UmaJD9sKdnVIWkfpgz+s0K/0TVTIcvQRt/6Oi4fNKVgs//z
ob0x1zidMTxfl12OOyVsFyHvcrTF5snKh1KSgxVPTnV7jGRvMeGrlpGcd7/tgc09Iv/C+cyQDN1D
8Qxe5Kk8yq7v+wnGvx0kjBhoSzWmeo6hLL7xywa8uCNAF2S4pMWYh5+ctU2jW5mpcBXyAXwcmmxA
2RxjILoJ+W4Ix+wgFb6n6uu6GbLt+0/zNPnnwrBaDB0CtkMr3jp5iwb+8rOdcu3RMDTPClGZkeaL
QkZxQa0jxatLkBHvX/KNF0iw5dhlwIfWiMDRvHyomuHTsZWRURj8Klr6uazxeBG4MiojPEOJeuPJ
Mj+2AGNycya44+NLOU5Y1oOEzKjUlNG1ipoEgop5tPUNKm5Au49GIu9tDOk3aQtW7f37PJWn45gS
iZNAVyg6PN5TQUFTahKubVCa94W9DDHxXYOdRKmxD+1NNihIIauzBdsDdesonmlIt0jBKvaAyRiA
Pibwy1COjDPP5K3Hz9wDJB3rWoWTfvxMZsUIG9rStKl1bJ/Mak6XAD1Ru48ojX//CTAKFvNl0i1h
Un58LaWKhyjVo3DVB06xL3rf+BIWdvoI8se4p3XTu445LEs5zrddcpBQQVhqnR97UYVwLvRVhjGK
r5y1oDydePFiEAwDLCHwVQb5wPHXYgRaBm2jC2s3jYy1TlGWG+UJi7modJSC0zK1P1DgKZdaP2vB
ohymcJkBm7x0Cm3YDeogfezMkU9NShq6DYoN2MHmZXVQOxjKuWaBIc8wYatt/RAF0pcsAY8ZhiE9
AGmM0k1sDgby0i2J5Zkn/no/o5dlse7IgoCUnVr8JFYRmiS+COtSA6+Mfu72lhNnNHgKGUkIvwjl
b6NfmAtU/sfR1TBWRjFk6tUFaiAl/DGqzQvUcMhxy750PoLwNVHeDIIw9BRtKrz3v6/2eodyeJHL
sT+JsaRix69irNCJKUbDp3uOgXtbx9CGijxPqArqbB+j+XLbpCFGJnaWIyMd6/Z1rHZDv4gnX0oW
SuVntLO1FunnEemgxZA0gJMHeNx0ZB1IcKMq9TLCF8FdWczDdVTJ4U1NuY5XZzFa+yhMjGu6Lult
lBqQcvJVEMl2Cx+l1dcQStQd00zjNjJ95LGVZqQBp6AlMsz5fJ8AsL6PQW5/bfW2WyldfQ7/KUbM
xycDOHHkHeHQortLlD5+Olpv9Eag6T4AtKi/T8tJXud2ZXzPz/62Hnr7KjYYRJAb+K+dvINyDmNf
ctC7dQKbXq46/VXgx3YmGopf8upWhFQlWm3A2w0Rll4cpWjyRHNlDL6nDCba1/FsfapVLVsEQU62
3NNV68qhXk51rp454t64MpNNkgEcfTkDRM388spx0zogjRrH6w0Nfwq6KctwSABF11hVBNY9kijh
g2Tn50zMTyUWif8ixrC8ySAM7ZVIah2akRTGmuNphSzcwUfbf9D6unlSmzhBJ6Y2JDfD4hCpnwGH
YJkh66ZglmIsu1gtG+Y2FhrwiTz9SWV9qAYa7apP1FgkeVp/8NVY2ve4on6YpaDMFmaeh7dSkmdf
Qdvr0Kec+HrsEn/9/o59vWG/B070+GhAsDiPn+ZYatVUlrLjhaXTr/TBdu4Yod9CnybAW2O3gpJz
Sbc9XDsSfl/vX/ztR8qGg9mDTAQQl+OrJxAAJB3yjlckZbdua6FMKeX1EnS8tY6Tqr9KJdxryokR
shRj5wZHLUGXXNauUdeZvCq3HxLLLxYjVFpXV+dxQZWZb8pCNz2H8cwyqwfcLOXyr0AzoKhl9RNC
Kv5lqyKO8/7NvEJ+CD44vRqQRjrQbot0/GhhBuOo9GGPR3AVqNbtTDhZ+LoT7cOsVVrm6oCc6KI6
26j1dTc1Kmc7ZnVx7ddN8PB/8FU0IrHwauAFnYKtxhzsa5QU7JE6qTmQu/qp72ahvdw1W3tWpCsr
BNtU6QG1ZIORJezRg6LV7e2ZLyIi2kmYECmwbjD3ByNyurwc3iZj4JAvUtWHvFO3KATJW8RTogMZ
WosXpYmwkRYcpkbSN3AEHXSw0WYuI9U4s9jeWOkaK5zFRitMiOMdv55QU5mgkth5VVNo90GY2Bcm
O3XfKDkOHXpgra1AeXKidtqDW6jOOIe+EZQ13gjRkhoONNpJjlJUfou0HVcfHd+/8BvHXmmZXn9f
g7/VefrX+rT/H3edRIXxzwrzlbgFQ5U2asJ/PER1EOVvFuXiF/xsQOl/IMgjukgQGS2UQXlvPxtQ
4PkBxdpMNcgsQR7yyn72be0/SHFINwHOCiqiYPD9bEDBCJNheIDsJfsRis6/U5SfZraClAKTE2Sm
IA/QCj5es9Nc1+UIB5yctAa7M4zNMm/MRc8APJ2+vXhM19835Uvs+GkhIa7FyAjhSshDnAUnxZXc
pHPaNzGpbm50TP4D3NqZ+XpO2JwJT6f2SKRYXIrGKo0/XfQ1RNR4kTyggYDCYsRtzUO4zDVn39sP
eTYOrjLpySpD5xSOQL81E19yfZAskzUyT5GvwZEUj5n2rQ9u4ajFniGB0YH91PjkcJqW4L2ha5kX
nhP9OM3Cxfelqy8Of3oHr2i18JozYxgUx+0mZjxzgyGIhon5whqo90rFn1yJjs+ZXPo5G3wZO20K
LVYY+GwAuIirnZwnKd3DtJsyxy1jpP/sqrgJqv5bqjrpDcomF4MfCkLXUFyEEWiOUUOlfTKdi56W
I8x9oB1l7EaRfRNCr1qylpda0xeLoLoo+4dRSoZVpCiYEiBODb0UPKyRQcRmfvY4GSaz47K4G2rz
Zuyb0Wt1wCAT0LhlZ9ohEg1YDhuYXfgZ82ml9KdljTOnmwWlUNpLPzY1RtJjH50zrjg9TngkOsh4
sUQF90awb14uHNgZwRAlLVpndje6KIgbS21K/kQWBaVrzma3a4JPWYushEKKJfvOLq3bcFGWgXkm
bzo1lmBF8FXYJ5pDWcbcVxw3L9bwVCSWDqLQQRcpguImsrmppJ6IM7jdcxVztqWkVZHqJiF+rErT
tstJh55sVB+H3qzPnC+vIsXx17FOujCO3hVW0heO6wgiHiqagdtrzBi17qEe5t8tZMTNC96AgkMq
ZGRZnHYvbj4ag0zXesd2K8a+C2doey8ozf7MDngDMIASPoQW1KIFw/U0e8j0ckoVBA9dKfVjqDTt
owYwZGnhpZNJCIUF8exOo63typB0zleM3WTB7sY7xQqNTWNi8RcWVrM2x+y21NQc/YR+k+fWn4it
AkBxLrpU8S/mQQ6Wktat/FztvbKI1pIumRQWjbRwepAkUb+sQue+NpSrzm/0PaP9yp0ZMi+qAGNy
8GmFh84AyiBZCxjMtVHQ2lZBlrngrWo3kyzKvDDz9LGpl1bqPyEC/2eSD5+DQK4ONkgZyQlm1x5l
xLIcQkoS3fdRMS9ss1IWZgFqgOuEXpKDS3T6/FzV/uZaBoYAY0ihqcbjPn6d4ZhWg5mkjovzxeSh
blLEAZIKuVFsWkP6EPZhsVfk0GQEEkoL4C9A1UdSWHvZ87HvOczflq+n9Z1YWwQ89B2pB/C+ODnz
LKdEL8H3bUSzsSYEY2UuMrkAFfLVGRYlgBcQlK18Jjl886KkZyg6QdSBrX38BOR5yAgSXDQPrvu2
dVaB2bcLva4u5qimpwfdldX2+f0T943BJah62tBsIDiFoDWOr5oPdFL6KuZ4N7ptQ0/eQ/8uWSMo
tCh6yVlKTfdoFbMEutd6nOQk2me9sQGOEJ65/VMn6+doxvSTTAgmEoSlk2jmt8ZclF0AYL0e9OWU
yf3Sl8FPhojiLOUKwO3saNayCsZ659fxCMKwtT3Vki5LspKdbYL+7SjDAGlt3n9Iz4D5k2OQsa4i
JMQQxEJg7PghJXBmYVYTa5zss2ZV6VU6XU4JBOzBXDEKVNg8collkbZFi2s2wabpHWCg3og6L87w
/EsCzihF7hcwnIXjo/O5yTDGS5swA7VzG6l4kIZN7KyRp+O3YXWxtHJzqeFU5ffxRWUPtgeg//MY
TW7g1Bg5Jk+mjPasNLE6AKolQ7wB5OwjzxPky66IsHeUKqTizfAJ6I28COdp1RTKfLCCq8rKgf5k
8J3zoNlLctW5Q4YgY8qDDoIxds0JB3Owk+i3VCmTPP1Mw/itk8JCUUxEVdI856TiZ4ZY5p1v2e4Q
O72rdRKDxdZT2+gepHT9PYT/tyB5oS5B0/3Fkn5VkNzfvVuL8NlftYiBhjeUDZ2ygtT4RS1iILBn
4J5goX2C1rxopPyqRYCOMChnSm0jJyFasj9rEQu6oA4X9Hu6ZJBn/8aAUOyzo30o4hRacYIkJgaR
J4cEGa46BIh6wSvpV2o0rSfbP3Pgi6X33iVOSnRCpeIAKffdERljtUQErYQq1jt3L57/G5XOqx3w
fCcwtenjAS94trN5kb20SN0FrSz7rp8Oq0LPDkUxuYnhPBDDtu9f6pkidXpLMDyh/ENNYb55Elgd
A7VAeZ581+77fai0YPoFUheJaB8+QJ4sI63fF+jZ62Gyw0fmsp2wGgy0jXi6zjCtZQQ13/9Or846
bh8MkCzARYQfRzsOqAri7WkxjygbhRJpUboJhwA54W4fiBeLOH+QjmdsrM5d8iSG62owMbakiZfJ
wcd84rLIqI95h7dTDJo/WBjjOZO7t5bry7sUa+3lS7YhAtTYr7kleiMxelChnpw5ml51/J7Lc4b5
bAzL1hD0Ob5GbE1MAoOWl+sX17OcP+JhsJG4FiOACzPTL3qz2zd46jltcS3r+rnrvyqHeJP04MXg
i1NJO92StW50KphE3zX7x1Kvr+Y2c6cmxUfYOdh+tEPCaBdjyzQ46QZ7s/uwac8cJs9NzdP1DTwN
1Bt9EiGLcPwIHH+yA63PYPhkDLzn+LNaZ4eS9r8i2/cAk90iwtG4GzwtQMRfgU1h421uQ7rsFHgI
sAMCZDZiNh5L4ZA63T6BXdDLyaYvsTXviuv3F7/Yb6+/L+9MpJdsy5NXVtVlbuphwSubzIu24dyV
YB2qHQW9cyc1zZ7myEUuN1/ev+xbkY0SRuiFUy+i/nT8mDLfYsMNOasxH744dXZdFr1Xm+Ht+5d5
ToZOb48OIwUpvE2OhZMgrQW24uM147sJIg1JeZ3rNnh4cMZlW6zkGC2wXt8x/lvJiXQQIQYhCQ/c
6QHy1GHIMfzM5zU92oUUze5oBTdmMngZmgut1JGMw2GSJxgAMcyOIt04ZXUFnNxFERHTisyVR20n
YzHBxScjPFNxv7Y0+d6hAj0OfViAJk/e3RzadiK1luPmivMhtLJrdez3geFcmI3vpjj0MLtOFqrW
r+ao3Y5mGSza5ImWgIeo4C7WdGaE0edxRAWSGVzJTHQYryqWHwTCZTkx/vAN3Fsn9OFQELPqbJNb
PU6vGhHS3MxzfDvVrMu6WCCdBIUTmXVlWkMj3owUjiNiG0ETrPPMWICe98STlIHo+yqRFQsTpRm+
WA2y9ZWxqXmiAX8eOniJVdWVnz1W1ngZas02Bh+CqvWqG8PbaYC9REXo+gXiFkmPKnaQHRyr9/zG
WDpV/Bm8sycuqGfFNbv80GFib8EdDMbUbc30czW1+8yy/xw0adU047qKEBwN4908qjsIVAsfQUVZ
UzcCs2DI9ROAyV0U59d9FGRLKayvaIld2MG07s1wbQy4ZIBvswL/bnaqJ6kk4y7r8VId2La6/ZAp
0S08hKuoSg23nJMP/VQWmIul17Gjb1Do86Qg9LqgvbJtCYhA9KcN5p/DaF0EkZeWPcJI6sco5o2a
9kMszgWDwdrkeK21xOHMM9aGdpHU9qIneIhAUpjfQp6tiLviWZdTudJyT68e6auCAc/5I834cwz0
TS5Gyxx7G8ssb5U4O9R+6mazdScNwz6NpFWdSwfxuwq6q8HcXDlJuLNC32va9DD2wS4bWrB8xrRG
1ulDxH30QbhrqmEhOFuZNN/7mnFhGiw8ad4y371ogw6VI3gszrjOVecQ5+amkpwbEXWkSF4HinZh
p+Ea1hjChcYmSKAidOHtkNOmY96XL+l3fZnwysMkSvyzQACWY7PptnHq3DHouGeW7o1tDfUKiarF
oGSHuJLXZWcsMot9qzTbBiFP2deXKXx2qR1WeRLvTCPwBqvfawVEkGZyS7/dpj2OtAPqmi0PFpZD
FHS3vh7TdqyvmLZ7hT652pTiMZ65+cBnAhahNbRLMJxfmzxLYLIgyKzW267Rd+JVhyn/DdggsTFC
79vtoA8eFKGNHPTLtBIGPtJKD8YVM0+MNyEK5H23bYfgluR4l0wz0B7/eQ0AddxNevBtQhS0UuFo
hrNrqcGdCYZBxxtRHKym+sFWOhim8c6AmhfwWGvxakQVVUefG5AaejbADNI3fZZt8PO6z9TxTIR6
K8gLBz7GmSgtMHw/DvJzXZmpDUzB1ez6ykIoLchR0zDUM8e+Kg6L0yBPMUxVTAYLzOIktYl9PS0r
5DzgaSXfQnZxbQYwTIrr1JjcRtF30ZRtuhyE6FR0XiXl13j4fBJnqmz4H0MEvBYNHTF0QD9alK+o
Gi/jcXLfP4peN5VITsAIgexFno6B+UmaiaxZmGe+TfNOmXBXVuR0MTnz18HQN7Gq7Ub+X3KUHVy1
LzPStPDW1lYMUiQoznUrX/dZxFfB4fs5UQJKfJKkqEY6pFrKvGEawtuotT/o+fylS6Z1S4/OtKh+
tXafD9VTZLXLyiJYQPt9/3G8uTZefIWTpzH2mZQ1dJFdQxsvrSqAI1eUT3FjfXj/Om8tDlgGOtgP
+DiskZNF2KdVJKmtJmYr6edS1i+Q2oAraGza2XneI3nve5Y10SqPl5UWfprqK92RVhpRyPHrrST3
q9pxDkUd7bKObRt2Z1rVb6XNnN/MUphqOPzLybMwgwmIVi3GKQWSblOPKzeBB1hfnODekPYrQVHt
JOdeCmhBZRxv7z+jN+o/mpzC89NgtkIT+3ifSrGlhdUoO6A1Hscm9Gxf/RqRB6X5ufLvjbqHKSDw
PJziSMtOG6tSiepqkuLKpMZbrAU9EyvZmC5jqeIeXOpE5O9cnr9tnjJcfx0cBAKeuSV1P/ITJw83
NRHCaiMuCVXeSzg4OoPhUQ3mlUS3VtRwYVVAGPmhqDoFR7fT7BJqR7IRKwJh5KVe0UjHZnfS+1U2
qxtjSjemmR5mx9hha7Vt2uATjS+4mfK6y3qvGnovNjN35DPZ2HsWWVAdBBe2mR2ySHqgeXY3JqEX
V82VMsVISjuHKOHwC41dW/dL9B536CTumgwUYx3fZPh0WzQ6KzOm65k/wod8kNPqUPOlxefbEbFz
+uFtqW3A/e2goOBI1XmYIu2kMfwksrGO60E33BtV6JVpu+3z4GKMYwzi2it98r2eLHCa9Z0Cmdim
zBa7BBFJzsP6SiZiOqm+EcnSMHTLLgk+BbpEi1Mwp+Md2IFvvZ1sNGplvRtvK2e+7nKszRJc9MyS
FDFqtgp5sMi0LA7btu853dKNH0peKEu3dhKsDSVYc9qhbDh+1dV2PwfjpYjfU63vfPUxqvzbuUw9
Mt594+Aw5qPMKVIRv7cPWhxs0/HCDPNHpQvWPkoTVeE/yA0puGkfaEMspx74G+/Bn9tlU7IKnOgm
IPusyHqtAlZe6xwmC7eSOtwNSN6LZ9i31ZWcBbcOEwBFddbic9FMYsiJKo/GBonQC8nhn0G6G6ro
28jzK+Jun9kf6n6i0jOWutOtWhmqIwe+mjCK8ZObBDwHOJXb2XK8uiV/SlN3kKe1SGT02HmwdZqh
pq9dNNIId86696lHfKe9svLpso/6vZ5w4Me8U9Za4PQLOckOhgk5M7uarfg2rkm6m0dwkktAVdei
Z2T7pFXGsFZKbTdk/bacIJpyCrU6gnhRcjNP0TIohn1OcVoYyU1OwRo7sLKlmsfGh8M+JkkuwzvR
CxFrxBxhVBOm+oHwxBoURyyqH9vJgq/bzGtdzlivg+fo7dYkurY+6xPGh1rP6zo0luLd1FKHLD1G
96F0ZxU8IImyE/goTmwbpSaTGz6wpe/fD3avDz+BHhBjSrCAzOpeTQYVOe64dyaDgXQn6gFV7/Yz
WaVYBnmsb6IkuLMAM0f6tG580kDNOVOWvgq4fAWalqC8MM4RxiLHAbeQK7mWtZE5BxI/fd7Cd9Rx
FEw3U/aDe/VOABTR+yg7Es0YwI+qDDZQoDCOL4b0hpRjfGe7uhHvJJQymOS1uKQ14a0lz642k8aj
sn6DPqFXEYfjSnmowvERR8LbcqpQUdTUnV9Khz4cVhQyQHyHL6YeLe0xMJd6QclJbFBijqapJ1NH
Hv0QJ9Gun/GLbG2R5oiHS5HGRGndRcZGmSgKGBLb6rAezG4pml0z0uCoPY9rs0S9YsC8pMiSje93
e3DAu8LSLhBY2Rka/SMruqX+uG3YOqDZLh2TFQUgDj2qYYHTAcn/pF8UaZC7UWgukLaal10YfIzt
OVyY5nyZKxNaMqICTYlRmoqx+5gTBefsoNfmxdCGn3ItupGS4rrF7H5hj75XGxQVJfGyyyxiLGuV
icik+re14t/J6Afkg+QRh5/vvsV3L82lO4nDFpX98LZTA3UxyelG19svUh3+NY0myhy2tjHz8to2
u23P9pVoRSAecJvECeOj3r8rTGOpaLyBoJIOeFN/bDUqQirHvM8x8qx6j0iwC6JsDfV956O93xoU
dRANdiHFmppTAxf9CpTEuGyC4LZqZTj3Ky3hrGvtA5SqO+SCd7TMbhS/XclzeqhkbQf35sKmnk4l
xxP7ogFureU6EsCTyzLbTRT7mskWpc7ojH7VluGujIdVUge3Isyi2nOvDMhwtN2yrxkx6aXkPv9y
J94wH0qwhIqWFmhmo0o3rcqhOAtdHn7QNckSLtedWgJO9JGWp73/p2VC2epsY6uETKDbsNI2IBHs
BZI7jGq+dSkuxA0o34Xuo1EmJajljJeaPblGaywbOX9KEvsuqjt8PQRSJNlgg30QhXdMUJ4ppEq5
/RLWqY0Wj1QvEmmedgzab1AOeUAD97ZR7duK4Ow5XUbAsrProPHvRYkdxmmyHNFpk2rw0UQ0dWRy
biaIFQSemXJSFoBdB9xiS2rrQvKAoG9l6mR0ih5NyHMi304VJ0KptJnRnPH3haLtaPnvUsv8gK0l
ppXzeJlYqHAWlsXAvkI4E+Hjz07eI86EWUTHiGQvTvo6D87kzm9EDnCb5MxMWsmeTnv1Le2tbGow
ErSdgeyIh8nBC2Ry3+j5IaE78X5kfn05oalGzg9gFDziKYJEjjCW19CPAd3Q7UV+ElI123n+JFZ6
OQ5nLvfGQQBDGVyaYG6AT3tGW7zoiE9g3QCbDZZbEPRTCuw6Qjw1mWXEFdolks6P8hTeDXZyiMJs
EzXdcnTim+d7/n8wD/y/YaT/O3JlRSL+96jFJQjcr08Fs8C8BWEqrAif+58/R4O28EcXir8INTKl
F2vlJ0zR+QMyG1AoceD9wCL+HA2qfwgWGO7p/EzgXjl3f44Gn60FZXTThOcTnKrf4g4+U59enrlA
+BhAokcKgAIS9inlbcICBfUqU3VRiJD+hFcdXib10Jb7vqxlNA2wBMa0N1+VpW4u81n+PNtqvAdZ
ZoFQmit/xhS2cmHsKCCmml67iSQTT1gFutdCx1YjXOplU98FSl+vdOww0cGJC2ujhA7TDuw7gARi
NLOdqW0Nr7ALUqws8voYBsFFG0b7BAUetLKi+bOtV0g5Gs7QWJ7ckFfaIeG1UECSpfpAsBn6DpOt
mBo1JImmbhpbvzsj0XGaD/GyRELGwxBOZjyz4xRlBrfmYz2DLllqbMNZ2wPsxJwJIwsny/47gr/9
C4X9/HivsLT/fnfdPX15evXXf24t7Q+B2mcsA9DsB8z359biRwL5y4j4WQX85dSd0TrmlozqIZJq
38GZP7cWP1KArQlAj2Bu/Z5sqiDHn6SzAF/YWZhp0kjD2eV4rShxaVqzb6vu3DrSekqsjVblzsLu
hm/qPCM48oE5RwOQZfjaBMoW90ZczOYSUZrMdou5PqR5r14ANKUBoOkXRvv59yP6fwQbXFghvrPE
hFiI1zXtUxt1zfFi44M/F5uKEK9BSxSuLBK4uhAc+LXYZDQNEFMDm/MMRf8F8bCwEjHE2f28sBDk
/RXHURBhISIVzd9Afh7u429APN6SCREoElrK6JiwtE+aRzRrpiTOFcUtK99aThaKb+NTMAbtJneQ
DmsMEMW0huroI3AlkTGbd6ohrJDAYcdMrijA9U8IecUrf7aQ0QqydZ0218ogL9qukFzbKu6wgJDX
WjzcYB+0bON4Wv53QdbT65gHkf3dBfksX7N4At/8v/5n+lc2vVyTz5/9tSaZVQjRDOSFIQwJYszP
NakizwFIDML182oVW+BnboGktCBCC+FVwY0QsfFXAGQlQgAl7UC7A5TJ76xJjV90EgCBqvD7mdlb
bI5T6Rq/DerRTmBxqbMBwD+e2sXYSpHbx/dEwrUcqOuqtf5yYv+DGWXpgu4ndFnEl6yudZatGn3w
D3ZtOyt9ctCWUy03d7RtPsUK7rPtQwt5eJlkxQVn8cKS0OXCmylf9r3fufEMGLdWpH5tjVaFyf1Y
e4BiP09yZaxrNKOxXPthqvVbGfJ/QjzluOVkPBdRL55YwH8dnfU/Pvhz9Wp/EPs4aWFBk+WyEH+t
Xu0PRQDzMaRlUib4Ar9WL660YFYM8K4AfsXHfq1efiQTnvEE5RcDOfudxfsGrhadfge2gq6ZIGRO
yaptUYQwm3UNjGeAHpxi9thvVg9GtNCL8qFFOnHhF/mHDvcxaB6BvkzSCIC7TIc7UmDAaAFt6i48
5/r6PHh4mbAjFyL42UwkyG74N5GhvqgFh5T5R270Gi7a+Oi2TZ9vjFrewyr6Aj5U8pCOeZTaVlmE
6XxdljUTRKtb6GnxMM3ytLUAAaTQXevSvleUWl4MgHVo7l2AY09Buab0mTpaieQg1/PsN641WIhM
Jn0FUUSLV26Q4Pzk2DMcGlQ/l2gkrlXkMU07AQxfzhNqBvKeHkfq/vdweOtwENvg75OV/0GeIoiu
R0mx+Mj3TQW95g+ocOi+i+3DgOyfe4o4TNhHC/6FzNmPA0HiM4jaADUVEh2wNl4Y2Us6skwwvfhz
MhRwSRjG/0aacpwS09GVMb+yAaHqyOBDwSP3f7l4g6ywWicc1APi4kiIhotoXA6fCmTGEu/FY7n+
viFecuKOh2mvryTOphfbZA58qjL0eA+JrSwi2QNPh6zjDM7gsq72kv57k8nX1zvZlqOC4C7Gruqh
ta6Qrdj2qeuPP+w0/rZFflx9fr8IbA9A/swDyERPGuSlrseGhJPOgTGyG6ePava1xt02REP1/ad3
fHL/uJCA2gEzRf/ulN6AYmM0Tn2gHnKMdyoEmm07XCbl9y39t7fzxlVo+QlLCebJAMNEm+3FO0p7
gJFFVuiHAN/PD+3koxYtIy6apI22ef+GxML6FTWfb4hLgWgBx8dE4xRdZ8FuyIO01iHvI+ZiWSkY
OcSlv/t0/W/Szqw3biTZwr+IAPfltViLVCrZlm3Jywuh9sJ93/nr70fNnXZVilNEq4EZYDACHJWZ
wcjIiBPn/M8FLZwPKhWk84qGMvVL1eZ8QV2uFjSUNf0EIiHcQhrxufX7YDcVdgEpe62vnNKcqb1a
FXVl8JtMsumkepcb2Nm+VIJx1U8wMMFoK8F6/5ijCRdtBga9IKdkSDHZhEbVIWXcd/Ixjv3qua3S
Id7WuVMbO9gtvX4DC3+VuB3l8Oc26gt/rxjNTIKLHufnfGgmoM5y9Dsoqz7cokbbfUMVWG0/dGPv
3ERFHBvo8fLHleUJaIP/HBoZ5DxsapGviiIWLYqAuj+1+kkLZXpySvlOj0N/G0gzZmyy3MGT3qd6
+x0U1HRMagkG/srW1iYXLzE7L7+C1Jp4ylON+fOXQzjzUnT2SrNBS/kE8YBC3Vze6E5zH9noiddj
tGcOZGcUDVrG8i1oiLVPfmkTqCLwiZCQm3NWfnnGem7JXqNNxklnrtPV/AJGOuVjXdXTTm/oKoeR
vqW8WNKojW5jqdLeG9ZgrpS9Fn4FFUq6kNwEMwxWZLNpKPqRnbfGCcrV8qvZZt4NvbxvXRfFNwyf
gDhI5Pgene72IJVNsVO8ULmph0S6/YffMXcaV9g86UZuSAH0cjcKzam13s6lOzMezcPoWMOnCS6T
lcA0v8cuPyzMGKD+4YSQ+ZhfhCvOzpyqf63VaivdVf7W8qbjYBU/HdotG40RIwb6mBBS7Ah3C+/9
T/98hTzyuCQJI1R3hfMeciXuK3+S7mzlWClUNc0VoMmrIDWv7Y8BXbhExsmv5BjipDtVfUjHY1e5
rXMrGyuh8LJFwleDkBG0CYZhkz8zbCoUv/LEUlqndpy7ptMUVwmNT7pU7ZELiig3ePENYqLB7vrO
LSzswqTgG7VdVWkdW86d9T4pvynqox0/1trjdSOvQq6wLqHO0seBT+vYdO58+XuPrrZy2ycP100s
rIPkDcJX5gPYPLENTtESujK4uk6SNLmRb7sOIPfBf+iAR1+39OpWpFx1bkk4pL6mYqROQXAC0b9H
b4+e9/DluokFP5gzUYqp5H0gv+fFnn1JJfT+Q1pGwakv2uDQTeUtEJp6l/nmXewV430dQBt+3eTS
qrjsgRDMJTmwlpcmu2Rsm7JoMOlXh3Lsv1Wm9eHfmRBcjebCWOYlJiqaDRvNqqAmM9ZSylcpLKcD
t+o8CjPjwWzBCKzabVV4bXDiQ/X87mhTROY6p7W+z5w7u/zU2NpK4FtyPZBncBpTznzd2GxhxUN8
EZO+ek95ZvY6qX8IQSC8Yf/+2BFdXIESCZhYH5zMuDrovdKB9EiHFSOvHhvz/pFXMmGHfBhA1ks/
4CFchUaHEeW9mQGD3rRj8p4q1AFdSQn53utLWjytM2uCo6dxbE1hPganlNKp2qZHHtc/U5RBckfb
epSsqho6995aCXovN+9FZiusUsgBldHspNjDbhV8lMvmUDstUG9gDptAVb+iBMQUrcEULTiatnXT
+C5IfvnBTVp7bih976v7NPzRdzq0Ic29D51bn4MIhMrDiQ+1ZhyGvNlmNggUxC+q8Q2R7vyE5hM8
Cw6NbJU2oiDBqeiDvUJOwRZuBwgrjPT5+ukshaFzS8Kt2huN2RpgiE9B+1DJxbtyCn761Rc/DNSN
1Nb/KWT/z3eAQJPycvtZ6LzSpWXATIUG8HJhndNKvTVpwYlZZpA+N3X+26m/K1O1mcb2m9bZn30e
pEP5VYq2gGS95CEqsk1QAcWboMLIGPZ5MKmvw1+4sa29b6yN6i9cYxc/UNh5L2oDmcoqkT+He1Im
wXzXDjLN2mlcu5aXwvE8r8jsAbUFyHIv9yKUB1MpEFhF0Sypti1DqptW19foU5ci17kVYcdHplwY
hR/4DMLnuoVjRfrOPOYxVdOV73xxObR/EYiDT44a5eVyoqQ2Yh7HwYlRqaDIt526xoq5dDaM5P6/
hVcycKEcTX3VsZRGSjaxU23s6uEteQyV/rkFCjKBHqVwKm3eQFEUTsHJUx78UbsB6QeTRrHy7F5c
ChVeSFehDoJx6XKz8rDItAJA5Wl2fal7KqbvfbHyNlm0AcaCmggEpy8ttvMgopq5bIaRGTClc+9N
mhvXh8goVy7G1w8gwixUU39bEfZL0yZWWAbhaVAzmU6Frm5r0w9uJw/mHCTY7k2t+FqEPfA145tR
N+nO16ph5VcsRbHzHyE4+QAFpQcZc3CaBvBlZaIzFzGE2iYcQV3ZoMQRMlsr0izaBJcOkQOlBvo5
l0fohbRM4pYjvE3HDjoLVEIgE9LV9+PH6yF68Qs+M6ReGjIGs606aw5JXbuRtGeDuhCX1ER9/d8Z
ElL4aH61dIMdnHLnU4Pa1WAD7NSOdrGmKLnomfQPYBWbu3Di6Ch3GzPxFFJOmfToR9auGh+lcC0B
WNw2G5aNuTcNm4DgEy1i2n0lRSGaCb8tuF/i6J1jJ1u9WWUaWYx89JZ5GVMFoJZ8eUBDm0lWVYfh
qdPMDXDkrZ0eyv4++ysOKH9kN4MrR5sJWqVsj/LbRlo5toXdBE0BwRnSmAD9ROqxuE+i0BrmhTqP
jfYY8P5aCyVL7/4LG4JrqJXcZIOBDVOXDmTB9AnHcFfsG+YoxrI+SMlP2BR21/1xYV+hbiMWK5RY
qDoIoaW11J5E1Q8Z/O4fIkhlYTENVm6txc0jDcYMMAZKWZdn59FRlZj1C09ea+x5GiM+uKu8ciXv
WVzJmRUhVrSmFDWDloWnAG6plr4rlEhvMDF3+BjU47/cXZcLyQGoMf/ThKfJvm+zau935oqFhQ+K
hyrVdRptUHCagg84yLz7TVaHp0p+CtX7fsg/BjMMJ1kpLC4dCaFhJtlkzIgv+HIloebVQVIa+LP5
S08/Sv1jk6yleQuPEpotf2wIn2xe0/2I4P0+6cHUHv1YKwH66gXDxMUxLawvEYJLD7JdPvQRKsjX
3XptfcI+NpNcSm2H7dr+4HRPkfGtcX5fNyFMKr7k2RfrE7xhskNlgGUxPDFqo5gH48YcN1O38RjS
0wBWlBtLOegtDc5ZlnJtc5cc5Xxz5w04f72oWt8GvRae4pbJgYwBnS9hKm+c+Mf1VS7aIX1Gl0Bj
yS8aXmd29KK1YzkwSKK+mgMCoAxJf5blj28wMjMGghmhv24JO5kPqO7q86WoWTd6fAhdxUIKaMUl
FldyZkTYMTNTpECbLC7EEZy2UYcfzUqFBBJpVDcc9DWm62VzYAPnu1eFh+rygOhPS2mpElitIEHV
uNiazTEpGbZQ11xhIUmiQ+AwuklLfibuubQ06HrZVhb3RqVAQaA8qFHvmmG71Ydqk65OYS6F2XNr
QuRQRs8r2whrU7W1vsyTAFXyoIAo1DdBfddGs9LwY58Tfq3dPJo+jvpKjFyMK3TR5BmBgdKOEFey
AclGxSJGwuqYM4NrmW479mhzy52+rRTH2yQlpArVGPeH3CvqFWddDC1n5oXQ4pSq0ijzdkvMCLVo
uXrS42oZ9iWfESor1MFAVc0fOdg+4VCnNLAl+JfnAN1sJOl92TEdN9xH6ddwpk6svjA8kt+SFW3p
p608ahZqV8gXgW6Z1WNUWNovHaqVTYpiQRuensa83gSMICVd4ObxnTVoe816wzvtwtz8JZ2FmBzC
hjSpMCcPycawHpLq1xQ9XY8wS4d2viQhUWUMc7DUARtFd8zz57B9GI2VXVv6DM9NCFUNWwqCsuxm
EzCK32cqE/Q39virVlbcfzFPRHKH00HhymEY5HK/PE/pGNvB/+sAKpEw3OT+Rx/VwqiVfrZBcZIz
JHez7raJ4xU+pmXTKn6pAtsnAxJMF8zDK/l8paeFr92aE/ypTg+laqgU9sGSE7g1vbI6UN9D8Rad
moOZpv7KPi/eu7xr6ATaNAVBN1+uP5IQ9pUVmfWrD7k55vu4hVez036mYXWPksdJg0ljLhtqhbxL
pEPX34aZvNJiWnSosx8hVGLkpoJHWh/CU6ncOwxvyfXDarNs8TvUdfBWaNfMOnyXC7WNGlnHJieB
qpTYZX7BvDVMP9u1yWTcwnyvb1AHv5ONQl+59BddWScrZMoDEvZ5AOT8izR7eGG6BMNNkchHpdMP
kaJMrp2Z3dbyDfTfy2G8vf6FLh8rpFQ8QojqaA5eGm1h0omStiSsG9J9Wz7G3Y2qMYHX7BVp61CP
bO0nL9Z3oZIwLivvum/Xf8DSxaYb84QTfD/Mxghu1cMe2prd/EqJvHur0aELUlc+3UWnOTMhOI2N
YrdZ9TxR5PxpKkp3ku81s1zJcxa95o8RsexVBQEDCAFGpLRAEpoh008DILy0Dh+68EeSrPjK/Mm/
uqgQ1IArw5i1AwQnnTxPr0anYE3pcRpH6IuPVJuDdOXWXXRJiMY11LFowougoE5hZNUzccnBHjfA
uFzL+J4Y2VYJ17+7xSXNsGaTzhd1Q8ETlSSqxmTAVjTYCMIiNJv/hnphZ/RroWzRIaCshTsWiAk4
k0ufd9CEbYqaUJ4nCH14P4Nxr6KdYdxNiefeOnbh0mwLG1hoTBcKYdQ9un0//rzu+Gs/Yv772f2b
NRaXicKHF0XPQRW6TXicwr+u21h0SqpEcxEAAN4L4PXMRmoXgQyEIzzB4L4x7Bu0b92g/OAHewuN
8GnF2vKK/lgTrinfiyejrHinGwyGVlAp1wrsvw/Xl7QYL86WJKYUmZ5AMsvZNWrpmt53v3jTl3xm
QYhIlga8Ka/ZNMg1GvOjn3q7IJj2CEy7zlM1+SvRSUAd/+dBS3Hr70MSwlM7WFE1eNCvd5HnqsP7
OC5Rc32fh7dzK6gNj8WQxxtD/hgZKYxa7TbIm42PR8ZrkJ+VvRWDSmwqfRSmrDyYWRitB8+LN9dP
b9FFYNcHZgPAirrUpdMjse4EVjISJcP2d91a0+1kGl+zQctXcqbFYHJmSPi6yr40hsRkU4f4WUHf
J0EWN0gRxe3qlSWtWRK8HgY/HYwclrIJEhQ1P9K6Aeawzda0FxdP52xJgucza9wWWtMTMCZw5qH5
Kw4Zjvx35yP4/gjtVl612JisxzTQIGX5S4nT3b8zIjg8GGEofRA5PNkcSuz9BnGwmsQtnwqckQy4
zu854fzlSK9TfcDRUiU59NnE9PzvUR5OTbjiaMse/ceQcPyanwXwp7FjVmnepdove7R3Epx317ds
8R5G51MHOstcuEjCVDS9lY8qyffgGxYoLs3agPzON5Fi7KokVO5sX1kj4lpe2R+bwreaQzPfoUEV
0px5lpVxh8cVQ7ES/RZvKFCOQJzh2WQs+TIgFLIf8LKfeFXkv+NE25jdjR7+6mS3MvdDJt9e38al
JcGX/gJ9N+E7E7wCOqA2cgaHWn+QyYcyl3SoeqL+UMN6s2LqpQkjZmg0EOfZUrquAPQvV1a3cdXq
YCKBJE03NcznNpdWnOzqID/kxcFp9vMjEsm8XQwdjzU9GFb7qWlh2ZAbN5bkeDPBIXJ9/UtfBWqQ
THqR+qBuJ3zeqt1NTg4D4ikMhy2pnJL9zhppM7S763aWQhUE2MCKaJ6CZxQ+ij4ai2awEyhiId3w
f9MEu/7vL3nN+b8vhMIo8Kg8SWl0yjOQPeZGU2LYA78UY+tWXJBZvL1ub/EFDrYbeCbc83QKBIPo
FOrl1MwLcvpyX5Wxvp9iWFKigcF2v1AR3U0c3y3N2NkU/pB+HR0wutd/xJLzzvg2oGGUHVH9vXQo
Dd6H3DBZtOI/qb7s0gqTzKfrNpYODqrdWcgb8h8Y6S5txNnUNpOaRydEWh5rXvsb4GHFG4IZIRkO
hJnvAGzxpZEyLMcxH7PoVNYZGjVy0LkyaKBtVxQ/YLHisnbgE7i+sCWPoSVrwkZLRR1t2Eub1IWr
Uc7H6DTK93792BmJG+ffFC910/R+dPKVJc5nIX781ozcZo4N2jpxaiNMHHoUARzJdmQ9FYjLtt8i
9WbIYJjxPijFB96fK96xaBGyRJRugZDyVLtcYK7JYSIlZnTq6h05D8TlvFvGxs11n5KpBUvP8LU0
7P31bRUG3ufkFREKJh+YOKCXSVPr0mxtFGkRDD6Nih/WXk+2ZXqnJG77l/eLCs2guM5wKseD3rtM
InTxcTJRbwDe4q+W4197Lj+ENx2iE2CwwFJf/pAeMGFS+GVwcsZTK2+VbMWBFkrDGHhhomaxM8T5
0sAYyCU8zuAk454nRxNupxup8j4gAAGS+rEffo1Z4fZV6WqS925szRWPeu3AmKczOauewEYhjiSU
hYWcy1QHJ+6ajR9Xm56OfKdUbrNr9G/0FVfsvc44GAEjjyB+Q4ePUsHlcqEtyqqsTYNTadUQxH2v
i8Ht+h+JuQ/SaOVaWrI1j7Ej6QapA1gDwVYhpUHuAwPRumKnpp+mz5I1AYXeQMp+3V9fx1CdtivI
UGBpAKBECJTTBlaA0iLvD/13HJFEJUclDldc5fWniN4y0RPAhEqoEeNbqjDwPKWUgpqQ9kj6WA5w
yj+P5rOU/VK/OP3Ki3jBMzDH8OuMtZ77ype7V0GNa9QjPYu8T+iKSFvN+6J7ezW+tXOHhOrn9S1c
+hAu7KmX9iQQKWGGxvxJMZN94SluVxi3SWAdbKV70sAN+8Pvqfku3SZhs1mraCzUK+fN/bNawS+r
wB56e6RsIgXSjWUPsER7e88qjlBSRrF377TGri7sG69v9qqcbws4v3gDrHwdCwkBP2NuEDGrhALI
q+Ey2YODca6smM5wqzaqq8vfx+hpTMJDndSupn0bW3/TaWt354ID8/lDLER9es4rhUTES2UFNe+E
MAd5ug29Ii0c+txrLrxQlABGP4vnMpBAfVH0Ycq1IUSioN2n8ad8CORtEYxujOJroCtQ5m0ejVvz
MKHPJW3yeoVydiEcQPhP8R0hMTpxL3fOWdVqDhAlYghUrawfylBvkuhzVUEZ8CGKfqz48hxZLu9p
zvDMlJBT2Var21KPqbJ/jpBeNt6FKNia/kcYFnUT1rp9nn9ZsTl/H1dsilUWfbKUgmYK32uMMvg7
tM/C/C7yDsNfTfUxgEKd/+gOFbTDiuGlxdJCoupC0ZNHtnBF+l7Fdg98OkFy0rtfcvkc/6pRGvTh
xrebz7rt7+E93l23OidW4mrRqiLpmickZ+qqizKnlytVOw68j2FjmAu7cEwzkDu5arYSBl+qttcs
CbmrHdeT6s91tHRqXaYYpfpLVqk7nlyIhFeKm0uJO8p3QRF8UNX0EDgfvXH4xwAfsJgzTolJFL7T
l7Bx5rpD7U2RPK+2kyTFraQeokALgIipRfnKLbP4ifImIQMDXoEXCzs7evUUpMoYMkqbu6iw3yTF
exSCDeum1PV4A8O/ojNda3lbtA/hCOg2ahKfgmjaVar3eP2UF6481v3ntwh7b6pdpLU5fbmMkmEB
45HnPMdWtTFNazO16SYKQne1ur0UC8+Nzn8/22yHsaz5OU8MVuJHp0AjK7P2dv/rDUtD32lm6eYB
KG5zXZgGQyQOn+uk3FT2QWudLZqVW1uvfkX2dtI1N2rlm+tGF7JZnka0d5j8ItUUO7457PqmHCjU
XhLGJLpCl9xU09qVW2zp2zy3Ilwmag7xatlTfFGl5NAE6k1bPmg9hYc1HMCiIYXAPWv0wt01//3s
pNLB6FqvlXAPCmk74HxIwBnWb50PEGZK317J8hZ3j2QZKV5mgKj3XJprJsPuy1xnimoEITM9QKy/
vX4+iwuaJw9Jj1ESFwtJcVuDpJSI4WkJJ55xr8g5ahnH1eriUp6hzt2w/xoSdq4dpWwaZkNKYJys
FBLcQIX/v7ulS7BV6s7chNOwl53oB2WHb/9ukYJ7DJrhV818D5vTTTTBrvuhyKON4o8rbrh4XCj8
UJKiDww7zOVx2QWzgp7B5Az5lMuwjpZOu+srWUiRma1gEnF+PM1qD5cWtKTqE0ZFmHxQsy1NUo9M
2VS+Jk24L2g3W/9MW+LlVTzPcqA3C4Yec0Jk0pIy5v9mciBqdqMJJPam+eedFGb/z0wIjjFKWhcx
xhmexuZj1A3bGsYadVwbRV/08zMrwtFoRiarEKkzV/k7ZwmW9cA4x1Q8Xz+e+V8Rb+7ztQiJSUGy
C+MAaxlUGG6TclcOd/Hwbohat4hWXGFtRYIrpE5GQxhY+akt6ns7Go958Gsov6hR9fH6ohYNwaMy
k2mjF/ryjDqLeW0sdQrk6qSW8rjVyydlhDNd3g5+tZIIzM70avfODAl5ADCuyvDn52atFOTmyvwC
dIzvXoZ00fUlLZ4T86nAoOAhetW9q9JCcbKYc4IXwB3RfaFL+LmJaKvpefD7uq3FT/bMlvAJKQBH
hykCF2Lp9fQeMS75kI72+8ZSflWQbCPcNP5lylN+uG528dRgvUEWhoSVkYPLSKHUaqoHiIKeLLnJ
d5bPrEieeZ8y6Mk3ZRANbwl9M+ka1JMz5kdYZQ09k14amEssaq1GHnPZM2O44vNLHkLlGkmzmR6I
/3G5qKnyCqsokv9A/fiGG+1hPYqvGRE+rDC2086eUTaxcmwMpFvRhcrX+EGWrop5cIJKHyUcEqPL
lXhFCTbfodZRW1r5SelK2GGlKF95gC70bnRAvX/MCMcS+a3ejNnAres4+U0GrzVYu+R7UkXpPkkc
ZF8b6MZRGGh3g9OaO0+N5W3nScE2g/t3100QY/WJqcF5GzokvxPKEaa5Oroy5zHil3/+MwVnHXzV
/A8IqFLd3OxBDTS7wYeoAgEZWz+23p3mxC6vvWa1xrV82jNzPwTCjIgJO6SgJO44IR2tesegtT3u
s8frH+JSrKFS97cBYW2aAZFNOFFlIuG5A2Jo7yo920HvlFLeCeDDD1e+/MVUa85PbYWgPVd6L32r
H2nZ+SPZsFEUzq5opXyb9jKSAVkf72K1gpO4RTE4s3nUIdBXfKuMfK3KvLitRAIyPpQXiAqXvyGJ
erMNPJXbSfnO7KQTVZsg/uv6zi5F1pkjEiVcOAZsQ/iGMh8mENWLaQJaW1k9llq9lXj5o4eZP/v1
Snv8pfr4ykfPrAm7qji5KWcasSdU5T0UpfI4kimPDzSBdl1T7KXqe6qNJGXtzlbr2+tLXQwXBlwu
VGPhNrCFpUKvWwSZTkzKukNlu8Nbwjdn9fe/LyzO66BpR3+GxMVLYdNGajBcS47nsPlq/85MCB4h
DZM0Wj03hF4iYqCGe1W5q8f2JkIyUnsyhs1q8rr45Z1ZnP9+lrg0Rh9J2sSiIv1HMkj2xglQtImh
jxqDX5Gyv35Eix5/Zk24m1JZUu1+whsjwMsT+nXzpdH61RsKM9zpcLErVGX4tC4X5Sl2J0cv0wvx
cxn9hV7MWyZCuDUoCsPXz4QEcwSXNrgY4rYaCVlTsKUF9zmzt2X9eVhjnVj8pHgpAQify8AkDpd2
WmAUSSBT6EqQ84G00o3Sz5MJYLcxNwkqQbbWQ6cQUKII28OY2mvF4aUjo5BH9xYGZPp/wpEpZqmH
ec9r3lB/JyCdaKK0mL7uFwtRin+do5qFWGmlCovUtDSUsxwjFTSUmlZvivaQRNqWogVSyPmmz1Zi
xcKHNhM6I7/tQNxM7eVyV4GNwKCs0JUGAudGXvReRyIxUqERHJ0nwwiPrXxsrLW27fz5Cp83SFem
8gHUq1DVCRGqksyqbM0yOlUOtTvTlD7XYXyPIL23zWQr+edPBYIVkHYAofCWiPTkuR4PiT7EL7iM
hBZlodz39koddiF8XNhQhX2MMoYAvCg6NTQoR907xhaiPsN93z5Vob19g5fMfQrY0miGiF1KryeH
0/wuOqGPM/fx02ZTGnqwVz052aNx+SyVPvoCg/nrut2FTwA87R+7wrE1up1MtlREJ6lxdf9etp/r
NUKRJRMsC6XomULp1Usk540lO0kfnZzevvc9lKCyh25YgULPv1N0PwhCGTigqcLEnLCO2uxa2fEx
YqmgdH7l1toE+ZJ/M1zAwCvyzRBXC5/xoNQGA5JWdJqzRCgawr0JAjPzPl4/jyWnOzcj3JK1lnk8
3EA/hAn0NcletW/Vm7BKt3r09bqlpbh0bkm4HSm7lVo1siBr3EtdlW0SWf46GCXNPgVl212i/fOR
Rh32tj9bKAQm1C37AvmC6KQ5z4Z1byKVUQYbBm3+3cLm+Hh27TvW2NRki9EJXQK9hzlJyk9zsSd+
istqkxTVSrxd9O8/yxJbJVGnGY3lafj3RJfW8mq3njke2/T39XUtXZfsH41EBpcox4lAvCk2nDiT
PJAxGQgtK/2GesOt3Ffvorz5UXb7Tv5V/TICSoJTLq8Ruyy6C8gGMKjQoQE6uNzVyusqD4kqkGpI
Pll1kW1NJWMMP0o2hcWw2gSH04/rC14zKdSDINrypj7FZK8o75OWXAQ9LiWCyaOubxGj3QV+/oaY
P+M3/rtKIYzA15kVHUpdp9hEwzkw/X2Vavkm7xVpUwXJTdp38YrJRfchm5sf6nDZiH3FYoIwtppB
xGqya2mzR5Qna3OlkbBohBnseTiKGV9R9GmQakSzZdowevsMZjNoH1fblounxbNznn+CMMkUvu6k
QKark3nxhb3qxiPDZfJfHjrcErBG9Ub1VjKA5a/hzJ7wmcdSHmRZib0ijB78ElG64mhP90q479R6
J3vqJtVuY8Ro197Xi3v5x7A4VudIpQyRg0bBWrnNdGYUTXtH8//DdedftgK0cL4y+d6E7bSb1KvD
wQR7Qz3cyo9VUkE9dbhuZOnWhKpRnieVuDrFwXno+6ywSTESGcoprpK7Tveer5tYWscMqKPYCu0J
DNqXccNUg56qCyZiMPJj9qyjr7sGHFq0AYESMwX84lfN6sxI89YIQzLe5igx6ZeO1Sai+n59JUsZ
AHjjv60olyux/Q6uGtMnzlcPmTahgA6zXHo0JGPlQnkZFRSTmXNLQqw1h8SDbbzhogx8pJETI90M
AMlumjYYdlVYVFtfa6wHWYJRsdRT80OkJg9133+D7z7YSD76jrnih5tCt/NtMIYlmnfttBkCJFKT
yv5imz5j9jmT9bXmO7dlFDLfFyJebg1Ne2qA7kPdyUOo8+s1lpXlo5olkCGzBo4nPC29QoOKhvrz
aULl0UqaHZl7aK1dVi/ooVc7yHgt79dZi0wkOtO8ifeYD8zZSPbAnY+ONroIvs5zIOZuVKNHNfmk
6jPqGZRX9RCY0ZMSlW5nftCyv9ooQMY6v61RvZRvU3uWkt3L6qMvqa6R7ZrknQTP2Qan3l/3sKVy
LUqlwIUALAKGEF8BaQTDhByQjZvFXdSnD2EHunfKb40g2srjdEJ++L5JwYhnZeBsugAa5bw9lHWN
bGG4RdrtOIYqkpWjvBJtF4/t7IcJX3GsmVFRG0C2zXZwh6jYIJusezfXl79mZP77eeI2RI6WaGC2
6wStx6dy+JXZK9WTxYDHZDJo7ZmuSByYLMuxxF8qcsPhY4TusiyvhLvFIHFmQFhDUJf1KIUY6JMt
1Ke4l6p+iv2n6zu19EpA0fbvZcy/4myn8qjLszrisT3Yt1l37IcjnA7Ju6hZccilO/3cjvBGqBTb
wZkIRKrxzpK2A+hrCEEryaFv8BMPvL6qpcI1eGCIAYAd8QGIp9NONrIHJV5GKqSpk9tbzM8i75RL
H+t6G1XKHY/8Tlp7MMyZwqtgcWZWOLPck5R86imYIIZsQ2Opk9Buigk16sDa1JrjmoOyaZVyDVu/
eIpndoVTDPvQTuK5iKF572WQTyxMYSDOQK+ajPr63i7aYsJ6HuKhQy0WTMaaSZPR4CQ765g0sbeJ
Fabyk+6m9kIKvmv0v/OWvdrSM3PCDRZZRtjpFQ7q+M/0lSAaeMzTlcR5MQNkEAJqQ7CdaD0IGaBT
pbqRD8wmqN5gugr6uJPtKtOzx8R1CouL3xzQgH+CNDerose37OfftsV7LJvKFC13bPfJB2+sbxq9
dkECbQr7l4OUznVjy7v5x5iQeQSdVOWFxcwHkq0Bz5IkP7TAZh+yeErfgMtFowMupXniiU6r8OjS
lSCv8p5C1F1hlK6KTLQtDyu9lEVnPLMh3CZTC7tg2isEehnt6sZ2x/TZrKItCm4b2n1v2LwzY/Pm
nsVKPocxh0g7OqVW8UWRwp1nWD9RidpeN7McvJh+hlMFlgFZ1Fwy29JvgoqRtEKrNqORvC88465I
j12e30rx9K7IjoXjpn+tmJ3P/tWXZs+EbzOFKHCGy+UNrZxZ6YTZEr2jPLLctHiEY6vpPg8FGsYo
hWu0AA8T+tbXLS9epXQJKDDzrmSc7NIwqo4mQmVkcqqSWq4VDsNt78n14d9ZEZbnKcw5V+psBb5a
V7KKcevFhK/rVhY/MJAgM00q2gViJxHUZ5sMFRePBWftrEAN2fS00oufo/mrgzqzIfihXjLdkA48
UrQoUOfavOFOicwlNwbuwEzSv1yScLk01NlMs2ZJmne0+2dlG8drI6/LK4JIi04z1d1ZV+38y4rb
wQi0ERMycibabwOisuZzlKVvcIG5EA+ejp62ZQuONqIlHPY9d0nSTEAVbsdA3/3z4z+3IDiZ6kda
rKo1rwXrR16DePDel+VqdrP0wYAYBUU1y7MSXS+3SwoHKZF6rvuqPjKJPPhbO4q3tHa3Oq+x0R2S
eyW9keRqn/kf0+xd5lUrPrEUdxlxozkEDSlEOULcHeOpQ+WFA9NxcBjs4R9r9V1rGtssNLeTET++
YV/P7IkunziNg/Y691Zq3zK77mptcS/l48q7YWmUhtE9TWdKGc4hel6XO1v6qNelAw+Htiu2lXXv
9OOmKI8U1WAC7CBSDOxNyvtNy7bSAD3553ZNe2Beifhxn/8CwUfDSC66bOQX2NlTWxn7KXVcO1rj
5F30oLN1Cn6ax2E8WA1WTGMPcZwtr9zLa6sQ7n6tmCpgBvM+Vu+Y/ueO7KVsxQeX1wAmDdoMgyKH
4IOd2klG3PDEtT3tr8A3bTcolGn7Fsf7Y0RwvAhWhsybB3MpCIWlerSNH42Xrbjd8m79MSJE2Nio
M62f5hw3LG48394Wg3KzijhftPKCEoOeET6E+Yl2lr7YXRnltkzul5slrB8tFHp1B7nlJEnp/vqu
LYYHhupn4Q7g66KceqHkxehHmAoUc2d9RZR3M+Q3Ru/v9DftHYArnHmW5xMpfZMgNyhrTXOPWnYz
//sMO6/TlaL30v00o7r+a0T4KDW9Mbi8yPwcNTQ3ytSjNteP1l7T0wxuMG0Nkbu4f8YsU0j5Zp4Q
uDyq0LIr5MBkXNuUUHlNmshlgibYS0pcof6q0zIJ+/8Xbv2fcg1Lg8sak9J/WxWuFT1Ii6lB3fI0
1dVRrSfXVOTDqEBtlWe7qXNurbHbqs965+yH0PnJdMg7y/BPZvRhiqOjJj3MaKWZUea6My36LTOw
9BvAnypi/RooQKlOjk3aTfUttg6V7rs2HdN/Z0VYvJHU9WiUDjeazFuPTqnzaI5rVfJFPwJn8KJN
yRisYKT3Mzkl041PuYq2ef7syVCvOaM7dSsOu7xn/zWEaNmlA3k5Q0KjJEUvtfK404+y1WwQGXxL
dPx7PcBSLs3wiJSjumM9hTNsVd+5MfV4m6xSDM/u/upOPDMj3FZ6HUkz8AV2BE/d05D9wNi8E4Vu
29zPA4PMfLzh+oJWEr4H2AoYZRWur9SLI1mK+d4D+d3wUUlZ0xvc7dyCcHkVfR+Uk0zYCvpPwfRr
7O7bcK12veQETI/MgnmM49DuvTwdNS9iG7JrktEsugly/YY568gIVnxg6XDAZjJ/TOI+kztcWpEk
q/bbOIpPIfq38FDvYhAAdDMURKilctpE0crhLAVHY1axnGdxLaSTLw1qTPtqk9fEzP+04SZrR++n
P4WWa5ed7RYO0gKqp7wlIoPrQo9kHseBq/zSqDckjt31aXzS9a9FtucyPUhPRuCGVXG4HogW9/PM
kuAZRp9VQ+ZX8cnr+v3/cfZdO7LjyrJfREDevFJS2S5V29Wr+4VYVt5T9utPqO89e1exdEqYAWYw
wDRQKbpkMjMyYu5BDdmmtjrQV8Dn2VUf7CR1bTcu28TzC51oaNAXSXC6qlcKdeqTh7YCZhqF2WJb
cjXdT3YCTapkkDw83r0oiY2VLPpirgO0Nf+xLHjEsWBDmYNe9GGsR7T4ygEQxeOpbWVICzpAh4VU
gZJTHf8Estu5P9FLxwPByZzDBDEUmp6vlzRP0RqrFHoClYPkfcjHca+NyfdoNIIVZ7w4SPTdzSra
kCQGFvLa0liFVpFGiFTVvvQKhpA7dLqk2Og/G9U4duW3rLfdxvp9f3xL5+TCqkghoYzM6jINoWsh
n0J+zEsCpPHLEBwA1FyZyqV77dKUcA9kvQIyzLmKkAEy0gDSVtWnJgpQFHy7P6YvsVPxKri0JFwF
BGOSkhmdVRc0j1KvigAwGrI/ALglDBkqs9skUkq1EXVI1n9vs208HIr+x1R0fr92VOejePMxwNGA
9gD8KoA9XK9rawaZGRZI3Rp16ULfasjKzf3xLu1RKI38x4IwsRFKYyCTgQVwjrptYnqY2NWHwfL+
RB8gyoSINW+amCRmIqaMBsTQob5N0ZFeSGgmQszJmNtPHS3UQaG8bY8kXWvZXtykF6aFQ2jVclSw
CS+FOt3I8N/BQO2sBnk8d3pjlZpnXpDbBfvvQIW7yjIzHaE84urQfgN+1TGCaMObBNqFirRttG0/
gNDSls48Jiv3/eJWQbMlKqcqREFvAMIsNpVAn6FdwQ+L/Q2ClYOxeAIvfl9wMWUEVZqkBiIO+jdl
XZ/NfKuHhQd26JWBLBuapSyB9kTlXbgI4zGxh3RExl1TCm9IJwjWydsp3xDg8e/v/cWtgQgMjFEz
W5yI99C1GJHljL7jmeTMhVyob3tRY3mVqrv1WgvI4km7sCZsxFBtEhQoMYHEPjELyA9w6Ruf90d0
w08AEmvwomDWUBSx8FwV9p9tRWogW5Xlk2pn8GhHKs9gz+n4jCbiyN5ClySP/zLVqcHw8UdrnTFZ
cdQ3CS7xC+ZJv0gCVAjQUnWsLT9MPwtz0zTtvotkSvSNqdOuf5p0v53+lGlCs2I/rDFDfqncXR5A
mEfjJx4KYG2au/iFWbbatCNFxy1fiRSq1sqmzaYXdEoCCvESq2eFnZTAC+JfPPurq69xvx9/TUFD
9dRt4g8pQmqzpLLa0Bp1xqpH6K/85h8ZaKW9lZUSt/nXhyIFiMSSjWKILpynFiXULqgay2f2dxTj
wHjrdsDOWnl90scMCJCE2vEx4074qNq5U7LdCKEH3oMGeiXcFT3H15fg9YtebTQq3pAtdIGcRSV0
lv1+mqiZH9JV9pX5ErlZFPh9dAQhsr2RJgwDtSiNRrd8Dulb07V3hD/J+ilunKR6Kg2NVs0xqleK
GOJ5+3/D+q9RYSP2bdRULNcs385fdftnbzBIum5WVnF2RjcjQ4CnogaJB4o2z+3Fbscu6UqrIJYf
SHHlGpk9US3Tqo1RF285Z6YD3oV4MyAoRh/3EO+spq5PUtxaT4ZJkOgp7TXUkujUvoaN/T/r2Zqa
LGZ2GqXKQYaF1eTkJFdb9kj0Ywq+hDWWcjGin+0gXw7CfiRpEF8L09vwKtZAyWj5SdZQAIFcJTm2
zQ40JMEU0LB/vT/TS6t5aW7+nIuJHuUC3Cu1avlWdOLKjzI66dFae//akIQjaRMIDUwjhoQeeA5K
IqvcyDV4BCvPfIg79/6Als4/yHlQBQDeEN3Iws6xFJ4mrVbYftYRIBxe1bk1hHyHztyaR54jVnGP
XloSXKLWl+hxznPbb5TyPdWfozGlea1tG7Yx++YIvjKz+tG0FIqo4CW9P8qbcPprm+hzqzVA4ICD
C/GlXKgQyo0q21e22rRNksfUfM5Z66jKOZHB21nt9faZ24dSfSUBJMvf1CSh7e7+VyzN9ezg8JoH
lgpV7+vNo42aGjV6Y/tdnzi8DZxJz6H2ieeDtVLBXzp9Blq09Dl8wTtMsJQXSsRjEG77M+kFUpdj
BtRAvAd1v9V/uz+opRPxX1M3eek85vFgdwHzM+kAZAwFEtJsrLX1uz0T8GsK8t7olTKgmScc84JF
8UhibJ4ofYFkXp46evtdbtBqHkHGeJ9aVI72ffZpErAuVZ7NdqzdFphlEMWthGu3qwglFiRpJfwH
F4kIuUp7YDA7AycmLaWPQp5FfcHOQ8x+k6rNmrj5zZMFNzJcKBJ0CKkBeRdJ36RKjjgUs7GSsu5w
gKzq7WTudBMbJyqdEShLqq0VzW6XFDbxeJC++uEUUXqxT9C2NvCY+ZxXNOCbVgmd/nx/2ywP7MKI
EF83XBmlyAqZ36R/4/jZ3uQ5HbeTsa+nX0SV3BzvsfsmF/YQJCbm1A8wC7f8eWBrGSUGMTQ/VJ9j
hX0UkeHXgbbtwt9p/tCQFYe3NIvzqkFoAv3HqNpcn/ZOK0PgEWPbl9ID1HcP4Aqt4pXgYnEWL40I
TrVRzcmq1dD2Nb31ZBWqFrvGtClYCbd5/DTY7wb7PZJy5czf4MjmXangvjBmMmKkJ4XFQ3ui1QBl
a/t97hdKfGB25apdROt92xa0Njd9iK7rIAI+aeUCXnhaXJsWptUGytu2SG37dVLQIXl7wpNd3g1u
2FIWb3PX+m3zlFrdxgQtk75m/TaEnK2jv1cH4BjRveCHTC1CaB/O8y3nLc37P3G7aU6qsssn3GaT
I0uOijdvA83c+5tXvb0+bcRRIArR0LqPm3r++0XkYeglr8G9afs8os+voSPTwvllOuj0dYmD4ibt
dsQL6Cfo7p3BiZxt/eyOR9vtae6MOydZyzEsnabL7xG2QFxlahfM32O86T0gEYGjgP2iz/BU+dCK
lZtTWRw9ktJQCUJHHOLc69EHUdMWhsVxmKzeYxEeRJG+raTvPbM3dR06Vr1hGpyVbDk1A0h9pIN6
MocJzzu9ccbIldrfgImYKQFEH4iVrRk93l+ged9dhzdYHxxFPKRmmXCR5wwl1SQwwsn2QQPyGJIw
oNCrer5v4/Zahw3kI9C0gXb2G06DQk5504+4DOxUok1FMNDnpuhohbftWtb4pko6n3F0PwFvgIyf
BYLe6ymHKlBhBYGOg9ZAZRuNOzVuWo6keUEbJadxW1KVnCWIR5KBEmVwLAPk9tNTOCReY5kgIXwN
oE50fwYWLl/klsHGh6oIetBFcjwtrUNgmxiuQ3Vj6EfWMUdW9lHDV47bmh3hnLdK3UyVhACKtBoy
vPnODpWDhqfbWpFnzdB8zC6OdVSHuhwDHu6Pg6fblIOcMnSylWticW9ezJoQDkZykZU28My+0SU/
rDCJ6MCbt/srs3gVXSyNmIbX8GRJphIjgRYe6x1b2wbYN2+/zNgN2keACO7bU2YHc3PgrBlzix0x
N+ldz5xuxlIqjxnzE0peJMem4Stqs05DX/cD5VSj5hacCPTBPPid//L7vvWlk4hmCJxGA+gpkD1f
G0cnvRZUOoybEDzKEfuhQqfm71Kj0PCf1rjng3hpS/C0vAGvV5flCMf6ral9VtlTpa9UbpacOcK9
mfQKDgzFm+vhRA1LGXBnzA+HF1OB9hvQ+8ORqXtZPRhrKzfvNnHhdKB90diMJBnQAdfGjCqXw3Jq
wJSeSQ8ITtDUZLqgdP5jRGiPtZQHpf9Vrwl/rRgVkTo84lFpjCXz2xFV2yrcGfaxlvDys3PKJ5S9
R9N2QiVcCzoX7UKjDXB7VKfBcng9WOhilUVS18yHRuWBlzjgdBodJrvNQV97Xy5FnIC1/MeWcEnO
nbhZLGFig/xvmbxa2u+KrHiSxVN+aWP2Zxf+Ci2WAdFijEc3GpodlH3taSodxs84OYFetgjW+iJu
OMe/tv/FqARXrKJvzy4UWDTYcO74SQN3u4QWeGizBsVziZyydIR81cPQZxvgnlcij4VEMk4fANvA
J0GIHWIu1wMuMqOcxgzmrTieO9i8MftZyj/U4MkuX4A+tblKJZWmySEZVTf/Fzf+hfWv5biY7mmK
07EvOfN74KMqQL70wdyZvZud8E5eufOWbglQDeAfFbADNNVdjzQGyVYiB3j2paEbm264ve8yF08C
dH70WWIEeipCEXGEI9BbHW4sQjTnmLxxh0g3naJj267zhu8c/Ty6vGJ0IfGD5Zt/+ksYAlHT9aCa
voKmXyZj90QQxMi2yPImZDdMbgpwvFZ959amBLoh+ARhvbEBU3NVvbeQVrg/9huC6q9NfPEZwiaW
pMJMoPGLy6pVgU+irfEylV7gjRt9O7hV4aCmKysEGWh3ICt7aMm5o4PJQLJCs+ZITpgCKwJLdATn
PsbgIv0AMRhVwamD7mgo5RbolF0Z69LFDKJCUJjNsTCIba7txaGZxz3QpL4uGc5gZG+dtgdVrsYM
p8gfOPgjQe+GXvfEK1GLkbR93v6L6wxvfISI6NufqYquvyAvR8CaJjh7Q5ccOd7Y5bY0jqxyFeXB
WqPiW/K6l8aEu9NCJ0Svy7Ox6a3v0Rt74kG4NqcKvli8My+NzH+/8AOgnBmDjMC1I9xg0FdMlM9U
bf1afo+gYyMDLJOFpUTbftqAZyIf0rVztLSo2DyYT7T/APAquEHWqk0aZibzY+QuU82ZgsrV8bwq
wIjHsiPvNm360ypPeWTvwFRmkm/3d9WS97iwL97fMfIQspkazCe1lzZ4bA7pcwVO902pdy8SHv/R
Gux68cxamoWjA5ZnG8/O6zkfpTgmnWLj3PTGNkt8Xfk11e81O0pFumXQtSk6001SR+Y/qyD2IP58
MuzVzPVsRVx5xLgIHSCKgAyA4MAULvFSGjICtzl49vgStnsLaLPRgvIzL51i6KjZoKldjf2ikF/u
z/pXQ6BgHTUBgFFBH6qCUFu4E8DPVjXw6cQHvc6PaTNswE6BdAsWoHJsP9la+8iDboDSb3Kn2q29
W5aiDfC1gT0I/VIAEyjCEoRt39SJopF52xtp4obRJtOeOy852wntwL258oj/PwxquAGRZoH4jeAr
BzD2p0mqEL8xJYdXxJM7CpxWh+KSxbZm+Veye0ddPV0Li4xx/tes8AqUM9D1Y/WIX6Qvg/yotMkm
QScvqakM1R0yOIhbG7cOozW/MnvCm/UFCQR4bwA4vklmg6MU/fNliztfiZBToVlPwcDNLQokOz+2
mkKNNfj1vGFvTYLnEnR8QAiIT6cIR22wapgcSUVtMOijCUoN9GNbhPv7u3fh4gNBDJqdZn4rdL0K
TpMXbW/EBJduV1h7C1kKKzpmmbWDwIkjq+9mv1qmWPBSsIguUBmQTSTthXUs46EBtkKBmyYog6Cw
NPZeyOhg7CMrcyb2pMidM5LUk9Hm3pq1Y4JyX0MGB1G1Gyvf8+BFCd7UtQhgKYaeqU2RhQbz28xK
fe3KwkCPFDWPid+l4Qd2tZ7j34dYhePCm0/OKWglt0GzVbLeq4o1ZdH50IgrfmldWAddDoK2aUPi
m2zKwESU0173jZJWnQ4yvzWs9uKqo7sSyTi0eBpf0IyLqzJKa6W3qhLWhk0cxtjWWbsb1QhhBqh5
QbpDkZVfexYtxM5g45377cDlg4SZ8PTKeUtarCcB3mOMQGAAIcIzZB4Lds4ZaKRbGxKQyJuBJLgp
jkp1zrNjMaxckYsDB38hwip0ophi2UZN+hQ6CznxB2NrVXxjVpFromSM01yrvxWUjO4fr4XAB12M
FoC0M8wHXSnXm6oxJpIOyPj4ZWJIrl2igBMRdFF0ZrHKe7nkpyBcYwCLhXOMNNO1LT5ILEiCBraQ
q3Cwl3cklIY9gFPAqqTFKbBBBZCkhX7oC6gVoR1n7SJenN0ZnoU3BI64mA4lY5iObSgRn2Hn2imy
BiFKVsfWHsE/9RGm7/cnd/EmgjUwdisg6EHZ83rEEzrywCyL1WyyI0PXY/MXiuQ61885uvP0hOL5
La1VG5cO6qVNYUUT0B61qgybQCYaE6iOvbajQ/pzjYlqaS5BewU/hAAcKyqMra+7jhPdJn5tsI+8
KjZlqsVuPdH0s4kdjQcrJdsleyiGo/KOt+esbXU9l0UiK22WYO1a04l5tCXnZiu3iiNVr0O2u79w
S57g0pbgapMoklgx75N+mGjUVkg2rZy7pQv00oLgTivIx+e8HIn/LeSKZzhNRDwSr6FQlq4ygCVw
WyDBiUydcOKMGjznmY3Qy6iM02DtguHVYvuySqgsV7hAvDV198VhAYWmydCLmmsO14ukawU4zAFa
8PPJdmNiO5x1fqpKWync3F+iJceFgjq69pDmQH+xsP2qVi6VPEOQV+rfeuMhN7+H7O99E4s37qUN
4ShVKXZjjcStz6BBzbzmG2DTZuJgCnNqupH6x/5jrZXkVsYl0qwNFk/Z1MGmDXLe9q9ln8vuY2Vc
S474YlyiGzRUgkSKge2twgdJ6VEGE5XqS2yHfHH9J3if6n/KmoDUCSCkaCmY8ZQQoxRCcnSC8Ki1
pOBspr3kTqo+0gl66M7KwJYmD0laUBkgYQCE+Pz3i7Ahi5gS1GB/9zu3oqGDCiONqOmV3sdb6SQb
abdmcWm/Xxqc/35hsGoYBBRVQFqq3N5mkEayf3a17HDZfvoXQ5tlPCUTWXdggoQZtMqQW1ZkoFSL
FpPESDbR9KM6FKaf9xECokNSn0J7M+GSQRMkCCrR6fiRTc8rX7F0uVx+hXDq9CK0JxKagGBlf9rg
xA78e22/4fnhxMVAwe0vbYjhDoU/RA5THvAlpH2Y0Apw/zuWph3If/DqzkKS4Mu+nvZU0g0DbRzM
B1EyLRPAQONTNYEaLOErfnopdTw3GfyvKfHaMYLJylJrAsRlDDxLoxFwCYfciHdxpZ97Gz2mynOS
S3Sw5JOuPdftCsZm6Soy5uoY1t4wbsAKzUxAlud4/zTSaSQhmJhXvMHCkuJgziizGWOGC/Z6LjvD
LExryoNzA2IwJQrgEHDnJZ9hhSddsxoELiwdWuBBRAayGAABxMd5WkIvrFXT8Jz91Q6TS87p3jpk
XnIanouIspdgb7kxLZXN/R0z74ir54uBuGdGREG9zEZ4L+yYYAT3eNWZ4TlF3VR1Z9SB1lCNUx3M
Neam6leilRV7X5HhpWMYp7znoGM+y1F+qu3PEILJZDzbzTc0D7t1fqjjx/sjvFlHjBCCm9pM/wfx
G004mq3Mg6JnWnDuGnQa5dqu7rdp8lTZ2hsj7n1bN4s42wJuCKgoIL3B3Xe9Z7Kq/P+2gMICVGZb
FYAmmmS7ihlZMyQ4dGvI2iBGY+i5ZY8VWPEZHmA8U2iVvP6LEeG5hQ0545BFQTgLGaoaL4bgPHSq
Cx1agOYf48neF8rP+4ZuHco8dzgC6OFDPQPvzeu5S2MpCPM+DM9G5td9PDP7ukhyuFpWHAY1OqYp
sG0K7QziYI9IxefqWJf25uUXCJMqIUdXtEMSnoG/GFiyJ92hMaI9iCLdpEmcLoUWRvDn/rCXFhKs
WtCiBuwJRQUhejfVsklVOwvPEh6XPP+u9ZVjsP1qbXPZjjmL+uKJeaNU2DUMnKjDLDCT7qTgD0fO
r0heoRV6fzhLhw3P8/+YEZxmXAVdaHCY6YLRK8Ejqic67RNwYFeSB4P3rd2+I7Fn8GydE9ig/UdZ
73rPlFWpZ3iFwRwfHRk+7COOespCP7A6T38byfcklt0Vozf5zNmorgP6iPwbgKvKtVH0mFY8HeGp
C0/bkh3asR/Cfdj46tZYK63Nvkn0zqCgQooel8KcIb82VZW8G0K5D89EQ5PKQ4CDcGLRG1G24dpG
/GqHv7E17w0Qls2QXGHpAqJb3ci78Hz8/gmeQ+98lunZpr83m/N+s8noeXOmz97zPqD0+Tl2N39e
A6D0EE66r3+8x9fPR//9D6cdffBHevCdD997nBw/9H7/ffpm75+Oo7MzaUsPD7LzsXt5+r0z90/O
y5PjHVYWaHEPXgxEcPhpUeJxNA8k8LVHTuudBnaUlfBnnvh7kyVcm4k6ReBSG2AjiBH7GK2BQC9Y
Cwq+gqhbM7iaEbcDIC6SgTcQPa6ToMVtCZk2o/jRaRE6uYG+G38R6TBpkaNkwxbi8sjLVf2OTzW6
IUdHSl5r4zlvS6cnBRrCVBeYr+39YzA7w3ufJmxNtMAAb0VqOK6D7OY/VnKOi/MLTiA8l7Uvpujr
jW+QIY1ieQrPSX40kpSG5YqjWjKAlkS0/M4BHm7sawNtn2hdX9g4WakO117BVYVj/U9VUBAFoHFn
LkBAEBgxquDdjSIBvJ1ZCOqe6aPuKCu7cGl/XP2+mI9hEfJ5fP59M3agmkytXPZMfkbBgJq7P6X5
aslgmflGstQHj/ygueVIk3IvyX/DNEXU8C+gosKQBe/Y8VavrBET26Fv/WyVurxXWb/Wg3nzUp+t
IA8uYXzaXAy/Xr6wy7sIRS5c1ej7VcCEpO5CiDaqT2pCofPrgPX7/na/hSgLFoUMTg8KtVRmsDj9
AhyZvlru68/zY+IkTuN8JzSgeOZRfnh/+PAGx/ttOQf6Y6euCbDe9l4KnyEcu96aeBKqLDyryYNk
DXiYKHRCInOuN1WpAWz4SRtjNzVbarbWUVbD7cCBcD0S6zeXC0cff5bKRxi89gMaNbdd7LZ6+iVj
DS8BD7QSfC9cYFfrJByzOOv7LjAINmh1tErJjQElbKUaOeb3Iq2gpl1499dpwflfGZzjoIv3RZIF
jZRpmB+U+B5Dm7mNdLRZ6JJiZQsuBIswpIFOBO3AwJ8IN4DaN0oUtkl0HqWPqgMkM3dVecSRcjPV
cEz9Q5++3x/abc1+Xnvsd/DvQuwXqjbXY9OMOo9rcFCc1fq7bMGzy7xDhVHZQsrWIczeE+DHbTLs
jehNIwTMOo+TAmBQ3+/uf8mC80SbF5TnpLkoZImF8yaqpaYIMPbBlEMXQFVG9axcI3NaXMoLK8Le
4bk05rwJonMXf4KcWN+24Teee039cn80SysJUUJMLvpYIIYuxAtRizcJb8f4zCd0eflFcGBdDtGN
7meehSAysCcH7577NpfOxaVNYfcwg0UkI7BpI35E06uneUF7KkLdSY2V1uMlU0DYojdPtoB5F5us
jAqE/z1o1M9gY+jGDTj2gdSstEfGT2Q1LbToJsFMhzohyjrAGAgD67pOtlnLYS2TPKKFtIvn2mD/
SsotC0DuD9WzqqO18UTCTQWMBXiGRjt6HWJMed/7VfenJ+qv7Kf2AOWpevihWLSK3lsUGgcEPzG4
yYydKT9EfB8rn7G2JsS6tOkAEsR8zZRLqDZen7HIgDICAQnKGRqdWxTCAGQzsodMrhy+VsFfOkVQ
TQXDmo0+eiCPrk0xHiUpsdP4rES/kWCO19L0S/vaQMkWCMGvNJnw+00VjVAIwlLYCExJN+3j6VSl
0B21KDCJPe/RSbVGLDGfSSEqRIMI9HKQBZmTcsK9DCXClhVTF59zAy1DagfiqAMSoyunZ3HmLqwI
d7GGFxFqQj1mzohtmnHrNzL1ycpNsjh9F0aEmxaTlkN2vY3Bxf53yE667cr5N8nahUZCreIjXuu+
Xnihg8Af6r9IZwL2L9KVyb06IpzD1MmBCzK2FJISptZBpXWNUWxpi18aEgbGB72RdAWGFPNF0htP
NnH/nyOz2eSae9/NLZpCGWpmY0cKVcQqokt4iMjU4DTx2lW6Z7tFoZc4dv0tJn/um7pt20PGDYU1
TJwMvA/S39fHSUpsszASvJVA0fKYjfnOqiWKJNITS0YvYZOr6lSfHIu8RdEajnth7WAbao5o18dx
E7NkWqr1KVFgu1Ofy3KX61SDSze294e4MJtXVgTfZAQDsZHJD8+tJRe0BPIUwnDqkNJhMp4TbX/f
2m0z4kxWgeFoqGWjOU2UDB+VSEuRWY/OLdQijwz69a6UmqNTlHnrBVKaenrfT9tBrkpaQ+jsCBnS
+BQaJtugtSpHmbMovo09Xp7cbKOVnbVwOiH4jeQ/fPT8vhIcTWMEMkMojPDLDrYNiC6QVv/NNSjj
ZGgFV5krN/xTa+Qf9ydlwb+BCXRudUDSDvkmcQlIbJYaqIXP/VC+Jkn2kpsSVdW1KHYpsQXa/VmP
foZ2gaT5ejPrShPw2EzSMwikR2id2hVtp7imeuATgAgUHiDgA3kWlI4QeZZkxfctDBP0yThDwKRg
B4i3YKcqagZFg/RcxzlNBsf4mMAJdn8qb6vI4Bq8NDJv98tQfTJNwu02PYOeuRppRjVCcz+raPyj
cJt3ZROujGrh/MAgelzRa6lpKApcG4ylPGIM/TDnurYSD5tFOjUg7QJkLg+/m3JTPQZaZq4MUzSK
9CTQh+ioBfsUQkyxHh8aEssi0F6ce6UDjndrBr4OEFplmNtYXcma3OTQZ2NokTHgbyHaAGjp9QhV
EhoTV2EskD7KdtgA3EoV8P6PYLexzrbpdvJHW7t9JlFmyk5irBTlxH0z29cNGy+CGWOK5M21/cFg
9pDXLD2rDOTv+fcBMJFE/zdGZvYVLKOOyo6wjBmKH3YCxPi51htq6O9DzSmJ4pV1WxzKhRXhlgxA
2W1KSZSdR9RvesxfMXN3jGtqqDePunnK8C+g5/PjA8snTJnWN3HP5fScJPKmsQZCw/wNDU6QU5IP
pryV9HwvZ9ZGI5yGduNbeGquKd7ctMN+fQSkZ4ArhBAWyNOvP0KWa9K1FqYUCEbL5cwdPNXhDtDv
lBxefv/+m517IDvuO4Clk2HjQCA8nSknxAoyyqpBZqXYLAUPn6XpgEQn9ifbyKlXSGuIn8WjAbJR
cJyCaBwNv8LRMBMllNR6HuJ0btrS7RBeIek3F8lTJCWaZNhH9kArvEmmKt2V4d9sWiuaL44YAvU4
oVBuR37qepr1NGdVzcLsLOEOcawe12qA8MiDEDqnrGwgUlMM0e7+NN90CWFxZ3p/HBZcKcgjCzsZ
TBAT6y1Y1cHGQthnMe2UofhIFcfuwe1hHNLereVn1f4p6ZlLoe+EpkVcavpKxuRm9HMZHeAn1LkQ
UqDKcD16qS1YGgKr+mSpRIIio+QYbTA40zgFSFDpHdqEsn+qFwJwzSyL/iUCPDO/Cr6C6CEZEtWO
ngo+hm4TKjJw9cq0crHcbq7ZjAwCA6wraD9EGI9Wz4RcGsyAuIX3f3gJae9R3uQcssAlaAr694of
w6jz7diPKp+nfMUn3mSCvwZ68QWi5wWiTe+5FT0ZKZhqUpeMxy550LXyA9WwtpMpyosptLMa5deA
pgb09R7aEmRnBuXKibAd2mvUtW+aJ/fyMTgrqoGTdZ52MCaiq/16wcuJdGbWYsH7TC72URH32ySV
5YPK0KBdBbVKp7iRAWqVOU163TglZcFd3kTKRqrj7FELrblXl/P+MHF5onbCUoeUDaq/uLzdMuPf
Ql37Sdoyo5UdxV4YIhl2//SIkf1MUIPvn0kS55YvcWVnTdF0NFJ+amXWerkmGW6HGwiEpHHgQpl5
NepeNAhAGNwwWpGwb64nTZ/CkBBe8VOI8lWePVv8WUF01NXPXT1Qs/use3lP8n7L3pt9Hx5b/Sfc
1xSazv2Bf+WFLldvHjl4QEDGATJ5NE0KHxLYXW71RcNPiiHtA/nA+3c1d2q3rUInCCJPq0Dpx452
Z9IKauFT9xiEHntM25+B3m3K4JRrxq6oP9B7GOJ/BOjj6Zrz+A1k+Nt+XLlLbhrmv74W2u/4GLxU
wCV0PW1DhJwdTwd+QkrnMBTUbrV9qph0TFsH/MtB0jpy88dA0wnSwwc1n7yG666muJmx78tDVteO
nvlhozv55KO940UfB3ThroF1v1684qyiV+ELoIXAXhRtluqaS4qZtqfUBFE/rXu9fMrlppEcZQpb
YKgCKdLctDZSm7aBGR6VMY0YrQarpVKESreFllnQFmq1Er1WJWDU1Gg16xBXbMi9NqtlP05a9HhW
LM6BiiJW9muKA8DXy6CNf1UV9BuobNXlacCD4jNMagnJW0ggDq6Wc2va5GqiAiEwZWtkbLMHuhk5
8l247dGTgx7K6xXStAi0Uzqyjo2m0RIyc3r3N5c/OWRn6voByqT3969428wbAsqZ6DuSoWSsf7ns
i9eFPI2tEZgwB7gWq7BT3Q3FWt83cjOmmTAY6VkLogZ4rIkEc4Y8TFwKC3IKInbKUobdVx9MfTom
5KQlHG8nJr/fN3njH2ASFUUZ0SdoIfAYvZ7GcArUGhVdcjLiA2q9+56fBjwRI+3tvp05KrhaLtjB
gswjAz07Gvyv7cht0HUJdo6fOPSfMk3PlyUgDbNEGZwqXvDXv90OdmUaI15CZIICu1Xv6uqgZ5bX
lWtaQGIUL1oSAtusBBF7kxqBP1mTo5BJoqTnvwm3Hu/P1s1uE0YkuJ+0qboAlSLY0VroDahumQdH
PcjQChz/Suu18sF8c14vzswZgE4YaL8rINybP+dic4+llphBiQksHxDMnAbmgltFf8PboJM390d2
u8WvTQmBRacWahuCJBtcs+zQP6uVx9pTkn0iwkP0sLK514wJEQOEN3Gm8RDxpzw6WBOidPBclpBG
w4wWbTNRkJjeH97Cwl3OpJihNIJ2AhkbLGrZS5SgQmIxdwL9AZpvw+DvfVu3R/dqKsVXVme0REtK
O/AlADOi3tG6hxwvjXFNe3Bh01+NSdiMQ9SYnZbCzlR8AB3gJIWykddIzW/SNzhaV1YER4RYegCn
Aqz05D0yrPeOZd9yphyV1/Sp0lwSRM9Kjh44fWrd3ljhgLz1TtfG579fHICpKG21lhl2pflm93/G
7B++Vb4GNwN/0dqHyPXrwXzx+0bBWJ9NJPChWVY4g6xHL62h9E4g1+Wmq8rCr9phLYu8tG4gFQCq
AXBLsIkKbrHLyDT2EQ/9PpV6GgPZfsjMMceVLK2ZWnIgSJ/MwR0yKAjTr+fPMOoIj4Im9LlWxcQD
NwWiWWjdAfeLx9Rj2mRBDX7Jqhi2FbQiPSYF3RqH4MJxmF9LJmBNyH2g9f76GzJoO6vBGCV+0PfR
dzWygddvWe/JAyfOWNbNSiH0JqmKRYXgrQ34Hrp+UHsQBl2YqT0NNk/8ocsdRWHgfkRqsx6coO69
ZEq2MWNOa0S+AtK1+0d/2TZAdejyQKQA1NH1YKtm1PRJlxMf/Mbpt9gGOf+oVvkR35lA6q+UwRUh
E6+yyXcu971bVUWwu/8NC84VYTyykciam4C2C8PnZhkrZFATv7D/h7QvW3IbV7b9IkRwHl5JiRqo
ml3lsl8YttsmOIETSJD8+rNY59xuCWKIUb47eu+XHV0pAIlkInPlWn1dBMM0mS9t3wAH5Li0rANq
GUru66xmySZKMro2wbNkH59J6CbhZ2CyUjpvbkeMWGxK75VRB0t/Wuc7s2v7V0WLMYSC93moUMJ3
tlVoa2M2C66G4Rf0dOeMG4Ra0s2CSM+oZl1X3PNWjR9KMLjtXN5EG1Y6Qd/Un1WIgqPNxQZcLnAb
KKjFXh72mHZaazc1u48nBjYyPGfLovNrhGLMF6krriWvDSAUPE71efwPLzUw7V8amzSXtf1gg8s/
feHKRte/p8lxTd9YjheXRtAUuDQyT+TSikC+C8oHpLnTwX0HRsR0+A2F6j3RUy8Hp/ttd72qjH7Y
BLEbJiIM9J/kAYw0YrQRegT5weGLMB+J3mzcpvEASAn0KfVA8Tp4tLGrrVnqtk+5X7B6WzmsPVbF
ZwdrPn4LMm53rmHh/krXNyKpmvEWvyVBSsen5K78UNYAsgrvstvrlj9tsqn5vM8+PdUouqzLoGGW
KnTXAivVqmvEQXLS82ECKmwK+pUqWMpk/3QrKqwBTWa9vdOoA051FFCsyQfmEvXAt9vrWTSGW4cy
nI56wscxn63HdbqeABGeQeeUvg3WkRtNQOJuR7KDU3Vr+A35G/qxNHTnwCCJvBgtrMvdQ3+455kL
a6R4ijCTiImSfNJXrtziEeHbibYoGBHA0X5ppBFVm5l2kp0KTr6bqT0+KjYg/Lf3beleY/wIkQQM
u6D4lvyA0qQ2M70CzA9BJC3uMDuA9D6m6PqtzVItbZqNhGpGqeL7Ixe5WneKqjSFWpVxVCOffV8T
J1hygfO/P38ZzlxAABxGUlFnJ1vdKJO+YyDhcvLxWIHzS+RpcHvjllcDjQ4HDVqsSjodt857k3WI
VYNiQQADI5yp6/dslQpqjnnnj7DZ1ZAZ/mtHcjXA02KSqRAbyfNTVrYeVbhvt1/rGKwMURGgyOIN
1e82WwuMi44BglC0ftE+RUJzuZt9nhcVp4hFDPMpovVp/ZUW/+RTurm9j0tebv9nR05Hm56U3IwR
iBhabclDu9aOXTwn9NJRIQY4Gt2ny3U4GcozQAxkp1q9q7Jm6+ZH6q5NZC263pmR+f8/c72eQiVX
q3FVMwal8H+om7+oGegFOnIUXFmh5vpQG7tyiTNrkqOD0kCIbpxj3RgwaOVSdCiz2Fe/Ve3OKrXT
ODkPufJi5ZMfiyfKDb9t60PlbieqbcDTVjRPRXcAOY6rQiznWSkBlrW5N9Tm8+2zXfqez/0gjL4j
G1QcaVsSDE5arYG9B9m8S75rFihTUBcRtkfIodVf4+zptsHFwz4zKO2MI1oDUxIZohnSLu5WmxR4
dDauPAsXT/vMinQ1IOxsD4kCK7z7zWIM2WZ7xf1iAg9dib+5HfPoAAZmILoi1+F0OoIaeER47u3o
l5vt+3b49Tdb9p+F+X6euW4aDXi811DVE1W5rSBHv9GjChQPZrK9bWgxoFgoYwLwMTdr5rM7M0SL
1klaDVqMbvo9giJnJo4C8hHpyu1QF0/nzI504ZUyEbFJ8JmBBuzQC5/14ZCEYOHaVU2/HXM/yn9S
7bXrQOo9hK6o7uw0fuIVFE9QjB/KdmWD136PdAma2tRUbmGDh41N070w7ZeStGgBgy6IY+D39i4v
3gCMgOBxD9D01esz65vIIn2JK+fmHuTIm37y0Hm4bUR+Y318k2YQGuAtM4m2dAGYXrliAjM4pOvF
e02NJ4hyBCW07Ur0bUABaYMo8rbFqzrQbBI0aqBxQUkagHDpZk8ZSuNWD5Oxo2PeaN8Xxwi6ETYk
5evQKsuNAQ0sp0XW4lv2t9vGlzwXadiswvXBiCgttxTuWJCcwTZ5JFN/cEsOObPOZ0q3Uie8benq
AWQZpCWNgtNTp/pIGQmc5km45iNeLit+smZJSl8gwcjBdwlLbs5D3R0f8hhIbbwfFci9rxzekk/+
t3+oDVzefBcItoSSHLKvYPgX5HvjPA7sx1+cEQB6mG6dmayvbKhQVywK3DIwPBsGDeP2LitrP5/a
lYj8UUCQv74zY9P/s6RfrsZsCIkVDW3vYXR8SCG6XmlDLWVDoPmlttY/sRjv8qHZuUXxOKaaX9js
yc7LRwpuX3VS9i0UevLXLEWzMsYoh2rvMvGNimk/Kq3rgRb7gPrEhO4ZdBQnZS2tW75IqE+YNqgs
rjsugsV50SX4+UxMr6mpe12yw6Cf6kABwPRbAu0n07hHnySkMfcwzbASnxcdDx0z9M2QkAEnd7l9
XdlVAo07XCZIJ+/U1LEOfVnob/qk1vcNqT6rxPIROIATBzYOhWQM51/aUy1rSDFkC+eDbPfGUDor
4AwVSFHV2v62D16V3z5sgWJznpyZOackR++tEfruqL6fyuixxyjCZDulX+bVC9R4joozvjpxAxW/
PtCL9vG27aU0Gs38f01LXskpH6qxVoHoVt0Sg0G97Q+9tqZiuniTARVF3fgDeCcdHprHKXI96OCa
VT3f5I7fKasKw0segooBANaAuszcG5cnNkUK8pEyQnrL+GGy2QHt4z3qauCPVO0VooilbYOalQre
RtCSWbqU/ZSZ3tY2I3jIa9mLDTlTrWw/i/GbveLchuSBGifMomJeT9z6oNzmE+hl13LSxU2bUytM
3yiYLpKMOHWhFWbuIirxIcjj7xUkfGnSBSmovj/vaWCf/teSdDyji6MwIweW9D8OOv5K/+e2gSUn
OzcgOVlVGxi3jLFfibJDOc7LEsVfTWHW9kvKJzpqp5FtYxWc3Ok5ikTN3dgHmsKCv1gMWugWOLLm
/EWyY4qSc6XCYtzmqYTafTO+roryLjrxmQ0pP4liJwNRAJyYkde+TTBDtAYpXNwt2zJxLGgH27Ls
Wt/yvHGKDGM9WbltWr7j+lOd8W1srb0SruYBcFvw1sGwEqqgIByX3+tg4onB5tQhxLQgWdAoEjpC
Mohlmr0LmJYWZyGk0hSf5g3ZGBF/x0DLXZenTWj2WbIpFXDp2qbwGodYn3fMi58mOaZNhiEdW7zy
lb7xxXDkmIQVzsoTdnkDAK0GVyNkEhH/LsMfxESLbuhIelLQLYtLY5/GrwK05jqIEKI3SJ9bw5HY
PfC5lZ9YqC+EqVA8qq0N8CxcQ4w94xmBTAP4WVnvL7HVXrFLVBnAyRlwsnUzzdfL109fjwsj0hdz
ZLHzod17GlHaSvRxmzgYqbWVlS/zgv8a6F6Au93EBBzSi8s9zemQQP2yQJgHK3/HgH4eNgSurBdr
u7ZkyYVW2TxAi/xGxupE0EpqLAJL+B3bmlCIakF70g5NkHzf3rr5N0t5KNp2mN1AaxUYSDmyxACt
c8LxnkZFPNlo3DjarC9BQtF+QzGs9Pukire3TS65xLlJKdC4lVVwU0U1YoQIcRWNzzPnZLzKfbK4
hxYQzECa6vPA0+VpZY0as0kdcVpCE5gipN2+7ve0ezBN0Kb/xZKggIOZZwxsoDpxaSsaQXQLwQYU
pcdXvs/NL2s9rYXgPCvPYFAROEe80yQDKuvzzuRxfsqpxTwGwhd/cJu19/HCyVxYkRxcyasa1D5J
jpwpGLrByxA2+VCuPE8XreBU0FWdwYVys8Csm1pVpzQ/RSrKitMzFOYdXq9ksvMXUfJrE+3jf41I
S9FymhQYEsC3prTFdhLZiyIac0NnEt7EKPMtJx1IyqZ05QW5vDjUukGFg4k0Q8qgU9p1U++iyq6o
A8TO6nZbcrTI7TVlhQXvxvr+syPFdwzjxonVYxNZle5d9kZt4bnl4Nv9StBbCBAwBE4fhD6A4OQh
aYGO85Q0TX6Cous+KjiChHGv5dq+J6oKdvK1SePFDdRnJDZ4CmbN8surpLtdQ+2G5RBh1wI8jDek
+9Pma1wPS/U9TK+Cw9jCZBcydimjAvv0pOUtliWGGEFcjT2OIUE7U+6omnkjWNGF81Ok9nvMI59P
R2r1QZbmXvbFVbekrV4dtrbyxSM9+0nSyk2XmhHqJ/lpaLaQ11Eytp+/Y333Fzr352uXIY1q2Tvj
CIa5Ux+9DpGxV1uBclfpsyEoujXFwKVSAbhrgW2FkM2c8Euhi2otx9ZW+akcCX/rijw91EKlfo8B
H58UBXtyKqd7Znrcb0F9mW4cVfthCCN9qnvmvn86UANUrUEsDNJ16BdJ18Yq1LxMJ3iXZmpfCHRA
vcqGxGkWb27buRpkQQKKx6CtYFQI02WAOly6sQMyi8kl2ONoysU8ltgh8JisgUjsUwM4j5K2kK7o
dr2h+5GyM7I/BZrA2UuWPw10JRYuXamz3yLjBvWpz/IB+tKntMWrDrAEOpTbslhJOZcCxbkV9XLF
IFrQypHhnJXsK/g+AJzujZ1uflvrmi9hLc63Vgb7l0NBUZsHOwCEoQH8ana/KyhLap6O2cEXu/K6
aPMnWgnrS3fzfHFSWDf0tmh1B+FCqfRtgS5AAbH6Goo6QCSteM6cl8hfrg+yoBl+BbCZtI88tdyY
KDitvn6y2w16pghIk3lU04PWbih5IfY2U/20f1kxvNAj/l+Wov8zLCVMlS7wPU0E9nWIAvAJim47
QSNpCCz+0RDEzLzX1/nKTVl0zpkb6f+sSjtbdU0eU2i5nsrUAvND60URyDXW3kOLViB1AWIrCyhC
Gc4at8XY9piVO+VTuYkhi+2KVyL+5gag0Q2MEzSpAcC5vAF925DGynDnO/U71ZtdhpdOC1YOAur2
NVK3KwqBOcBAuQMT5UBUqejqXRrDCFdBegzdnByj23JNPQAls4+ngFsvrnKIRL+NwQ5ef0/5XxyY
Bf5ikF/Oo0Yy916C/D22k7Y4RdW9iNF6g3pHvmZkKZjMFmbE/QwokdI3s1ELq7Xd4tTY1j+dUL60
VR8MhfalAn5rSNZS0qtsEYF6luUEkYoK6swr+oABlWaSxkNoQ88cQjqKGlDkv60axoD/xe2wsodL
9rA0fGTAA4FSm3F5eE7B83QQgwi1zi1/MTvBRI+qgEsDvb2gZ+YPtK+cPXjYJ3/lks/R4yK6YKUA
duJBhJktUANIX2OlhnhfowgR8s5KHwuTZs9DZn1NjMndsyx7UPT6nw5jPyeolPQnCu7mg6uzNTK4
q+PFr0BsA8f3fF3wpr5cv2CQOeGEDiFG7lCP/c7AQpG79c6tQgWN/ttrvordsxCIA61msK/hky8r
Pza9mVVxZuNwh3u9T7eZYd4BELNPmLXysrn+6s8gKGAVAFPDo/OqTpezmGajDVP83TiKO+LbfvIa
v2Z3IKK9J8fmtfzZ/hyfP70+GJ35kqCOiDGLOa6ftcR1Mg1FYztDOALvN4rSd8EYoBEoLtM1hMrC
ViLozPSvH3OG8jt3nFqnKws+hkPWe259zDn1KvWOZW+3lzT7v+Sl5sxxNZPLoIblSkuyi9JSgUwd
Qy39Gtfv6Vqd+zp64qAAkUTJAzVV5Sp6umitFXrmjGHZJAGx31KV+cCvgRiTnZycbSi4CUll+5P2
Lixn9/nVzUpiSEBR4cGjXjowpZvyEgPcIR77ms/jAnDQvB6821YWzsoC/BMdMjAiX/M780FNGiCV
h7BVzK3FlacmUe7Ktkm9BqWr27YW4hn47FEXg2uoOuq7lyvClDKb6jbGdlpVv+G9VW/6SjTALGvF
z8ROlFOJ49gjiVK2ty1ffdjB34SiOB4WgM9hnHn+ZWfOTyc7GcfCHMIq7z2K4Vy4I3Qy/sKIjS4S
JujwdZcLf4pOoPit0TFUsghy36YPI5r22RRzXsks+ztTA+HkpJWMKlf0rEvGsMt/ZyA7U/E4gcaZ
s7JhC6EXRbGZq/QDhSBXkkotNpquVsYwt37ZJDDRFcvzI+bBfadfg5HMjixdY1yt+ZkFjnHASObD
OzscUyc8gt7vFKKxsCuq+Es/FcdR/5Mqmq9pvtq8dtawkoQtOYRuAoaK1iIwMfI0zCAYqfFTEIKt
1IuMJ+bkG9RKVhx+aRcRbkFWhiaZeUUd5wJzRMvEHsMKAJmMbKtW/52P1X1X2aHI2cqZLYTDua0I
JmcQGCJsSeGwVIymyZppClnSNb+hZQASTeDynM9/SGZmakyizlPw+IRdHlc75FaZGuYYJrQF+ypo
QJ4ajEc89BmiPQbftZXBpaWogaFxF/9FhwAtgkt7OjeEG9n6FKqs2CtVqFPyq2+8xs6Ctp6C1kxW
sp8Ff0QuMFflwIqNVUphqk07184MqoSTybdUnbYsA4RKf7PaXaFtwTiL7tSKyYUoDJM2MOUg9EeI
kkzyLm1JkcIkrWnA3WIL9TtW/9brlb1ccEgMEYMVZSbfxkdNumrjZKOIZXXgvmpVUKGMqfG9hHRB
UFnU2ZHcADvTFNUrH7KFA5zbIIAtA1Y1KzJcHuBomUnLbG0Kk+HJabsgykOQY3huZOLZSL2C7W/H
4aXNPLcnOUyFN7hhMjiMCYHE7RRt+S5d+5QtbeS5DU1a04gZ36g0prA3D3b+BOrBravtrPyu4mtq
kwuh6kNDzVbmwWWUxi5NMbA4sHIsxhA4qh1pgSou+m0jopVZsoVdwxMK0XCGvc3w5UszfKg5G41q
DMdBTb0kap4GZZt2fcirtd7mkqlZ3xD1PgQr4IIuTRVZ1iSsYPiGzVNS2SsBb5VnttrGMdfYCZY2
79yUdLFKe9T0ToWp3HxWM9XDlyWaVgLigi8Ar4c2nAn2NAAUJRvgqVEUng5jaHUgsDUejF9dDzyE
DX6ClQfhQoRHaEfDAIECrDeG5HUFVkAhPzCGUaV7BAhTbfp9++5cw4rwZERyZqHmDQgicpnLsyGc
aupgqFhMXD2VyWMU70E2USmHRiTbvqZeYh8z5cttq0unhKEoxD74HQKulOrCJ6eioBo+KSYZwXw1
7XU9SzzoUD79hSEQ3QGN5kDNTr5LqZ7qsbCxOrhDDIHptMFL3k23t60sb6IJE/PjdRZdvNxExxLN
aBGcU1Wmm5H8yaIfIkgemN8denI/rqFkFgIsWi7Ib+EZ81dZMsdjFORskk8hEA6bWAFYtfBIBjY2
7diM45Hqa2R6CxcYBvFqcMCmgBlEyWCklBPN22oKDTBvBmVZviYUgIkIGIugmrRfK9s5v/OlBHEe
qnVAToq8AzYvt9PVYmp3QzuFdW2Ioz6LsA7oGvp2Bh7oCiNT3miktZc01AmzZND3upKwBwv6042X
jC4Ps2JiK1/shauI1juSIMCeofIsT2Vp6kRGjXMkW1CZRI4KRSUMUX+WfBZJHKzAg6BoPTeOpduI
8jGL47qbQnFUnsZ/Iu/2zi5kOi5SOANsIrOEn1yk44oDiodSILWK7F0TYa7o2cl/5XZ2EFGuYM6D
Zwd9KFdu+0K8xLwsMhAblTvo/Uq3nXQIJZY9YuusAeziUCAdnwuGT0E7bbrp5+0lLr3hz63JbSzR
dJpRsB6+erTf67ch8VjgbMZ3p/PLw6rkz+KOoqaDfxBkEEkvXTUaavhwix1tbB5WmrLHBOG+jqwv
Y/crzx/M6BVTTXd6u7GnTV2FkJDRRHrC7DJ3Y78wnwuFKvsElP+3d2HpwqJ0CUVNPLRQ5pq9+eyJ
RSdrwkQt/EjXnw3tLhWpZ0z3afH5zYaSMgYu8H3CQLhuapd2YqfRAYBFJLLEq+G+2OjZ1/ld2fwx
Vf6WJoYPkcPIOpLo829IGEa7DpyUUIrEoKRkuJi6zDZrnHL7s3ahtY701ul9y/zdfKemR9u1Wbnr
gwaIYxbnQykDvHfyhMmoWEOe1Q2STIXdI0aiAdvhBKtTB8mqWhzSShWb3FwTbbj+Us5mZwTJnAig
K325TuFOgtkcodDKvxJ9x92XKVkJt9dfkxmeglirgGIPdQxpK5sux3wZhYmSbccx2YxC9wz3zR0n
wC/LIPo0zteGPSQcGG5EkQvMFJdL6uy8JaaBcKDkmrYvDXR+8YKh39UqWSnQXLfzP0xBGA7F5Fmd
UsrU+DgZAz4lU1j9AifAriDdpjPaU8MHj9d0I3o8KWOGASsaDu294PVTMZ0sI/dLcAeh3Q+Ck3xt
2H3JkeCwDu4LQHj4z+XyMxSTVArirFAtvmHmxBuDDj1Rbd/GJ45C40qVe8l/EO6hSIbCB2pwkv9M
ce1YqaVMYVSC5eQPBhS7tSba9ZcRT+czE9KC0H5posxQscniaz/91D//HsIwEKZy0AzEpJ8mM7Ly
wrJYPb+VgUAPTF3H1aPdG7GTzw4ewVnQ6UTQRMkSI/JSLOPgIDOyOMGbHOhma9cBZ3KomvthF1tP
t6Pz9Qfx0tKc/5xF58mxEUtrWNKo5qVqF7hussHsUTjGdBO5K5nL0v0+X5f0LTBQPVTHHtZScvwN
MY1Y900om5Hd7UUteRoAZphWRl0DdHvSXWtGszC5M7sBSzdRXm0qtP+GcY036ho4Mh8TBmRQN5k7
Kobk0UNlNshhUF0gCBlW4gm9A/n7CJYKWm8E/Ye5zYs6VA8ii3c68drEXfm2XlFlQjfk4hdIDo+7
yyKkM/gU8DQgtD3NUdON3eOYBXjF5Ap/y5MqSKKNlm9ByDQoa5DTxb2G+jP2GdCrK17zqGsN0XPs
gVLdO8AalOaJrPFxLtqAOArSCFTh0Aa9dFKT9Dm021DxsMQPNj1j5mm1gL4UOXCOQDPAX9B1ke6B
UBjn+E4gS9n0++b1tj9ep0A4pbM/Lrl9YYCAfHLwxzk5ZuVzRe8mC/Oa29tWFq8yIGkosSEHQkHg
cpe0GO3KKomQ2zb7CNpEJBSllzZ+J4LbhpY+G3i/4szneV1Aci8NKaMdqbyCIfR17gidHvIo+43Z
/jdd20dR/0XD696z1ySClpwAZQ5ca0SQuV90aTUleZ8JJVPCCgKIaXNHtAcGfPxfLO3MiLSHppIC
R2OmSjj07hs4Hrfl0AegJvArR/OdTNs2th0UZbYSsJbiIt5xc+cSmFOs7nJtydiiWC9qxPvmi2U/
WnXn6cYDdjZN8V5ovt5e5NJOYmwL7RW09tB2loKGllcjnBXWXD68tyQOydCeCpIebptZ8vpzM9Ki
mEt5XdNKCRO2BR9xkYYpQz377baVJWcEUOBjigLfSjkGx26mo+PcgPt5n6v3Wu1ZY9BvoUXLdjFd
CbeLGzc/V9EZBe5dRrSMtWHVQsPny9RQO6YxVFW/uvi83F7R4r651kwHNxMRycgSt2N1i9EIJXSS
/YgprV5/sNFp67OVquvSakBXAxIelItAGy59vZpIj9Om7ZHMIEgYlHkqNkxNf35+NedWJGdrGLQP
OiqUUDx17W/VfifjTvv03A4+g8is8a5HJdS5IuVOAN/s81JRwlE7juOOK37U7ZJuZcOWAiwcDH0Z
zOyhCTpv6FmuRHD61TjqCiZH7xnWYHStP8S+24/b9c7kHGkuC0+g5J9pxvG/MxeqVHhig4YC10D6
cJqQMvMhS72UNcPL7dO55thAT0bDvBM+G/AEQ4ae4LeDHHqM+rAuwtp+FyyIypBVJ0f7RtQ3SDhG
6XH8bTyKdFewMAHVRz6enJeEHOm+xGBS5kW+8VPvNm2+8pVZqGRe/jRpu5WxbV1oIPQhlDoP+eZ5
2o3BN+Vkfru9BUs51MUWzPfx7FjTzGUQlYQdDqaC6U7EqaeXG9vdMh1CtJ77TWRPBhQRX1fjyUfi
cn3I/+2+9CXNcPS66GG6AaO3AmnHnclQevY09Wi2+yL9Ck1S9Z1QMC9HQVT4yZeSPFYBqGoaknvu
82Sh2hqfsv1kbDX3N9d2jXVqprsY/3LpQfPjNX2uYo/xet+SI3MwvD15EVsJWB8Fh1vLkHzVsUXf
6L3bh2ClFglEx1+dSPU08cpVy8vQabEhioR6U0eDSfh0/F3etUUZxOQ5SXcZEORpeXCGd7OiBwM8
r+9q/cjYxjSYxysDE3GbfMp8s/OY85qSPy04lxOwSqQr3/6PDuStZcyfmjNHsOhgu/UQi9Bgj2gO
DtVm0i3Pivcz+QxkKv3ylf4qvOZgg9UU8bIDI/GDWfoWTqEOc2Bk6D6x74mfxV9HZ9O7B+jmbrL0
rVT82gr5Q/I0HOKjtjXA8OZ2W2yah2NpjmrxUgblI4EA5fhgPDnuU5G+ZuR+UHaVJ16Gt1r1kuyh
v4dYVql5A8b+tJMSPbigbXe37iq94hyTrzYCyCYQMn0oWEjnWY0OaQeUHEIwZgHyNxbt1mrq6VCA
RtF3BqaFaZkXXqxbD/lYiC9F26X+MIxrg+YftC+XP+RD7QU1aNAMonAi3Q817+uuB7lrOMFdgMH0
VbP/0qPejcqqPzU8dH7XtgH9u9Qra3Wbu9ZWVw7u+D0zXS8V+nYwvRE1Fkia5Imfi2wLjrH9XOzN
aebVild3xOe7zmr2zlzZx5ysU4S8tfaKtdL+Xl2LtKlaV2p15VLgGslxpL79bu4JrkX5oIdxth1i
Bxjc7TDs3W6TFKDaoqgWozVZHjL1IX3QbQj67JNt0u/KzI+0TV/+Uwb0iAKjrT9BtwifC8/8dAaH
7Qf6DMnOrPogc0zSqgQ3tlWI8LtxeNQfPx13L/+6tCGJTvGozPHXoSKEs2iCQttxB7h16GCjm0HU
e7eftnwsvnX6qQUF/mTRtdrtx+D7lYdhuga0qXjQIP++vPNO2qRK0aUCiJLxgSjkEXxgXinoY5mZ
R5ZMXqU1AC8jjJVoGIzaRqn9KMp3peY+d870QvvxF+p3d7RxmJf37V1fR3t0bZ6juMCh+omqb2LM
LpLAHdQ9m8SW64HuhHb3LBjg0Lblx5+lggVV30xormNsEpLWVyCSStH7IneYCCH7AAxkuimLHs2O
bYSex+0z/HiYXG3fmSnpglaNatRN3AjkDtZzEzMM7QKzUlpPYAV51c1kkzMC3Le9UfTxrhf5e59V
G/bM6e+85R7YZva9M4tl/BDNUS8MXzOHnVbsV37ldS6FDZkRBkhy0Bg1pUOO4t4pWzqJMM4TOxhJ
HzCoBGyK2LI2jPD0VJLoHphxxPzM2HbErDfcgJgvaUcXOsBM9aeWGLh4XRfUAJQEBmgoTjRmIJ8Y
GNsmtQO966JAnWWy8GTkVtBqBn++vYwrXaGPc0UuDTQ9qCnAGXHpqxh8AC2G24qwBOmjrYH0sQNP
KCnNgzH1u9Y8OM5uGH8YkASkd7WbBo7rMVUEjjoeKmQyIvuh1dPKx382KnkA0DVo4qEJgplCWXcT
E3IgPp4A1xZO9MzcHS+f1NgIurbYA5Za9yGd+EpmuHCcMIk50Lk1iZRVu9yHoca8sZspMJk1/pQe
QR/5N4uC7iH04vBVAeD+0kLFbUGgfyFChgSA0h3X7m0t99t+l6Pn3B3LcQWXff20gNLYmUHJQzEi
CXLvEgYFtKISz8EIgbkbzW2/dmMXepKzJYjQ4SKgKydjsRsoGot8wOap9j4t0z1yrDvzPlbu21/N
W59DbVBdCRJzHL/ykDOL0gswyp2omGJYTNJ965e/gDc/QGTl9uVYNIKUBQDbj7615BNdbGSOVaoC
utiRV4zf3YgESfGs0/7QFd/7tUbAotefmZMchBnFVJUUa8oP4k6xIAfXHkgKGaA1Rv3rYgCO68yQ
5BijZox1NsJQn75qZYFs9B+bnEDStXKnFl5bl4ak11YHXYfCdhAj9fdi1/2OvhW+/sfAfKfXrjQ3
ll3wbE3SgyvXJo4ZcphKH5tHHSIS2y4oNlbQHPEBsVeu8toGSl+oCXXXyh5gbPSLZ4zxiwewSNz2
vYUX5OXeSZlMqqO3YDfz3j3Qx557/Gf/tdvQoxJ0BwDauq8r9q7z80t70ocgo2bTlsglQh5gOKB+
LXb6TjlRjxxMIIrXqB6u60QX1uS+HasHtzTsUaDHsO+7+3aAL66BBJa+bed+LoMXkr7jbqLg/kK1
p078Yg+5HTZtplCDStIRL28akp0TKN7G7rf0+0r4XVwifA69HADBMQR8Ge/JkDBGIoRfTCMc8xaR
flA9tjZIuOwnZ2YkX3TTokgIwWWOwwkSHL95uRlQaeiDXgQujf2xRuSnW/Bb+Ssp0NoCJQ+1iaam
6fzJNLKtk+6ouXOmce0aLF41VJTRDQPRFIagL3exKro45b2G5wI7QGL+pIdl7ll++tBwyCp55SHf
KpBgfjKalZf7ckSZZ8YglI7kWp4Z42BXgWCxDhdFNaTXpn337prl1mahkwmwvmLqqPoGzjRfGNFK
fPnAnMuft5nABhOO83SJ/EbNJ95WPDLxeavpk5HvWuurnfc7g50m5cHUQTob/2wMz0jBhqXdqUmy
MeKwa3ei+TLOP879prhBbOw/TxILSU9wFKDxgvkh4IGkKBElZQ+K2ByDJ8lzJf6Q6fso3lYi0ZJf
/WfjCiSWagnlwN1Ab/1kWntw6wV5SO8tb9iDburJevHEQd/dtrlock42wf4FmIjMG6QQBrEeFcsa
hx+tdj+UO8N+um1iKZkACP9fE/NPOCsE2Xqv1R0msMLo1fCnPffc++FI11KxpRzi3IoUdEyQSuHx
kQ0IeS+2m3lWSnZTDsCLtWuUQ8v3q2RgH7Kcsq+ib4GnA2r+syD15cK0ShQMrBJDCLKMbbmPt2gv
2Pf1nXl0/WbfH4ej/Zj8nAJrFz/oh9ubuhQdzm1L0cEumGNOE8NM2a5H9wTTeUfr9baJ68H72eXR
9Z8RRBBkkftoBQpAqtHCRrMB3nrvHJId32c72692xjMJisBZaQnM6dfVhp4ZlPLAQsmMgVcwKPzB
W2M+Wtyxsz8u5X6tXgg75QV2rBAYca8f1OEnJf09TnDlTn2gj26tQ/L4oYnGCDouQ0hegvq5+tJu
4x/gWDr0nnOY9smx3mRH61Afhl2+197Te/tbdD+G7eNKarh4twGrAa0K6E0xrSf5ZxoZXMuwYhPs
3vc5MT21YmufqflMrtaqQ2MDmgNAP8ntawd4xEqfz8wNklf+YhydLQin98mpuW8PXR+s+OT8Ub9l
Tvr06qmVlSWrMOX4p927Lxw3Tw+SrRpWe/Eo3ul9/uMF9d+VD/6i75wtUgr+GZvyxHJnxwRdv9gC
LukX9ZesWynirZj5eFWcRcpCGVhXWjDTO3vSvPTTw2Tcj2uV+aUyE2AZ/x6ZDFQD0Tvme+wSZup9
UWycXXWwas9jG6htbNRj+2J40L7LHs0tpGKf+qN6dP7/9lPObcYYUsJOV2M/rXdl2FGqehkURHNj
JZ1YvAEfFK4YgADgZN7wsw3FtKjiQiZ0COtpBxAp+tjj2kDqYsw6MyFloRDBUtoIBf5wcFOgU+9V
bOWKz8+x/NrnZyLa/12F5PNlUvXp6GAVxZOoPfbN1Lyc3bH+Gai535aCqVEg5leMXon2ojwGJ/nP
qOTylh1bas6xLlTPY0//OZ3GH86u2YMFL7D/h7Pr2pUU2ZZfhERik1eg3LbNNu1eUE+bxCSQiYev
v8E+556pykKFZjQPrdGWapF+uYh41H/C4XV+Zsc78xvCCU34WxQNK+1g5x+ALvPLtbPabsy9psYH
TM/QUr9rAueXJfxmQDLHB/L9R7dFUH57tyAjdmlxaupeTwXmGZQQVDukKXRYN1649esLW5FAahSc
RMpSFkxzrNrG9UWB6HA+F+xVfgLXsL9Zw1914nGK/2dJWT89lkMTNzhi+efhDmy4e+MkjvFRBOAp
+VeXMpwvyKWhdQ9ZvsuJi5s50Z2uw4VihM9m78+Vb34dnuYvHvOdB/du+OV0QfyzChHplmwrXFl9
gc6sK4ecxUlpaS52alYEEHGp/kCsjZ7Y79zwkWWkr/JXU24Wc1YDFZD1/G/MyrlPa2HIHi0/6FNH
ZdNjD5CBNJtT9jyaekB57dMpKr0T418S5y8vSaAQvY+HU9r+zFn5hZXv2dg/tZN5nLZARMvKXl0X
Z1+m7DEJ8q3KEstq1F8sQwNP0m52feNnmUaMB/m/i1TPp0LZalUKTu6Z9Nhq8c6UIcGrLIMTyvB4
LlHp8cvjgyjC9M07/ZuL8e+RqrkUElvZPMcYaSZP/FM9MUDpvjj1nvVvNfkl+feewOWiUbvZa7Du
G5+ZVu6KTvMAlMqw/HoUPzpRE4DNPRC7IaS+DMe72jc2bo7Vd+bM4PJInD1lrWfraTzo4z2jFQml
NgKVGGvmRupm1QM5s6J44KlB+GRkA4aVHWvDJ4gtvPzO2ox0l+m5sUfVQqE9VXnOuuWqBXPEyei/
FfpzRyw/i31TOEtZvtKezanfeNWWrX/LrHJRweex9IljeOBNygPvKd7T49T68svtjbn2kACTDXkU
FFUcAEsu16qI6yTj7TzeV1MaOOOhF/Aat2hgVo0ArgLwHhiuYOnSyAhB2jJrTETuxp0nCCT8IsPe
AsdsGVFuuaQCnYodGwhxzc+so77unNry5fZsre1sqNf/byDKfZUJq2eNARs0fo2zvzQIvd02sHYh
nhtQlmOoB+AkCAygv4pOQQftHbFz5AlAkbECWG3jQVodD3JXADiiCA7Q4uXCZKIhHalgTpy0YIsa
YnVBzn5cWZAxsbO8gjbofX5ESfCrthGBfCC21ROygIX+/+OVxViykeMo8fvGY+FH4/MIeSJfRtkP
ErG3NviD/9nfXp3Vq/TcpLo8lNKhdQkiyPQdPEBozIvvWlcGXWGHtAFDVPMbdGfl9CpkjRZBHeyq
dedP7NvGdyxTpwwdMJRl4EjyecB6X65bHTOrzVwLB4qnhRv0til+UJomdxl07tnO4rYz+emgo6mM
cL14jRNhgb0iI2Q85bXrHXvglHmoWVLPQctW0DvbLseH1vY6hjYxsdXHv/a9C6YUq4W75goDRTPK
tXZYtnUDmHDZFdrPSkK41GDeFJSxndy7s7kFBlk1utw2UJUCyEkteI7GqKdgfEdE1b8bww+vOUlh
Ie75JazX2+uxstMXHDlCEFCmoe1i+fvZg9dDm4UPHJby0bRCSybOMTPqKkBg4G3s+pVBgbsLrOkg
vEXsq648M4XWWTq6aqH9ossceM75AaJcsfY4OcXb7WGtPEFodkUzCVIlC4xB2e2TV1txY8VovO/1
L8i8otXKe1ogeWb1pGdzCCKN6LbFlTcdECtIAS6sE6anEmP3qBQB3k50IBk8ti/m3AspxO1OHSjg
GuibHP6FuWUikVAGbFaN7ZOSltVQonvYA2WmiSKJ1lqHXKe/mVtvPU8rCwdc0oJlMQFhv2JdTWkB
TbWBk3urikEeXAfJOAc5kOyONb/V7VbJaW3tCIj00DACqBBw+pdbUorEdVo0tINLad6n07Ftai9M
oVFNmXvXuOVX6ZDf/3w2F4IXzCT6ykEQemmyd5muxwXV7/M/ZmH+KVoJuYmfxLD//As7WDI0nRBg
4dVcb5vWLhRtO3JfQJ4gn34AqN4Sv2nkxuO4cqpxdSDyBTEwAfRVcTCJIe0yb3sQLVbJV9cT+2G2
Q9CfbmzCtQI80MOA14KzwURUqixV1eSNg4Ykcm9oYo5su2jDAlHYnoxk3FGvd3fT2Da/qZdpoMnt
2am36Rbr48ruXCSCFzIs6EtdkSt0Rj6yFLXCe4r21Dbv95yKPWXssfWMXZL/ur2CaxH/hTnlZiFW
UlmQryD3bqYHAkVJ4crQGv/CFerx/ODgAXIsFoyls08gRPrPnSxYB88/WhzR22gpAdE4kViW4GO9
r0jluzGevDk+DB5Fu/SjEAeuW7+4JjZAsCsHEu81uG4W3A0EeRSj1DKbBrOPXVsmb1DULb+UvXnS
9LfK5nvTERtdp2sLaqOvEQQWMAhi6cvDSEmZxF6Phl0QO4VlhubyWDykMt8XDYOgqh1vJPDXhgfH
FRDcRWRIV1lsjXw29AqS4/csCWYdlVC0AzL52DMwR9cPGRpYbm+h1fFBRgWwMBCxowp7Ob52mjqn
Qs35vpo7fyE+9h5snh4LdGUXxhY51zJZirsFRM7/jKnJbmceRirdxrjvemB/eiIBaEJQW6Rp8qnt
t/QUFad8qU1AS9SCPw5EGJ5C5R4l0MNLm56zaKra5jg39Z98ZtY/i9EXI3jWcbUBYwzRMBUAT2Wm
DZpHk+h5d7y9Miuff/HLxuXK6JpHUFXCL2s+CTZifpXF9OqzlTvZbcHxCdcoiab0C9B8J9t61r6C
wrwET7zH571pnez8TSRPJZsCo35kBhB9TlBTb397lMqW+PgQeETgXATqEuizZX+euXw6KZomS5os
aq3smKQ839V1KwJhusAGpFtK2SvWLBcK1jZgIVAq/mgxP7OmxQTyjJax8M7PPnBQPkn6UE92M9/9
42HBvbQdAGEB8gTX9+WwJgkp1q6Os4hSDQCk4egV818ZzQOXGRvPq0qMsEyh7YGac+lGBGeRSoxg
F9yi0GLMojRLPo3iWzEf9P6144d+/MtGky5kpzPybKAdfoas4jy3B11L/bo6ltlvR+MbjrXao/Of
z6FYywVSiGhYGXpZdGRq9D6PJvhUh7TJStP3oJ7qiyG58zKvfBlHF0BDj9lBRioKiAEUJoYeDSCY
yiRgdlMcbq/G2jehbg3wM3LVuORcJbCA05FMYMbKo3jgeCi855x2uwm9NMZbVZvg8D6Ujl8PiACp
nvhxMvvc2VqmZdxnl98yL4AkInzSgQlBILXc/Gd7bxptnkAdi0eVcw+/7ynLoYx1SKxT5Z4aA9sQ
vdyOvtUXpjhfi1WwcsEh8dDcsyD6L63mvGZU9FgNZ7D8FBrgrvjTJVvaiSt3FRxI8DyC62Ah3FXG
httcr22Z8igldAwk9E59KFBsUROv7XQIQuI+N0FujYEpl4VAqB7bdOBRbBSBkexrG7nDpD2VNtgB
Sl9UU8D7JBBAGhComNT0vue/UMEO604D+uMRSeuNc66WrD7mF8JDSPktDfKQ9ricXyexhR23Bo94
wl+9mEKjsv5pD3u79H5K0QdTHPvadJzM33UZtvm0cX2uTfyCpEVXPvisrugZNW0onb5KiqiEyOiO
jNO0txnZ8uBXrk0XhcElTDCWoFk50llmlQMp2iIqeh6A7OI0zW9zkb1qxb8aD/wtzwKkEqGJ8i71
Wlr0ieVgOstq32inlm156GsHArT6KIajzxljUQ5ESubBNNK0iOqK6UEzOD/jscuAdwa4b+PWWTnx
cBtRIMPk4SVQo/Ccz7LqpCij6aCnSTA4+3w6jk4Upy+d8Umb3uRWI+3K4Ci6rtDSj+wJxNiU6QNE
B1x8EguV94btp12v+Z5mnnTj/fbQFq9Qucvw3AA/ANcf0m/qhhBexaYKDXmAdb61J7MJ0FQWeO9t
95DVLzUw5LfNKU7qcsguzCk+f1xn7synsox0u8r37mT2YSfa3+k05oAMeUC+0H+KAfqvzYUOGoyK
WEPFptM3JCYzbGbk99zxvW2JwJ4jSNVvPAzLDaHOpYGThV48JGvgMlzeICKOC83iTRkxCDJm3p5M
u/EdtHRlW/g6BE9uT6W1tkUQPGFzID5FWKM4/HFJMysZiirK+MwezNRKdzEC1U8Gur5Cfaboq2T6
GLbMIDsUPK29rMHj7GrOFJYsH/dWrwPHaRsirDWz2duzbvqOtLxgzAQanEYQj4JKMAmNwbHB5ZJV
93rRkKMXD+hDZgJZS6ft9jXuqz340cFdI6b8VGcie2hkaoMOKDXeOZndIMak+NAxwCXOkvIll4Qf
6mJkIOtyPg+abEOmGcldXnNxBy0w/bmZkSOWbtdteA9rCwTCcywOyNGQ31ru4LOHG1I+RoE/VtFk
FWgUj0m5h88/BrabAbRZcLLva7d+93i3te/V+P5jEyIIhCcOLNpykVyaTmYPbBpgyIk6T/gWCXpi
oO/4NAAHax/yOgulvjx3Yg8pyNPtjbJy5+NFWdj3YBfxr2JaaHSmss2qaKD0tfI+QyUwcpc7eWP7
r10l53aUB9SwO6Oy46SKYrk38/fyWbc0JBO+0gIsQP1f7ZaQ7/Ld6nE7t6fsfzBqWIxw2KvT77R/
GcAb7t3lvPIFds/tKVw7auAIAdUK8IQgLVU2TuWCgaqlXhlJI7VOPU0NEEPRp2ng7e/bllYnEfll
oHwhYI3uzct9EvdFxcsCg7L6h2q0oW8PoEuWPLbdT3A+fKn4c+NthJAq8cHH3oRiCfI+8Pkg4aAs
nIaEGjF7DRdkEhJxYmni0/pHar0NRufbPNux4kjtfL8oW8fgZ4PDnfn2EcE02NTvoCoDL9tIw9Z7
mHR+5wCo1SHpoNO321Ojlrf++51ovUHaCOkqNaPSJtRLMg8XnoAqkK8HgKJWdQBHm+3QJPy1QR9T
5ye1DxTl623Ta6sCpOH/LCuuBrjqaBrbeRWVLQ3EDEyjyMO5yQ8aHfYiljtdJp+Rnd04UWs7HORF
YJyGzwYVH2WHU1mQxMxEFdEyD5u+CJLyT+r9dPhb5r3cHuHa1XhmSmVA6URV1rWBubVrs8bTkAYW
4cMjdUYRmDOAv67N+zsPGOWNo7UxRjXtMnqNWWpNhTt5LF9nYCMm8iCkCMf0K9/Ksq4uI5j5EUFB
NxxVlcvDlZtlNzt9XUVJnPpCPldzNENFh2ZgjEifBv6o1xtnS20z/9izzkL1CV8OZHmq2jgiLUM4
XS6imbigrwf7RGkXhU9MaQXQqJ3uvd5mPs1n7YDyx3hsk6TaS6+cwKA2Q9jTSX/NA3DwjbTaIyU9
P5ax6I8GnvgYhIUbju7aUwE0Lbrh0Z6Od9K8nKDe02ODjnil4tEDTREvihPlM9iMK42Bya3eKh+v
3atLuIWMLEho0USg2KOz4LNWiGjcn8ZgIwG7FtHhOvv715VTO3M+mmmMXzdpsyfDa1584/Ypjp/t
7DkzDh3IVCgLBT3QLdTEB8GY+jYhdQ0wzFI6QMB+ObBOlN6EQySidha7OL9H3uK1Nb3ASulOGt1r
l/8SZghZ57F+kbzzvU8zv59sdLyBHyQF3UQCIfT82PLhDqp1QSzuQMVSaO7GBXN16kFUZ4I52sbd
AuUeV1lvfc6cKsk0EYEI+J6gXjTGj7R/aECNJ6vsDY3pmy3ny6RfzYy7FMMWNQ4kuy5nJrHGBgzL
I2amZ/0hqUcE/ZxAIs8oZ3CZGfwuwbsHZulRHlvbnp6MbCoOqdl5UHGOja09suywq8/BZQDWWhfB
idqIY3WSdLkmRGRBOlmSYyP9mJ1K967UgvnFdKcQePj85+3LVu3P/bgVQMeIUjKesSWNfjkJyJBN
7UxLEekpgXqfXzXkjv3iCdhyGbhyxVgEcqTf83Kfl6OvUfY4DEMwiBmvv/aVzcnOkuwoQAADjmIK
Hb7b37d2T4LsErAYRLuAsiufJ2wNpGhjJ6JBDGjDM7xAa+LJtyCFdgJwxvOhxsSPca9ZO62rmo1M
iAqA/JgdrAR63MGkDrXr5dY4c9NbCrluWkoREfQ7gk9mLJBzzCjrvoEzpHgYIIvGArOeS7RrpPTY
9xKEH16PBs42ywzhT0BF3etWw76IsoOOOjZU/wASKTEENnj7dxrUpL7dnrFV/x7FY5wl+FEQV1xu
1rNvdjKdoZdCxz4yprvKHtGUH6MZBm7vwHbFq+ncJzFoWqxgmLfIiNVy6X/mC+yDeGcWtmuV555w
1lT5aGC+vub33Kf4zwwyuEH/aox/21GeT+CzcjfzYMcp/rjxY0IdNOW/cPFtrmkwNcnOc3xCmydv
y9O/fiZwSqDHYiN+WoSoldtU8kaWAE2JKKVgrol9N/lVbDKYbhlR3iI6ol3FzvFaGBFDD3T/1sSP
DHKJfS3CLDsW/N385toPOfxNDgBjBSdU2/AWljDi8jJCdIiCN4rrS1+HupDSlgD9TAOeQwsV0AL8
Pjo/bSzidSoLkSBol5EDROcFDvflRl1kTHvoqcmIgHknt6TPK8tHIf6UFqDxEIHmToHUP1fxxtiu
/bxLu8vfzw6InuSDICDAixznfq7vRnKwvEPmBpCIvD3CtXVEVhCqAMQEGYeuXF5FZVKtZKWMGttD
7JR0caDZpgyKlm0pya+cPAwKzzyuQ6R80Mp5Oah61LrYAB9UVLL6IW0t6M40vou+II3huZLiKDLt
3oirE4oln24Pc6USAtt4ueDhICa9oraR8TzJMZ1k5DEHlL4CjoarJ44/FJAiG61glFMVNk4GYqWm
4btyRIcNnYbmBFk5cRJttZXjuHIm8JYtmleQF0LoijzY5WTEuO3sadBlBAnKV83JXpweJDiJ+7Oy
p1NplUd33HBfVjw8EHMho7d0NiJeVr1r2+hj3g6VjPom27lJEXiOOE1DhDS6IadwgGuNQkyQG21Y
Tuh+/KeEALh68QF0IQvEP8AnKokBs2uLFNUnbDang2eJ9puEO/AcJgRrG+t97ZtfmlJeRaAfqzkn
A8Zazd/HMYOr8IcN/A8QwHezWwe1OTwA5xbo1gTunuK+6a0Aih3wX3TQpxxHscV1t3bQUChCN+Gi
D4qpuFzvLpeezF0uo3pmvg6hClRi+02M4tqwIeqzZG+hCIyY5NJKbvF87JDriUB/eGiE4Te691tY
4khks9uY4pW7cWnUQAEGCwr6Y+WBs6RupmPn1RGNtZ3URaD3NOItukMgCBHMvfZWVVoTlDJ/dJL9
beMrdz+kZUFGgwoDaPjVABxVh8qdvbKOvPitcn5O7oaHsjKPyPGABRzN2iA4VdtfhKGXoz53daSj
y9UAY+L8aPBHtgVtXtkUF2aUSyCxuk7YBGbqr2Zoferebs/S6s8TtGR9pOJQLr/cDXUzmd3czXXE
zSHQ+W7KP4CB/8IIXE9I3aHCjJbiSyON7qZcyLGOZtAzyCQNMpTghy1Gv5UFRxH3byvKZpMdAxlV
Byt1aPkbb+DqYv/922pVR0/71sFK1FFW9HuXa4Fu/pHGD5r8m011Zkf1mZieSj7AztyeKNRENHRS
edlB5FvEK2uv3UezKCgtloZANXWvlSCmyyoDR5Oj+yFBhhkCmH3hp9reQvgMlOGCqzzA+0ze+35L
BHZ9Phci8f9YV7YdT8t8kBzWp3kMTBMpRnST014LGaQibm++ZdkVH9D+eNfBTIWUkRr8lKOVxlXD
G2w+R9+bUuMHzejHo4V2Ez4Q4depoYc5coOPDmHj7rb1tfMFomV0x0LOF20Gy0SceWnCddEBaJRN
NNUv8VTveZ/581RtWFl7txEioaVr6SZFU4Pio2mkbDrDEU0kU5ACCdnvKxPCDroLtDt0F5gGzNlx
SuTJc7owm829bWvH2yNdaZxCiwNky120BMNfcZVTbrhgnCC0bqLSZt8EfbRjF8VPfTdBJNSh9yBw
8UWphfZg+IYLEKIk8kGbQX5bs31vv5FkKxmzOvcIcOCyOhAppcphSmKHViPrmihFbw9EE3sOqp95
I+GxjOpqe50ZUWaeQcLQ1EjfRJoGEmHAnen0ZNY/KHsh+olsNU9tDUlxEWiSGRpHz16ktcI3hw66
Kk5UGNXWoVk7n0ts+P9Tp7phXNcy+OJN1Ma+Vb55dPZb42u5eQ0tr9f17FH0AiBXBMkh5XXrdWEl
HTDjEaIkv+2MHUtOMuZ+Q6wdKOpu79D1Qf1tTNmgaVFBu4PBWOn88bxvjL6jam0ieXzbzNqFsxSr
LRNe1tJBfnnkRwnFWnec2kgiPtLLn739tUer4DAe9PzNYPd59fW2wevTvzRYLokSsD1D5l0N51Oz
nw2baRW8dhmkQxk2tvSllyzEBZ5+zB+yTh5saHbY6LTpNuLQqy25GHc8KCuBRAE4IWW4dGIsBQhL
RNx7h0OXgZCp6Y1/OqfIqxqYSo/AnTSvhK5ZO9n67DhIWHQv4Dk+dc7ejQ9Euzd5HyZbnasrQ7qw
pngSPNc68OLZAn16EYm7YLBSXxrzVgCyagbBjrfgq9Bvo8ycW3pxFntURFJDHsYdHBlwV96NTNd8
xGAgRjcza5cg0DwWgJEcDM0AuIJ35r6eQE/ca9JHimcIk6XafntLrX4ausmWqH9ByihHxZO0yZM+
FlESWPmven5ztmj1r07+sqJnFpQ5njiQYmYGC02KeFKUexP3Jbf9odEfzU1U/DKVF/fMpTXVf+uk
zequgTUuEpQP9JOVQYWKekFe0Ue96v0a2cU2S3zcDtIlx9uzeeWZKtaVhQYubQYA1hWRrcWVnzhz
HKSu2GoXWNZEHSNatxa9MeQuib2s6ZmrARpaTvsYY6TFYRbHzD722gCSrAKlvy1U/XV6FkPCMw+R
RQduB5KJl8ZMMUFOesxlZE/OXZ3IX279KgeyE3mQsbB2ya6Zhnapue1kZkS35/M6TbRYX/TiodSN
EE/twCgnoB+KGhOaWIlvVH+szgorq31L7CoaM+2xd627ZGAvaKvfOBhXb8iHZVQZFuXuaza/uaoK
YudMRq3UD23Z7LUfdeMdeiM93R7j2glEUw2BKAT0JwCNu5zgLKknPtdIhOi87kImqRkktEabBKqJ
G2O63p44Wx4eX5RPAHVQqxN9N/UWYPQy4jOfg9GVEB51WmtjQFtWzMsBVaVm923qyGg0gCX0pQxv
T9jKlkR6EjU3CnYnNB19dDuc7X+Ncwfvmyuj5A2c8dDgpv7AD6n3PCVm4MT7Ue5pAeKnz7ftfsjQ
Xp472MVGXJgsIVPlKjfZ2FpuRpoUsUxtoFcmgdtrj3CYUh3iYzknBqrRThbwPB/CASzHAPPT6Qhg
BLyDnr+jcVcDD0gtXkwrGXd1qb/NZVYfJ9FVwaAPxb7Q5F7GOrwiS3+pLJY85pNr7lxEirshtvp9
WlPia662xX24fPn1yHDAUXB1rntn5ln21OQJUihmvcvqZGcQc1+1IVri2rBrwWpvdFtKU9e32DKb
/2/zipbfjAcPG5/VkfaleM+/e587v0DMsOFPrG1GFORBd+1hcAhZLjejDZBDTguBtMfsobVdhwZE
O+tyIzb4yNipE7ho7QCVDBp4qt6SWllXHL0YNbgIgFriX8apCdCNTdBtg+TRoRVZ6GhQE3CHUGdV
wNj8lMyZ3w5aQNOfoMfHXiF+UQUC2d6cP4vhBFTBQRPy6+1NfH2toWoNDwTuI9pirrpWc7MQKO0X
dVTkr2BqYO+x+YmT59tGrp98GIFHgjIJhaS4KvKJdoVx9igyckb8SbbzQ5b2QZdYd8g4h16yIYp5
fX/CGBjC0YG+kE+onRBl7JXzmNdIz0FR2cjlUc9iuFZbUsOrZlAmBCh1Kf6oxZGkxQE1Gr2O2pQ2
4VzRFAUfUz8CJL8l5LU6fYhjUVtHryUSdpd7tjbjGmUIUkeNcZd6ejiWx2TgPmdfWLsxeWsHHxUf
wKCpuxRiFFciTaVk2eTWUZdqvwq0hi0kuYOv12jtIMiU6+KLDpWU29tj1SiKPwAhoXMaiLHL8VVz
xQBxQE7I7Q5xDBqbPvXTN1IFJnyYwj3k3a/bBq97iZArwcv6X4sQo7i0qM8QWNRKBxvyQE5cC7+Y
gbWf9nkISYOwCsag9ttdfTBfaRDvbtteW8xz04pLGA9OK4pZw2JqsfZqe/JHQtpQ1OAucIuh3BXM
pBsFrlWTHpJgy32HnLgy2tqVrMyW/IzMT9aO4wpvCTAZB1ZsiYiv+GfwDRduWJxAhITq/rFSj6Bs
iKTINH6H9pAVZNbeyEGnZ58Sau+l/uLV9oYXozJn4EqBUZTK4PvhfoFLc7magjUooqVJE9mgvfou
36v36T17jkE74u7GYPpqaKHbn24v49o7guZJRL9wvF0k6i9t0sRoTVLJJkLXBZpt2pB0325bWDsV
Dq5M8AcgdY5+iEsLRc2q0iJjA1f3JSu/j82RAxvhJTtSmjvIREBdbSvJtPYEAyeOLiZYhWezbKQz
R4pqeWZNtYm8GbMhLp5V3YG8cK8OXWZ+Rsi4sXBb5pS3uGG8c+PYaiK9mfwYqsy9NPZ6Xv6ozUdi
3EPXZuPxXzWI0uqiQbTgsxWDnFWu1gnSoCplz3tGcwqvjeaHvCyLozeM7a5qUReLcyh23V7MtdcC
HuKSqEFtFcG1MrOgM25AlISZbbrFIU2aPXOzIqzYJjvD2s5cQFdQRIYD4qidaH0ix6mO0zbiUyV3
YEYB/T3Dq3F7QGt+w7mV5SvOtopJZpLrYP6KHB77aWbvrOSFsXcIt2ys2aohPLJLb9fCOr38/cyQ
0/a218ZdG9W6DAwtCc3+PSVfWm/L0Mq8gaQI/JgAjGL7q958Krw6b92kj4wim3d63pVPbszyf5w0
g3wOuhghw4iOLPoBRTkbDrQwhoT1vI1wz7+jByiak3Sv28nGk7qy35CUW0BwBqhckM+9nLWCQyXY
FG4b9Wnpo6zuY9ZMsMDd3gQrDwt6gIG0hX4MNoMKIe11K568tOiixEmMQOvKLBBD86dHe+W+AAgR
7DHOFq3U6siQOIP3tqSnPOWOyrPCIJBqgc30rzZ5NosnLf18e1grWw6PCGq7FEiupZH/cvIm4TQj
RcNb1OgohPHBNkJNoH+0y107bNCStjGNKzvPRJMHwn1UY20oP1/aQ/uQNxmJ3UVl48n91DrzSReV
sbs9qrXFwhmy0fe14JBV+Rk7nt3YyYcOWaI5IHH9UM12YL4QCTIOvkVmthaTL/RIDsJadGcCLXY5
pga0PglL7QGaTWR8SlqQWHlabURAY0KiDPFskEhvAP2YZuy5nhp3veH0+zqvjI2Lam3YqEkB4Qzn
B0dCOQnSylDndrMhIq1THiwNffE1GUOnLd8MJ3+esL03nrWVrDxa7JCLA9QbmDJDRa95jWgaz9L6
yJlTvJ3oUA1rUPTvPZG3qHWK6qlrSz2Eb6E94b0R9wUDQcigAzSiu1q+8TkrfsTF1yhPj4Zk0tgP
Th+NrS5Cs4rbXe94kIAvvDIcczO968BcDSXEprsjPdvqLFp5c9FVBGcC/dYAa6lvrifbtCqKYohK
PLRuTb+7zSMk74O5/TPL+ZjEIAy9vdFXB3xmcfn72RULIKbHKDpdAT9uDlX/Tb7ncX1ckFSmP7oP
U/Lltr2V6wJpV6CvkRVEpVd9cCsgDsrYqcZo9n6QMhq8D003lAM3xrVy84GQDtlHQHZWMHem29t2
nXljlM1y34G5BlW5u5J8vT2aFSso5YJNES3lyA2qcS1F313NjWGKatt9MDVgjZnFd1rbeBv30cqt
h9fWQooEDDIuIr/LZdKHls1l381R1jsQL6zcBoRjhtxwvK6tLK0GHnYfXl38q9xD0hkm6XV2H2lp
hQbN2re22smuJwwW0E+L4BXQFOQyLschE6YxFmO7NZPceRLICNfNAk1uqYivXKmLIfhAaCuAb6cr
hnK4pT0Z2yHSp0fNTB5kVT05c/ayFPoMX8zfyuR3PPzshi0ZrOsNjirVEodAChuJMzV+tFJuWDFv
xmj8mXq7Hl1PXUjMjUdwbRoXNNEiIIEFs5VTa7I+IYDVjlE9ybCgLUDMVdDSP7d398p2QCM+iiSQ
AQDLoarz0fSa4TLWzJHOnoWAitL8120D19cdtgKQKvh1sLEhzLjcDaTvs9opmR7VbjXsRKZbyKE4
4yd094VlofehALfsbhzs4uWfG6bIaiJ6Q9cdHp5Lw25jE57PqY5Wf+rX0x5s2s6sgScySHv0JvB2
4/iurBfqv1gp4GGR6VQRYCmN88HqkzmSY+frw9HJe3+cDrcHdf14IxmFdlAAfRFr44a9HFSOFBXu
hGKOqulYNH8lphXk+vOS0rerDVMrm3yh0ILbZ7rY5Kp+/QTthsH06hlIDbofef8yD044tPbB1ebT
7VGtbEILonJIP2MCHctSXBLkg2ua6r0eQVHTC9xOT8K6lmLj3V9ZINTnAJPGmUVQf4V/dTlBU9So
R6wYgpJHM5OBm23M2rKdL/PcSwe8AR8HFRAXtWxlgdJaa0G/rEey2E3zs5bTIAW7dmIdTLMP2iLe
GfqP27O3slAgOXNweJe+J2R2Lk2iFzzOc1vTo260k33WFHmgZcPs56CybXNP31islS2IkqqOgBAd
CLh+lXMVE2lZ0pEkKp5quwyk6+5jUNmhn2kst5g+1myBjAcK7Us4YKhNMSC09UQTOyRCJj5Nx7AZ
0yDNk2dh3A+vt2fxmjcGhB8gOyBoL/dQzP1QET/zksyJdFnNGyMSECGNx8dEYzs+1L5T84PQ/5oa
SIYzEMSQvVVWj7yPd3pS7uZBnLqEPAnW7/XY+3L7o1Yuz/NvspTd1NkAz1ajMKJcpLs5Dcd4rzl3
4M0s6HtntRsHZCVZuaTXkF1D0hCrq2I0x4TOKOvmeqQ5R84KPzbf0pqHk9y7xVOuvaPIC6Tm/vYY
Vw4/ngewq+JSW7qwl2N7Nu9pVVug+S1J1BZT4g9uPwIyG2/pWa3spAsryyE6s+IWVu/OTUaiZVyV
DeQWaf2yngNmTL6ZbRC+rVlDQh3zaCDyATHJpbUCKa8klz2JGgIlcxEY8SNgwSO4JpuNHbJy+Je4
CqKmSLzCC1Jmz7BzoYOgmEQg6tzZWZ/7icx6v7PQwlryrXT2yn5E6sTAbQO62IWZ+3Jc0h7KwZ5i
EnlDE8YOewJfR2a/kf470dijNkS3t8ZK4Aj/EZgiaAoDuQSP69Le8H+knVdz40CypX8RIuDNK+hE
gVKL6pbavCDawnuPX38/9OzeEUEsEeqdh4mJ6AklqyqRlZV58pzSiOI0BjUhU1Ar2k9j9kdJ602K
1K6m7fpM2JvujyaLTlZknVq3P6zYX4jm5K8UcrlsyZjnV0Zo1LFuegXfX/JrCL3Pg2zui0Q8CrV+
nxuKPQBDikrlQOa0DyXxO3ruG09vj0V2NgzhJdj7p/yZifPbP+t6xpOwy55MbFqop3H+l9vSxG1S
FAbFg6wut0qMTfWpNM+IEMfm1xBtQ0r/Jo2q6Hdj2R6jEyUw7filzUe7En8HnQpHZL51rbUfthRA
+GGAfIEWogI9Py9kqDUPyBj7xeNlKD079IZtGOS2YTS7iSd+UCF4iYdD1agrZ7UQRpCpA35Dzkda
PscaSkUXq7XZyeemQZW+FVoomxVhrcux9LkxkAUpFGQv0xDp5c53nSalwJfks1q89l241RC5L4EC
QOO9u33ICyFk+vsAw8GGXcfiKkS53VQS+ZwiYhkl3ha0C1Q/nh1AvpOb/2SNLNlE8trisXu5rsTr
FfhOOLgkNI19ofGs8RiF3fe9YNo9JYs/Quen788kDJ2nB9yHAIgoNV8aDXQ98g1jkAFVvGqpsQUe
jSz4Q1c3Bz1dq/pcU3zw0XBkU/o8vXfmVCRq6Te15+ryWRLGXQaxdgOHjO4pu1EcthApbFw9v9OD
Ry/4buXhfdP9yqW7ToGCZOhWPuAlL6IwAjUB72+GT2e73eudVIzyKJ/N4WhVn7v2U2h8HNK72x60
aEWlZGEwhM+NM9teqR0so68F+SyG8ZPU9g9KmWQHzax/uJa+Bla5xryzvdNkE5R79CWuRrYGPUyy
iIh1Tioq3+UBWRsQ4Xutiu57sfroBc9p+zO3dnWDipgl7uS43saJwf82tkaxNqm5sHa+UHV6TYiU
BpTZxTGmXQ8Pb6yes+Rg9UhDMc+h9Z/gsbq9x9fDI+DE3hqabbLnakoao2d/zlRH6ECoeNF2aATE
LPuTkkYfB/MZXpMSnQLZ2gF+fE0qYYXseLriZ08OSFxINLiXed3MH56h0Y45dArqeUxdbxfUWXvn
hqW4Qb/e299e7kKQfWtqDh6VyigQi7BXz0kmnoQ+/hTBonjbxNLJTbMp4P2Ab/LunAUFFVbUJFDV
s5jW2nMl0+JNukw49v3Q7dX1LsCSPY6QShKvQuZLZ/bSBP3Djq/n3A7prtTqrW685Jq69eqVRtfS
3r01NP2QNxmo1IhRSDxg7woYYtLA7syVdGnJEfjUwUoS4RgimH7BGwtmU8ZtL1famWZQ4T9ZBrDp
FeDS0mdOA+C/NmbbNQxVbohJqWGg3w35xq+OlhA5klvtB/GYy2CJx/zRirdN/2Rp7X1Tfsibl07c
lwy9vN9T3v6U2YaKg9kGCegJbsh4l8nVZtrUwMp31tqtv7ixXFIk8ioVrHnJftCqgTcjGxvHcIGl
EEG9yOFKXXYp16WQPVGk0yOBm2IWsiy9KCAAMLSzm9RxbEdSRZ6Za5Q2jbLdZq7inWSpfW7VxIhB
uwdHxWUkJWuM/GSq/tqYwdJnQbePj5D+2yT0eulLmpUqWdq62rlvDmnjtNVJe1l12DUjs3sQ5jp3
KKA7PGeyahuj4/pPsRtu/u383ixmVrIIGjB2Ymtp5zLK7ST8psKY2Aor2cyik7wxMitiUUlLgqhk
x/TkIPd3gf/cRivPyqUQ8vZQZh941nip55esg72q1J+duUahs3QgnDj063BFM608u81cC4iNaJX6
2bd+ltIIHPTrqDS8Wv+8+9OlkfI3vEOcSWn40rtcyLLaQE2x40NdVaUpKuKWW+6yKCjQVinW1rVU
3JmqpfSiGPUEyTfzACOv6jJEoebciV/lKrJV49HonLRKH2MU4XXIcKNBfwr0Q6jbiWbcmfWxfUEW
Kmh26RrJ88ImW1Bw/81OUHqZlwgbNRvDFM63s8vrLcmehdJFuQitl7VZjwV3uTA0+7yasjFzsm7c
RUd1IUCTKHt/6oGjULQBQ0Slfd5Cj2jgi6M7naOMMHNIWR3Mmfv8D87yxsjM67UJT+p7hX4ukSs2
TkbiQJ3SvXu6HDJhMDVUbOmKg0iZWYEhuTbdvNGnz5c2vc33C3f5ypW11LICBMArRKTjAqR7evW9
uaLbvPa1gVrHuYjD4dRp7osAf9m2LQB7GXEqwqFvQTPIayk/Sq1pHqIxgmwcTNaaOOdCuOJdiYgE
aBhA2cbsE1RA6w5ZGxtnyXoxNGSG9H2x2ihbNEIxHAikOBEYTf/+ZrlD0PVdYdQGJfcjfE+K7LjV
0/u9g4GD/zUxX0fj5ZGUYcJSqLD50vcm/9LEzL5IKxD2pc/2raHZ0fmS3zNMUxhnpfwa+eZ2bF+8
5tw2a23gNTvzPEBwmepoGuxUx7HTPibe8JgHwe9WXElI1w5nFuy11Izb0s0MPJ7R1t6ufNP2/T+3
j2fFyDyPCLoudqUsN86hSKuZ8eM2uE/c7W0j05ZcvoCofdIA5gFECwd3vnQzo6ldPR4sypKGJu6I
e/JGjwZlV2ajtQmY2vADz7/zzXqtHjqLsNwnlEsmVg2Rlj0cG7NrxddjOcInZCfNjQjUmpvtPb8e
V5a3bMUQeZ8QmiiUXC5PjCq3MaJSdqqu7g9yoP/R02BV/mB2Uv9ZC6x5kwXG4eWZf/dRODa12iDy
UgLJscs6HJ9SsRyeVOA7OxQf0alNtJ2Xow+Qu1V0ErK4s8MebKDfI+lFiFbuc2ZTbYSp1kAz83fH
//l1UOKYFHAsgG6Xe2AG/VgWcic7PoywpSHbsm8dIt06dlK6TWLH1ZLvTdA4FWMO5iEtDOqer2Vy
MFEMzYyVXH1Wm/v7Y4Ac4GgI0dGJnX05giCGCTx2aBp5m6b6bkGLVGYHd0D6OloxtXT2UFIA5OaG
pSszW7fvjVoFNF9yKkFr7iDVgqoh6vOVZ93f8Zs3X9DfFVEXm2beKALCOnW5vXFa5knbeLhYEst3
2Sird53rt3daz/YGZio+j4ggbjPT+5y5nLPmd+KB4thRdaNPUA40x8bseqZxGXeU6qLY9/Lobcqu
ZY6Av2yHpVvZUNAIW7OO5f3QuRBIuTT+TTMTtpYy6netlmt2mhbSlqGfV02JkqPfSi7bKn6pml7d
R03i794VOP4uG/AQrC9khrQXZ99vYWRR242q7BRu6N81pug6ap5HP1W/+tolrXmnS6W57eNSWQmL
s4j1H8MGEyz0oqcX1syD/MhSstqzZGcU9H3p5o+pn+7zqvxgiMOd4sHzF0srDc4lTyKXoB6I8BkZ
yOx9IgRN2ftqrDg+FWfbC+77Cpq22/s5z2/+rgskKkUiKhASY0eXflRAgE+o5p5v0sNQ7YuD/1p9
tZgAdG3Evn+saqrO629XBmerqmtRamQXg6HS216yk34IkOh91z8y46989548ZdvwSt6vrHP6s/Pv
xaInDT3blDDOK7hqHhlS2Rq0od2n1t/GH6BtOrXqHk0T6VE7MKv3xAjEitGlE4TcgESVbFgiFl5u
bpWqEOfTMHCqptmAyA+DLZAaTfwMy3B/z5wn7JnZa8jMfBz+YWJuxfx0zVytmduHlwvwLhK6S/N9
5iI81rmyI0D7fkhCtfzsxoUxblST9C7J8m7fivq4G02p+ll606imZ2T3maeaW8Z6PqaCBGeaVEe7
LkjLU1X2H2//wqUbjPlg9KEUAB7EscsfGFgCY6lCqDhSbo7PWVI1O1kBsJIpTL/eNrX0/f7X1NUA
XzQMqaXEnuKMyk5HtkNXj5bs2k2cHUkKTnK2dvbTh3O1+f+7NqbCLtfW8Twt5Yi1NWp+PxTtw5CI
ewQOHpky3IfInwKJkJQYeMCw8btiU6bf/2HFUwsdcnTqs/OnHo1I0JZKoKAqa2Z2XVRfclHcysb4
LddB8Yajd0iDNfKVpWvf4I2MdBVJL8z1s3tJF91e8EJkLgPlPurNg6t5G3WQH63xV/3ZOxe1slX6
B8/IHXoS25EfUhjdYYDAaf3zW3Avvncu4YmfBR6lWYLkepab+iOiokaS7APtk1sJThHom2AXt49D
I9pyLt6L+QdPvyuTZz11nzzzG835latjIfkg64QsijNg9H4+Y+AbXhUraic5bvbISRN+XJBGCAh5
vyMrWPO7hY8eawzCAvgh7ljTv795wYEBK7rcnbQq4d/SpH6fpMPBzKPPHcodckcRMt8GdcwQXYPQ
oWMYHqg+79yX1VOQ1jthVap96YpBSuk/4Cp56jVd/qJ20P0kExCUZP7ldZRffNW13Tj5aLXJThti
u+xNz7a8/lgrn+VUWomCS7sPy90kQDwh4+ZyDU2k67A9kI+1grBPhnupinYps6dD9yqtEedPScDs
m6de9X9tgY27XKlSZjxZSmxJ1f3wWqd2p9rWZ/2k1/c0gW9/3vOZwekiRQSYzNqY+A8YrL00FnL0
ZpxHsqMqrU3vcGPJnu3/Ooflp0xI7E73HvR62Ay1vynbXeGeBzXe3P4NC/cbg4PkBxIktRPx6OVP
gJArjNTG4gPzzHrLOKq7sYx4rYc1H0X/u1Jt4uygBDmlKbN7TFb7QDS9gEdbC3GO94Om2icFBXG9
pAqp+PdZXzqtu23r6ChSiWT+tmjGfZ7nf9CHO1hEoLgDhub9okC+6cfkKOX+oS3EY+ipK5/f9TUz
JVEIgzCcB5Z+jreJ1ZyWRFQhLFo2Ha+uXeG9BPWuQq3J3Qae8fv2ASyYIxel/gsMbJKImvmAooeC
VPY8skCzWZtusAq71O5KFDeClqmQuhy4wLs1vcWFHI5oSo/BIrpy6vPMVLL8lFDHgGPsWZRbfyRu
vkmsraWFD01zrxuv4fgzLn6p3k5KlMSO6jW5r//HL5igtcwbXfOjmci3otYzyA6q0eGmGmHVzd1T
I7p/BvNHIv3xhfCj12lHQ6h+u4HMPZ9u2r5d+Qavv/dpH6ZpBtCw0N1O38ebWNv7ceoxiCA7+gs1
6B2sGPKQ7JtQ3jSWdldE52Ht/bMQTC9NzkIMrAxe0iY8gDShabZBpAD1G0flWa7DbmcORrJV0XX7
ValNsi9jJQbBGpg2M6Pi3W3Xu75cL3/I7J7JQlMPCOqyYwmhANzYL54Ga4z3atmK59umFgIAtgxe
OVOmSOd3tmhdQNg5AyjilL66D1UVKmc1eA2tLSzD0NF/CKyzpsCa0u9yN9voGUwp9vha61CnfEj6
vdn/NCYtkQ3jwDz47cxcFQy8vnUvf+FsNzzPj+qylhH4zdxfKqKcXr1XrBZtahs+gPs8/ghyaB+I
n9ESTJIT6Z8nPQa8sxppd3uz5pAuouXlT5ldt2MJXmhkM53G2Bgf22EviRu0lLuW6etNgsBXuFKW
nHMR/MeiNQGD/g6GKrPj8fPYqoECyo6oVLA2dR/0zh67U5mbdqhJR9n8VYRw9GYHMO+oSO9L6dMQ
FIfaN0hL94PnNNHG9FZ+1Zzb5u+vIuMC0DlVYeiaXH6chZwXGUOPCo+vNv4kD0G1S70WNbRhfChd
RfgwamFg15BjPIdtZRHAUnHn1RK0afRrIQH5SpkSdg+oGDdF5sfbwDLbO9+qvvN/ciyezU9AZL9I
tRHd17QCzlkkJ8zFxc22B4q2UcdkOLZNJf1D0AGFhI4tk75QLs9uw+nK11umQKYSSNfa1AeHcyZZ
EHqrmbDJTP1JsTx0djNRsmwmrtYEEJfuHNhIsc3DlhLqzL8m4QdZGbGvt+q2KDe+ottmHth+iiQm
eqtW4q2kcHMRiOkoGaqZJsI5TooRszxDNwTDLfxUcRK9aey0FcuPfWtm2yaI/Z8A0YaTorboUAVV
lN5pGSzf+aicvEgq7+Q4GJhN8KzvXV5LGw+O2t8WhE52Ghf+SShcZeX7W4gEXP1UbVCtwHfmnIIo
xcdhIbWKI3rjoVDlFnxvI4OuiJqNHLjdu8uNzBDg3dATwy5Iln3p5WnfSmFTt2CZ6i8yXH9Z8X53
I2AguA2Jw4S5mR13G3il6sWd6rhpZYdZsS1MJCXougXuBvqDuziy1yDS05+8TKMnqZFppG7S5QPl
c7mmLMlaI69D1Rmh6LhLFDF8iJtSQRTWlDZiE4Y72n75/v1xk6tcZsDToHhLj+DSqk4Qq9U40Jxy
zL7onnosFP+TG1h3Y9N8KFrH8/pDNQb3qrsGNFr4oninitSMYcngk565d2+lVqG1pupYpWwdaxVJ
l5AZbWAxvb4PIgFmViRUf5cwba0c7hQDZzs9XasMh0yYd57Kl2t2Db0xXV6sDnqbdoQMvV+8lsPK
9X39SoDIiFcKHGNTNfOvPtKbLMnMJQpR9DGcqBTQjxtg9LOEYm36bmkTFbRLYf/HaaCKuVxKnwhZ
GA6a5oh163SqsjH877179D1/lw8updrx44rDTJsz3zzelNTVeFuCApplf60g6U2dm5rTe1vveWqy
EHdEGwL8erCLZFN++5OscQcsfBpkQIzYT9N/0xvjcpXcChUTJonuWMFLmkA1cgjG9jB4ySaN+pUe
w5ItSpfgpyYpchrtl7YQXfIamki6YzQofuvCTiqkjWUKByVNYHH5srKd0701286/+R3jZBSjmUS9
NNdIVSHUcG47tfCgjvdavUuDQ5YpsCRGdG3NE213EKub22av3YY2JDuKyjpAHSrEl1bLwgxo8LuG
k7jdzkuldtNqvBcsHV7vvtvqSgK8qezXYKjX3wRmJ2IG0iaI9+a8hZXljxnvVdORS9Sjcym8K6PQ
O95e2xxBzb15aWUWWAZBlcVMTSGwLvwvihfZoxQ88xFuXTPbK5W7LYTiqfusMDdl+U4FmV/r/2rD
YJevDWZc+xK/hJhORQrSC2ril9tsCEUoiLDcO3kh7pLggZJ3PjQ22AnakCtHOgXqS0e6tDVr1bhW
VbQ6d4WT+uHTaIJzcfWdAgNdPK4FnYVke7I1wV+ne4O62+W64r5TC61EklyatlRog+9BVPXoUKIJ
2XhltEmzUr73Eh2JPigtHvQi6j7fPuUlV1JIw6huIUkKpufyJ/RRNrhtV5mO4LemLdZ1Zyu5ujat
sbjSCXsCEwM3MqWnSzNV56nimDam44Uf+zy3/USzY+VDUqRM6CaH0C2IfCazIz9vL2/pNCn6UEyj
3nCtJCMzXtbkHjucFUkBvqLvzxBhPxh+D9mu3q0NSy6ZY66QuQrm1CkZzqJQJFRW2kaj+fdGFIQP
Xfkt8Hm8SGtFlKVje2todvVavZINRTGgg5zkwPbOobmmwbNmYXZiWhAMDZghE/kzR7ZehzWGnqXQ
SVsJqiF6ooAQJvtv7vW+6UpVqEXT6YXRdn+15+aDMkIMuQeMfdsHrussExHUhNvHEbj2ZoeSJpGW
9I1gOlb21U1tMunG28bDboMgXqetwIaWtg0XJxMjetJonoWPwCzZNKbInCRy642aueUml4o1ipXr
zGtiKFTJcyG0mxibLjcPTQ7kPsrKcFLhJWPEfUBQNx5WlrJmZLZveWS5MNPUhhPKPszmop1LD//f
RuaOrDTphMNjJbG3kfNHQHTbYA3AsbASUi1egHgbL/o53MGSeLrLgy86Q+DdgVBygiLaFGq54mgL
Lv2Xo50JH548V6lqKTMvFgiJ6OhBsAVb+yH3TpG6LWP18xijiF71K3jMhXAD8x/Td9BcTTD9WdY6
pGMyErFFJzcOuvbJ2GTKpJqyUgtZ2r1pJlKneAbr9Pxpk4pe3wzJKDrkzu2dGcTbSEiNPfg4+/aH
umQI2AvEK8xfUrGbXYeGJ4hiLbN/oZZ9KyGFT33rqS27wz+YmYg20XWbHi6zyEPDU5czFzNKBCe5
8eCHHxvt5baNJVfg3oHoDLY9HvQzG34eIfBgVaKTFLWN+knatrs2/92mnydmj5UFLaRHBDbERyYO
SFKkmRukPIpM+qCi4z3W7kNdZNtC1ynW3a8pHiwEN8j76A5OYYd6yuSPb2J2KHujyJCs6Aj6D9X9
02XvLkfAFvzm708LffP3K0mOVL/j74/Do5l9/7e/T541FYRI2+fFL6WXwlgvQFY2ZlERNMPIjqzy
7vbRL3kx9a2Ju5xhP+T0LhdRaIlf5kwHI3fxO0YtsAe9IaUrec3ikb8xMovNriYJwHlkVtIGO8tt
P+DHnuZ/V8RvWbdWQVsKM29XNIvRcuV5UVuLolO31UGRv6cwnkR6tNWEFUde+moI0Yy1a5OYhznz
L2XQVciQMAQUP7Pd6rUfn1VM6vtkrXax6MpEGW4FirvinP7BrT0erpVFrK7oCI62jvztbT9Y2jUN
lj6IG3mpUV+79ANV6yREyHHmNEm+y7X6LA7FPRqVsbeG7V60RISmtgk4iRhwackXtNHwaXw6urJP
VFsreI7a2aqW79LpTNGZdjw0XDSmLs2YYOf8hMzH0Rgzbx5raSdQI5ZaxI7ArHdrtPlL3xHdcLCf
vK2hvpxFtRzij0yhhOAYrvAhpFPN/4eJka+3T2k+hzW9cidAL7cNqSH4glmkTkJgRJoRTB3+4iH1
IB6JtAG9XXNfa/e61dh14NlS2TzXmXfqkbxbVX5c2ldk+ix4ZEAWUfS93FdX9qyglCLJGeraVpvX
zHyyIkwNh1LfZvH59oLXrM2cZdRzHQKZBIRp4tulmu8qT2T8wUAEcj8Kw66olTWZhaVgRUkGmvCp
MgOU7XKBYhrFpVRrpCnuQQ2Qm+zag2z9hn5l06r9j/evD+ZKHtR/6VLnZNrMq0atGgEh6nKOsbec
hhqMOfESFDYYTFsDlH7b4uLyJgrQCY4OYGqW8uuhp0h9hqNCnGrLSQQTR2EryR1VZ5LMNdTE0mcB
ZJcIyUVJNjs7P1MPR1qFleTkwXOu30M1oq3RmSy0iUkn3tiYfenJGGSWFtGn6sn8wXvx+alwkX3q
JGk7qDLCWHf0w9rgZ938w15OuR/5jIbMyfyG5kZt5KorpamMhzYf/MA/O1RQIdYi3dzfPrelnYT4
nwECqgPTw/DSLSW/VZrBwxYC20jjaK8IhW/q6p38eH8DDFAHioMyxEZXSdM0fzdEUkPTLzsrjQ1f
E+oca2RXS1cAzkCnElQzBcHJR99kTtQhC4FEVHI6WK666OAJg12aT2O/8iZcuDYRC5y4uyjGQ2kw
8/UUpT1Bnd4CPWRrdk+77k7OqjWq1oXVTGFiKhZRMWLE43I1oyoNfYZOhGM2Sb/zFLXaKaNkQ865
9cxcWImIC37A24biIsqoE8vyzNuzLtMUvyOXUsOPofEwVs/5eHi3q2FiInskCNJmmH20Lg+mxm24
oWPgZBMh3kM6VC0UsNXK+Syv5b+GZmvpUa/KCxbr6PmfJnBy/zxoK0n6ogk6MVPRUCW9nV2YNT1v
OZjWMowpJJ/33F92urZhi34G4x3EK7QPwOhcekAiBELgd77kKJJbPyTM0B3pmn6+fSqLbsYznY4B
YYB5oksjHfMtWiTlkhNDSbXNXQ0mNVVz7+rRr34FFtDa2/aW4uqUbZqM9fx9RM0MjpXVaVmTSo44
Fs2xQzhxq2pFuKHUI1IrEvydESTaQYoKHL0NGauQ5HyLmNUaAmpp5VO9WaQyBr3N3OVrKyDnEUJS
jiy0PfmhstzXNkWSpXleWfKUvMzK6TwdkNEBPQmuVJslN3KHvmk6FJIz7svTWN3XyF7G9iH6RMq4
Jt4xhYUrW9PLdGpqgyeZeWZP66A1OmyB/LK1/M4dSDAiyTbyfK+qL7dXtpBHTYgC0IsMTss0YC+d
J/e6AaITzjJLnCR1BBNIrv5tbPKtqbw2a1wPy9ZobhHdZbCB07+/ie8SLevCL1layQ2c7Ho6khv1
V1FuJd2+va4l1+CS+l9Lsy+vrkOCf4KldlJW+pEn3zqt2+jpP0SRN2bmSW/cWUEodCRNlfm51cuN
6H9PrJXAPv3UuT+8tTGLul7fdVHVTv5gm4csPzTG7rEeN82vLl5ZzZLnkXKidct4Ox/V7HgQ9yla
uFFIJZRc3prVmO5UIyiPpKjNJk1y78NY+2u35NXywEiSbYKdBUtDP3Dm7lUQikYIBsKRx9GWXe/Y
ee2Xutn3lnVs1dwOxl9d5L/edo+r6E+ZaQrL5BhA5gDpXzqiWAZqW7ay4AhJ9kEojqGYPFtatcJ8
cN0vmsyAhZ2QI9ODc/5kiPNEsNAHc+Kk2ErWJ/2XirAnc1KM3nn7JiiOfbpSTF1YGVcBjVwGlhir
mb/XIZNmqEEV/RPsW3ZYHep2tK1uxSXXjMxugIHg3xaR7J8Qh/GDHexBivnl3Sd0sY7Z1rluKyuJ
hglfr2ydKh1fcL6SZlxdz9ND+c1ezVxPKCwedd3gn/T7dF+++87grwMqmZSjycdoolz6WBvE/HmD
k+jSR2r6tvbZMr7G/d7r7+vsj5cMG7N9v1vzCACgRC+KUsN88KTQoRqqk9E/DR3oZ6u0mfDd9O1K
mLiKrdPCqCtNcyX8cHEWWzvPpxVU6/6JHHsjiBGYj8qWkvuh/XPbB67i0aWh+TNKTE1dqGQ4stvQ
5fH7OQlOrn5g8HAjriG8rj2aStBEX07hiTVdXbqw32Z6qSWngM+moIMXw1n37tuCP/zWyPQj3lx/
baVSIBkxIvjuvWhhQaj2SfLujxMrTMNOaS1kVPPGgDtAqNmGanIaze9qX0EafJ+uDchfoyqmpbwx
MltK3foR5UIlORkwk/pJt2sTY1vm0Rf4jR6sMJHszi1tuUH/dgCFqJSMGObFCZzipi9zhpHWyhdL
B6hP719VmUqu80qo79dZ36ZBcLJgr9QM2lSHYm2kfcXGnNhWHQc1hFEhOPXWt1K0NtM3XDRrdeo1
K7P7Xo18K6tKVlLqL1oF9Y/0sZHXZHLWjMwieJdWQx5MRizvORDzjYS6hRZ4KwF2zvkJdpEiOFAJ
MD58XNQGLz2+kgOYchMxOVUt5FCmfze4nh2pNoAJs4kexCbfZU1mwwxwkrLPgf5bict9WyXgtVEV
jn/jPHdipR5l2DjH8p2MhtOvg4ED0AgAJB628/O0RL/LwXFlp1ytgA4j2rFvJD3ZBHVS7QalCQ63
49n1fXNpb3ayRpR7UmT42akAfqSOkNGuafCtWZgdaxQ3/oiuZ3bqIwiC9N/B2nvhOlu7XMLsWm5F
d/A1jSXQz2wbyHlC7Ai/JXhuMn1LWXSn9ysX6dqaZrd0FUU8KfM4OymZhgId4sDiyrksfAwXfjD9
+5u4bHVZmTVumJ0a6YDEpTNq96itryAJF40YPB8nrlmElmZHM2iB78V9np0GeiobGrdf2pwY4qbl
7/d72XT/80Tng6OrfrkayA4zBlyL7JT4o5YyMx+oj0yHrYGhrrMAXgqkNrQIofPF0KUZFHPdTmB0
+JQ8K0jmml+6ilnLbiWCLFkhyYDmYKJvhpn60kpVx1YTkNWcImGX5OK5yMQ/anUEs74GRllwM06G
sTmDnM0Eq3tpKe0YRG71NDtZY5o5LlJYeyuoXm+fzYITTO1OqIbpIACumZ2NyIRIriZqdgpFrzr2
Uun9EGDktWvKd2shfmnr3tqabV1nRjKlYWwF44tYlEdN+9pzJ6uptFYQuqqO8GikYjuVYcgKad9d
bl3dDlROWp0v1BD2MRnBZoyaQ16WG0WJt62YbLLC+xD7+rGqn25v6EI8ujA921CKSsnEDMFXRVfc
xvflbUwq6me7Ov5lhZBSCfGpCSDOvW13cXNR4GJQnWQRku/LJUuRW0lRmWWnyu7NcyzCQXS3qk65
6C3/NTJ/pUIQAZdIy5csdubWzV+aELKj1EBR5fZillyfUgllfUaDqe/PNhGcKMxvzYBX1sj5KpD3
b4e4WONIvc7mpxIa5CHTaMikvn65ZbJZapHqejnZE31BIXF6o3lUDeNnwFirbanyyut7cfcYBsEf
Ua6CIejSnpI1aopISHYygyzdRcOY7QQkO/aZuMo7ubSBaJJNTRgdGpp5LKyiRtNLJcpPVuEeKrli
7NXVGjAyt89paUXAiggeQFCZkZg7XSMl/IIsP1XmE3yDW5+XUJWskSIvLIbiwQT9AidFfJ+dUx3E
5qgUdX5SxQOcn1j4h7yLwggpIRoZULrMr0K/DgVUydviFAX5k5nFTuaPv1XZ/62lawoK11sGswZD
NLwMID2he3vpBE2cRKmEuOEpDL8L2WdeBapxfu+pXJqYXYR10nRNm4XJiWZfj+YxQxZS+nLbxnWY
wwbzDhRqAZriApfLQF3SbUvIqk9xWxxd3Sn8l6J7ML1nJT6I8NOIK552/a1e2pttm+6i5ybK2LOo
V4gPwyZKIVI9itb29rqWjodsCMkeauqUYqZ/f5N5yRH/oYKfnPLKslNPd+LgQYWc4b1WSIeQJKEe
BhMMhi6tmGHm6ULaJ6e+V3f9ABttul0tJl0fEUYQ6LGg2mAMdF4KLgqCZ6HzuO+KcZP1hq12zBq0
fwK/3zBsmR2qLF5Z1/UldGlyFrfrQa6NBmrdU6gJG6l7NUDp4RCrjLfXp4QdKDMplVLuYQjucv8A
FgV6L8rY6dRdwoSUBdPAKoZ2YTUgDyY7f2kqrviKcy6hSDeSk5zHG8OVeJUlFA3Ej6tHNZ33RUV9
itJvLM3i6DAmYl5rWLKaz0H/YHVrrEPXBkBkoRtGckA/Dijm5YbJpiBRUBpcp0ju0giS6WANnne9
WdM40gT+JPcC/Dm73KLUV6S8yixHaMpdJLx6ychwd3qfyvlKKLhms5mwWICX4G5hIInn3+VihlHK
S0UpXGAUv9J6a4mvNDz2yJDaiNAIo3zXCvcMOwvm8COnkpDXJ688KnWw09YGaK79cCJXp7gJihdo
+nxSLw+tZlTaEbqzwexOudHGKBnRJigtMbm7HTKuAVW8nHBE8Hs0q3REAi5X7Zch2NeodumF1Ifc
/F374U6ps7tekO/7JH7SU5FKfmW38Y8gH18yOXz3e3FCjE09CujVgRHPQnAH1VrFK0dwcqXdysop
8F5SpJxuL/M6zrNMBsRJj7jz6QJerrLPLEXp6kmFUHX3FmJzREdvsPaD/61Rvt+2tXB6OCqNkAk/
cK0/aGploeStF5zgbPwRG98QT4pS7fW2kYUvjwDCVckdySjnnOSwqJI6KrTIOwV90WxHyM7gPFHX
cCoL24baFvcxXUxcYx7r5bgpxoHiNGi7B1hZHpXqMVTPUtLeq8OP2wuasofLWMWrlw43BOsSU49z
TQg58SGvcQUKdWa7TSCupzjtKtUeZtFNnP8p9JXi/vUpYY+h+umUJl73WTbT+KTMo28FJ0Sh71R/
PGm54FgQadxe1nwHp+o05QmmtidyLv7npeMFaj8aQdRQ5AyS1ikqoaCFlKR7MRPIneEN3YTsxjs/
KUbvKLwwYQDuh/9WZsWrJPRilVdoeKrSe0F6mVpK9Z/b65r7HyaYhWVGC6JkMDLzq7JyAyOVoyA6
+QbjOVnvffS0ZG1M+3rzEFKfuIZwdEiE522eoDNDKxrq6OQCYTPBVriGvBva7mcGY2HYrXn73CWm
NQEogj4MsBTaN7MgEbRKKmrwuJ2MihJtaFO8DIyvt/dtnj39tWFSP6CmhKvPe0pGYwZhafXRKU3z
DSqO/0Pal/XGjTNd/yIB2pdbqdWb27HVjpOMb4gkk4jaJYpaf/136JnvSTdbaMHz3gwGCOBqUsVi
serUOT6A89DbBJeBP3afC+b37O3jFjHZi7sEaSceb5IzzIWeFLWb5aeaaT9Zl8zPaWUOTy4C+6Zp
WXqgxJ52YzO0u6xp1xi55GMt1otbBYxOKF+AMUTyf3UESS2DxM3J9MBfkXJ3X3fWN0hBbbph3Bnz
cTXpWdphYARtsccAccmaqSPjZqKDauzkznq7wcSvEZCBb021cfxcydLAyo0qLJhKIDbQtyvn/SaL
wILxDgc2GWEMtTwZPat0SueOVl6e5s5Fspo0bAep0z4wKaq6TjvUO5XXTZjpdbfXai8FL+aYeody
HDvDL+1yCqGJ3p8rTvKHpGDVOS/UZKWYtHB4MZ8PgnSkuAITJsW+PrZIWkBS6jTmThbmisneckth
K3WJG96m960AuA1fATQ+ujyJBBqx0tUaNz+R16r+nT4B71jt7M8gYiSPmR7UY1D/MpT9fXdfiBkC
Vi+ElfCox0jHdcD1DOLqs4bPX2u/Wf+LftKVY/GSvt63suDWV1aktNTsnKpAvyc/ZeVDjOQoq33N
+Qw+rMbKfXWN5seW7sZ/NvLPmqQjbBncievUyE/QpR+DQWcxuGvApU1yYw7jlseb+6tbCITAioD+
Q8jC47kqHdo+zjLB/5Ofpgpsjbjvj4W5cv0ufSYsC0xPgjcFf+36M1l51rU4Qfmp6moaWGrqPeJR
RCEQnjvPlZ7Pfs3WMs2ljwaQCoIh0mpUvyWbqCAlPCvgjx15nkLPn31t/kmb3+mv+9u3EIF0xACR
MKHMiPGr67VNLm1Uh+EZDv1mDJXGsXm2bbt9rEnZhNOgWAeUW+mnqVJ+ADW71hpbtA4uTgwn4BjY
Mn+OkmE6HbQ4xakZsy3Nh8mvm7+cBvhsFvYKe5lb+lZmKx6z5KFIrlF/9FAqQ0J/veTBHBrgWG1U
Hkjmi97nSCPCXtaE8JYcEzc0ejFI5kGzKf79ooxSJhZ3BgYzOT+2IKMx4sd6reW/5JkYnXxv5GLi
UIYVDIbVDZMqbCS+swd4YdQCh/lDtRKo3kdVLjNecaqhDAYomHiXAD19vZikj83BK+ryNNXPSZKg
LKQGoOBO28hQfbUE3161LTpgCt4Y4b5SP1XehiheyOzYH9LUp8QAyJo7GIxOntrhm0b3pKfHel57
GS/t+uUPFTt2setdjZ/fp215MkCii4a1PxvbOSvC+6fm1oXwmAHvkyMmo4BtkE6N2jXTMGXAien9
a3Y28OaetXwPavK1a+l2OSjOCxJLYFzBdiKHAd50QDPWankaiwpSTb2vaD+aLvXVuYJ2aR9YkBUu
OX3VshdXVfDOz4BOhUxnZ22p8vf9RS+kC64HdBFGiQxUiG/E6iHYOjuTTYDHYduuDMmn3Nvx+e+k
OCJB2FI+7ItZB2e28eCOf9dWEjUGCyb795Bs7/+SGwgDju3VL5H2f7abWtEV/BLb2ZhTCMTTUxf2
236bH+ize+wPxrnq/az323xbV5/mzF/VAL/BEcq/QbpWawN4EHBTo8S8+TaENMhCv/vGP60dvXeQ
zPXRu16rdKEmjCtKwT3EyLALtW1/4gcz1D572+qIu+6YRclxfugf+N4Jn8Eeu1V2YA3e4Wzt4qff
++KF+RiL2ve7alOGYBveOivh9Pamwu/DewdnQbzfbCnONSNLGxChlqcmy9g2M2acf9dhgZZ33U61
UiNsqU3CsuRrb6CFUwjLokai480AJZvrs27MeWrraVqeslnxeb1rOijC+i0/3Pe2JTNgb8Jkspj7
QsHz2kyhIC1Qx6Y8qRbU1MYOqhFm9chyGiRr5ZilvbSFmBWgvhiDeSc0vIheHmK5C51yHHcGsj4L
YNGuPxnkAUxqwOM0f1lrOmALeS9mopA9Ca5czCrI0xCzm0+AUNHylDcHS222yvDLwcLSN4IhdqJh
oDwHS2x8sqBgujL8fzOzIE7QhW25YoNhSMKBii1PbP7p0V2roYAd/5U3fAOJawgfd+PPqt/G3cqL
YtWuFD3IXKdZWsEudCO3zuBBley5ogft6MGPKiOYO/A/Tm8VtEHue9JSNHcxEyHK3CaWLmUeqV7N
ZT8xHBWFpQHNyhSNeNSMtLZa67EteRLas4IGBanVjZQnNacBA5NmeUos0Px6lCq7Diw5vkOGeVt5
PA1T2+lAR1g2K8flPWWUA9aFaVmoZyiaOQeOvTzFthUYmfnq2W982Gpeuu1NftC47QOCOINn88WD
Xm4TDuMx0b+OLH8kNttN/BmF+r3+bDd4Zd7/ADcVZOFyl79N+vSOmRgOeEfw6b2j7mxabR9TjKkI
Lq9tPD174Yg3C64vL7hv+L1pdrspYrINNBQQdJEMDzZvvKbEphRnFFIOT+BAJ1/sKvjFfC1AZcXn
QR7qfu1//QtqJ0G2wZhJUAfJNt6K/882yKdCEt7/VbfpN3YDtSNU0wUo2pIiG2fchuTmgABa7rqk
CqrpaS62VV7uqN+kns/mNZq42xOASUHxEYBURclP7pZDy2XUO7C3ndJ8tnyHxQ/EU2Nfoc3+/tJu
g/alIZTsr4N2yoxWNzMOWF/vPpDM+RqDzouZbsDUlU008Zeuv6ywJGDKguAWA3DXliBRNKCKAqCG
19EfqC51QZ8XdOWSXXDcayuS/7Sd3VFu90B2QUpO0Xig17+8pgnwogumavapxUKtg7iBEkJWofVr
y1ypzS1+OiFqB253THa9/8KLu8kyh1kZxY463isKtUx7VPXX+x/tNmhhkZg9RrwyUEGQb9qkcduS
qEN1GiKHH5ugtvyZBuRbRlfiwO276dqQ+KYXa3H1pkwd4PFP3MNY/Eapd729tT6rbOXYL9p5P++i
wo0VXduZMsNs0k7FnnELp+mrlr54bRck7OiCCPf+5i16/IUt8f0u1kQJb9w6hi0OdiAjnDQaxE24
Wgy5jRnYugsz4mdcmEk7ppjEHQHucoLYhhz2FvinOBwgcxyO+vb+mtb2T3rNubHLimLSqpOd/HZp
isLkOUf9T7FXiW7WliVdzVOXFWWd64B1dRWmucrH1BmZr0OMUgfauS+3ZNKeJijn/t8WKH7WxW62
A/SychsLZLP5mBNz76T9xhr2qFH4jrGC21xeI4KuA3FvDFlJn67Vxhj4aQvGxt8k+dvSuW8VPpxR
K5LAeR61YcUllz/fH4PS5ytnwD6mBpuqWT9S4rduE7QHYj7Z5/u7uBwdQa/6/1cmfT27R2pFQVx3
SpNT98VS3M8TD4f0bWL9bh72HvJ2L+sOeKdjRGrFR9/HUG4ugAvj0jcEP2+u4Q1enwBdL/2khiis
YmWo5DPALv3Ynr452oRmBTCYTphmHsgsjSb5Smw73dhFWh5droDiUwGT98q2iKvn5pfZYF7EKwlV
BFP64EXs9QoZgLYrPiUPTaA4vvKaPXcveuHPa0n1oi0xsy0kpQBIkEKdZRStl0y4Hqi7S8xvRuUb
ZAzsl3YIOJRyITDs1rv/sj58dczIgjQGb6br0+PluEVaC7GIQzLcCon3rW9edHdnG2dleI3nX2Oz
ckOJVcg7CpY3gKtROsT4mHQN15rWkr5AkJ3r8pl63iPXpvD+qpZOKfpfwHaImvMNd8Sg5iAwLF34
srPnCAND8UC7IRjU54LkPuVvjfmxFiyopW2kpajv4RmPfqK8qNkANTyox42ImTyg6ZOT6f4wfrm/
LOlufzeCHiIGmkUlEXnw9bcy0tFwiMmMyB2+O140Dy1Q8KeMHDjmlCp1xfWlyPOvNUyRiGFj1Oek
yKO2rAHMYDSibE4UVCCTUO/yNjQTZ1Nbw8PM+5VKnThKF47xj0HxqkMLAlUQGUTujSPoawFXj4Yx
TLsIdV8QuR9Bv7OSUUgO+K8dwaeO6gBqHlKkM+JYyyuQDUUsNboAz3pwnsfaWl1+eTV/rEghrU4G
SBBg2DOiUFy02h3VuD/Gjb+KLxNJye22YQADiGpUFOVty9uiSVPgXSJTUYMCKhhJZfnEXrn4lpfz
x4p+7Xvx2IA6jWM5GIzaDtknZvSQj2P+R4Ea/36dP4YkJ1coStOVCUPwPr8rz2Atd52VPHzJA0SD
HCcVUDbYul7MPM3oLBg4SO2YmQ9pkfRPmZl/kH76fSWiDgVXQtUL3ddrK5XXDbk+czPqvBc3frLU
qj97RN3Vev8SK0bjJ/o4Hu6HiKVDC/gxcKcCGQyR2mubRlN3aa96RlQyFrrsF1HOc5EA2DhtUFTZ
3je25BOXxqQI4ZKxzdNagU/oj3Xyl1kfKAvIGqPJ0pIEaT9oNAF0Bs7leklKz/lsV4kZ6UP6Bcz5
s5cG+kmz6Z7rysrFsWRLyIBiusiBlLD8yYy8STrEIDOin5P+zQYkNDb+LngfpmtYlwUXhOsBO4Dn
IOQvbhDCZjyZ7pjaUUxmdhhyAGvTPGMfX4+IcqCjRf8foU46tSCvBjdanEHyu+x03+2tqNdYUAF2
4Csk/YHJyG8fdgkUeB1cF2BYBT2M9LGs2QT1YFo4UY3Tt1H0wgqcBhIEJMsCa1rTKVpwQJBVgyNO
sK2L6vK1a/BsaKuqhbWJW7QI+rhNNdR8cfsHKJO4P+xOBRzk/grFCqRwC2EqlB9xKYpyvRTXuy4x
UO7FLQVCOiNGpbPwlfIARrpPFUmfWMxWDtlCeNcRRZDIiHLPzfxWA35kr2gtIyIaKOur74XAXWP8
+f6qFnfywor03UqDz00D1GSkz3sD3CIlxn8H9H/mD9IWi6B4tRxp+1J1zNDPsI1IM+duW2iAQ4Fv
CzXVZlX+duEwI+yi04qMWhA7Sd7RGAOtOsjARSWEus05UqbkuYn7h9LI/Zx/8gwoelV+A1kZaGw/
TNaTMWyUOMDE01zkgdU0a6VTsbYb1xGEGarACxnvus8XL9VSFyikmhjRjKTXg5xZDhTnJ2rvZhLV
GEfxsyHef/y74jUBWgPU1sC7I33Xsan0zC5qK8oN3XfUcttnL8X0i7ZrpZMFNwXTDuafkIQYaNaL
eHextracHJUrzI4m5ZOrRGYS9vbKQ3/BR69MiJ9wYSKdpzptDW5HdJ6TnVvah0zN+g1Jc8tHtKlW
Xt4LERrdevAVYfuESJG0dTH4NFPdJbh3qiR+8Ka68I2SVCsRemnfxNsLDyF0M3RXOg/upI0J7zMr
ijmK6KBf7BkaN/DQ+36wcBaAoxDYUDHXhyfR9d61NpL4qS+tiJphCqbOvKT+rFToIryq4xp764Kf
wxjya+BFBdRW2rmi7DsAUpkVEQ8905gHQ7/h7Ec5vbY53aq6b2Rf7i9v0aJ4Ngu6UAdjUdfLqz2Q
65gVLE6x/mpQmh27wnhtGdAS7QixRCdP6KGfFGUzV860uW9cLEc61iAOwQgTKPFUAPglvyynLCYJ
RH0i29xa5LuxUQK12w/dMeUrd8HSCUCfFsAJfErMyUnLbJAmEVXhOM2K4Rf629hRPydtkK1xMy26
CzqaLqKmwKuIH3Jx1GxvGG1zJlakQE2Wq7+48d1hZ94N22FY+XRLpgQuQwREKFzYUuDwWtCSIkTZ
keZnj9DXQcFjbRpLxhmISwdB6Y8N6Qtx10lzLSvtyIVkXjo0rzHIdzz2qyoL4D1o0CqQf4rJc5qs
hfylLwZUEXrOwA+CMEkqr3SQ7I0rb7ajwi5RiTecjT6QwOLek6slv+/7oVxFe1/mpTHJPXicsLlM
J+h36aRKdmoCsuawsPL65PSa91ObB3ufGIkNAtv+2Bdz/ai0XfY29Yq7pZo7dz6Bj8dBm+ne1/u/
bXEfMKYGERP892Z4P6WDNoxubkekqX5O/E2PofUWF28FWVPfkVvT/+wCSrPo2aJcB9ava9+FWEnz
zzVRTYrvzBtF25ASdSCuBGCppGB/7ar2Fx+Lra59v7/KpSsDxHZoBmLaWMDWrk2bSTnZdULsaMjC
XT6sXBVLe3j516Vk3sLQjGbn+OsYl5mmXRbk8y5/vb8CcRLkWIbLCIhmTPwJjqfrFXB3bic3pk7k
Vp/Q7vNHHW2Wj7++sTU47HieIlpaIiJcBJfcynleqpUTkeKhwlq6NabBpY0STKsCZYVCqqxUkExj
7GhN40SMhlYfTPEe2hhJt1KuWtoq3DRCKNHC8Kos/Q0UV5W10wiGEHtHk23zsjqfuBi3Lk1IrozB
t8Ide5hQlXjnuM0h95KQAGeepaHeoBk7qoeEDUFaax8v9wBLL57BwD7gEEn5AlQ4ULgQcasiIYMY
q9YCz2Ee9a7/D5fnhaH3LbhwBi/vlazvdMQs2kL9MdCsk6KhIKdAowtsS57xX76aYITEyJF4o0oL
6ww2ucDh21GNzqjqVdsY1JAZK1feU4vO8ceM3NHW+GwM6QwzlDnuU9Fqw34cxp9tku3uH9ilkIOO
OErdeFZhcEsKOQoFpTCKz04EzLhf8DQYWL69b2LpOAlkMV6gaCpDDej6vE6zMU5sjhETlDrQhzaY
9ajQQe4Bpc0PW4K74chibgUfx5MSx6keqYJXhB05GMZEvj2zB+Cn5vI/ZMNXdiQnIHycwTuOFeXs
4LhnN6V+B3VlR48mAHrur2nBE/7YAiRNygC8oSNDKRxO5Yavj3vFBeG5ub9vZOETAQ4EUAieuaC7
kF8RQJ/1npriakCgMDeVUdZ+SmcACBlGOZnufFB+Styx4MeDJilwg0ht5BK6xzUXcxcovDT8Z6XZ
wNG+3F/Q4q5dGJC+UBrPs0pMGEi0v7L8Uwt0Ubkmobe4aaAf0FGuQt4u6/NkBY/beiqdyAKiyvpd
z6ekjtpsLfsUP1W6UrFXf8yIn3ER4cze0BTWYSk5ZFVDi1XZzivQEygrLQnadvreVZ11aOzKe6F5
vRLulrIhYBKFXi0w1qCmldzPAKKGzCW4XKy0DfR+2pe9b86veHH6rsH2lKKT+b2zwB2wRhYvd5Tf
neTStBSadAgQzokD0wZsagY/MjbvNJptHESpnyW492Pyzh++L738qSVrtK/La9c14DJRJQQdv/QD
hixVdTC/uhEvqm03xscpp0cUQUI+nQaTPOg2fUjrOvVTtzpX2bf7LrwQmU1cMshCUYq/nepucjPr
K9w2kd63iZ/nehYkqrqW7i48PtEKBLMTsilRqZCSqXmu8qpomBshMwTj+19plW8H85ymVQDM+ND9
vr+opTcGGgvAPiBH1NGFlA6mldqZMhLVjbR4M44vmbupqhBYw1olGJ5QNtxmm9n9rPTja91AMJpu
em+tsSLWJJ8oPOdAfQEcqNjb6xNVtx28lYOQ+BFK7ETd9yC5Uzb5Wu9/yQzAn9Bsep+dk6F9GYBq
TjyhRK8Mdjh4/T7Gc6qLw9q2D7G+kgctBSMMoeBRD4tgbZP21ekaO2sH047ApTZs3RL9yLw1rEOh
1/ZWdz/KK/l+OFFDANwONWwUhCS/mSYlVrLEwMMU8iYQGq8NHzX9PqhSfSXdX1yZoFpA/VrgKKQI
5PZ5ZXk9Vjb1fM9bpwwYiBb8Jj7RxF65B+Wphn+X9ceYdOQtDoWcFhltNGqJlfoDxP72tVW5wJMw
Um1mde6BXzHbjREnVaiNRWjpKXAWXP9ckUoFVX41bQeD6sFAHO3ZbYGtHfPGOOJVVO6VKU1PRrIm
C7AUKcTWiKGbdwHOa3+maNiqrLBtsMBNr1C9Bz+0vXIPLJtAYiVmQJH4SjlcRptyggySHSW5/avW
mrdJndaI2ZbOi0BBYEgcfCqo51wvQ4+zdoT+APYeRIA50XZu1z2MLqTENbbjOl3Bvi/5leCawyMF
DTQ8967NTXlWJBXUNqK5GLRHy8jRrJu8YQfCpelHPo59dD/0LdrTMJwBlC+uUpn02uum1u49JKfU
sH1rmrdJW/ltBXb+cnvf0tLHggtj3B4LQ0onOXGhQAF7qEQa3DvJFuoKPTgvmw9Svb0fFZHUG2J2
1kZb4nr/6taaKrsWKVY57DK9OvBeD+Yar7DcO/yHBV2YEpfYRQrkQq5UG220IRWOUnBCEu67hf1B
gcJ/FuTq4AgX4+eW/JTUBdwipokTeaTWQffPW+gHzv3WhVLmyhdaSk+R9/7PlPSFhiHH0Cz0nyO1
sndDYbs+Bu0rPx9XhchFdJTvOoB5AS5HUQl4FfFLLraO1HzMoLuGx1f5nPa/FYdvbAyUjNvEwZxa
lYVe8hyT/3AZgfBJEIsJFQX59TppHqDrKYxaNSakOvOZudWzSc0Hy27P/8E1kE0gl8AQLdpi1+uj
DRmmPketRjXzTwZFS1BdG/9aOrh4HSP5BXmFjUvo2gQor20o4YxO1Df8MHhsm5L4S03Vk2mpP+6v
ZikEXpiSs+0c5JQNVKmdKDPbowWeWuOr3jVbDzyNabFia2lZwENj6kCMVWNG5XpZyBN6FGlcJxqq
MIbUYBF4PYb7d/dXtGZF8vRZU4cUJV0n0jBZMZ/rcYP6dV2tnKclK+BPhM/hrYwap/j3Cy/HGrVa
KxDx9A6jkclRjw1/GgG3BDbrw+tBUwoRD49k8eqTLMXuDBIr8R6qMbcT4NH1TauT0OVF4bsept/u
W1vwBzE+BGoKZD8OKLOu10W82JgMRr1obJNdOXvIQPA1g0mpgjHrfhUGyVcyoIW7wwKhFbwdJIeC
7eHaYgk0X9OB/yiy7PxXkwCVXIzK2iiO+NlSULJwB8LnkK9i0kByirYAo/wwcC9iXaDnPjvAM0iL
eSS/fqvq8P4eLsRaYOWRVKB7LbjZxYovfKPQkFW4SedFWopRZxUyp35rJ59r01px9aWPhUIatOmg
0woFWulAEY82MzWYF6XaLzDpeEzZ2jCWV3rgGF//w6IEPbd4xOC/khsiJa8nj01eFHdngNxK7TFb
q08vnCnxTvufCbHci33LUppgcqnHvnlmgEbJNqYlxK3KTTJ8cBZE3LziMSTeL6ir3igd62NSNEOD
1fTOjz41jtUry5k/19+RJK6c3yXXA04F/WVMuWCORrovctBxez26WREYKRMHGl3hpxTob394QUfp
/jdaqh+AVvGPLen0TpnL4gmE+JGWB8Vx/gEEp3dODknvh0oWuuOKvaUP9sccGPauP9gQT1WlQLg2
ckAf1T7ozWn8aqt/31/U8v6BtwExFcgwuZgLBmeldSfTi4bhrU2+aOZr4W2GtvO9+AnTXptxbTx2
6VQBePI/g1JA6q3BcmN99oAIi33XzkNV+5bNz5V66pt2JfgthQobRJgi/OEikcl4ql7VJrTJPHTi
o3b43FfPQ8NXQvrSV0JqLg4tdGnRQbj+SrM9TmAWyUnU6wOUgyMLrMLE/K3r3+9/qKW1OIIfARAz
lAXk9lKZ5C3XWjg6oTzbAExanz2mFo+lXu7uW1pckQWOT9GBF1Pa1yuKOdofs0ngd8YX1dT8Kjmj
tkL/Q+dFBAj0EPD+RoNRujRqE2TgnspIxMgmswIo7RXO5/sreR/uli8mB31LVHTRfr29Kwpuarmq
kgikSukWu9seXI23mFos04A3mFfW8vQrFJtYiFraHAzOoBzLysHsZqFBx3bSeggY0HlXUEMNjT4D
NstQp0edstHnoL5audtEtJJ/rwByoJjlAtUvwyUb05lG7ngk4rP6SFj8XCqnkrzkfb+z0JqavL/u
b9DSYby0J0U0ktK46iuFRIDYey1kNUPgHr7Ha8S0S43Ld4DKv+uSc1NVwX5pFiERtfS/PaI5vpMW
G4bKCaAtfgLVN6si2xRjPsxcqwssHRwA0ERzD9XXm4PjznmGoUHXi5LhO0ZefIX/cOu1WsfSmQG7
GczgTYGqipSUOEPuGglPSVRMTg6mUIh6apnxF29M7qOBtUbJsvDdQHAGmkQA0hwwZIufc3GXa4Pu
EU4RdCzrrCe/m64Xp9SGBGuZrrjkwgWB15jAaMAdQe8j3UJePQMVXOdKlCndxqzSHYUajNafpl6o
YgRmRoK5WrvVF74Zap7QDYBKKrD9co5HSnAo5LUjzsEEdJhPldhfc8olG+DlxjyLQHZjedd72DBl
TJXJVKJ00DGrWvikhBRCtrJ9t1YEVBBFY6H5ZiDnv7YSa401jjUcQ8f5iqnpG17v62uDxMK9ruPG
tZWbWEpA/m0kJLJLaG6Y1YausaXfOriwgLavBTI/zPtLHkdUAUscShLlfD8Y38hANwqkPvvn+wFp
ebv+mBGOf+HY3aAWxEgqnKNSYQ+JZ85HjZT7qvTWOFZuj9D1gqTEMRlbMwF9A4kwNWy1G7qxdt5u
XJPuXLKCAivwgOB7BFhb2rYiaZGA9LonRrQK4gaqunWAqEpbiDgYK9nOQn6KBBi6FKBUw1V3Q3XC
jJEXWl3DCziYo57UCWRGJjTSikDJt3b2nOuf4wHKFV61gg5ZuGeFZaF/BDJhIDylz4aXS93WFjaz
an9o6SsDlaEDCrdiW9s73TjPdNs2QNgl7hN5LtlWVUIMTnrjk0qzbxh9/gwuvc19R7oNW/hF2Axw
ywGkgLbQtSNR0ltGgho/hrreyn70EzvoqyMun/FV7zDGvWJu4QAKkV2MHgjlB5z0a3MoLjIw8uHi
jnMERdYrdJNWtbmSay6cDpGmQ+UBWCYVSrvXVgZFjedhaLHNE8IVqBtb7jdrU4ULO4cxFNwtyO0s
5GXSzlXgq4XWLQL+3Ixbrw3y/gsFShc3Zz1tpuln4fx9/1MtZAegAUJ9G2BdTUXzUlqWZgwmLzlT
IqdqRxY2iqblvoJRmcx3Zz7+sHuWQsZc14rPChpTXdAAvsv9tuXex4EMwoHBAS5ab4JP5nqHrbZv
FLe0FJAeWmjON8330ezXBg5lhiC8j2FFXAh4GqNvevOym/rRmyoDC3ZzDMQXB9MpNxhc9Y3JDTy+
zcuw5Y+ukT1hZGHbKZjX+jh4ED9BIHkB6wITmvw0gkCdHaOxq0SDfkzZVyh0uW3wUSbzfxZ6YUXa
zppNmUU8R4mU+hvEPIypRNFwd999bnNmrERUgpCgoGMlH4pO4Qz6Qll8RukkyXc7Z3hNq830Un18
5BHFGYxVgt0FKD90SK59Yx46bZi1Ij6n8Q7g4U1WP3pzGnTZX/cXtHTKL+1Id4bT2l3L7Tw+0xTA
t6k5NmJ2r165LRZupqvVSCE7mZs2tmxsW5rOaI4cq35PLNsvqRP0a59o0eGhC4vDDZIa1ZaVKZqx
qTvNbePzXP2VG2FublLN3RuK9myZB4iebVL2bOWNP0at3hw6MIOtRE6ZaO/dEy9/gfTx7ILGtaBK
PX9JbDBi+oZvD5siAr2L49MsqBOUjgJGglNQNCu349JO41YW9QEwliAXvPabRs9dXEd9fDYzn0yh
EKtVAxy4cVo5CUuOA75dPHVQFkUNTnq4zwqotBXbiEHo8VTXodvt6LDimwtpIFjp/piQ7jmQl+oV
mc34LIqIisF82/jk5HS3Ova7dAu5mtAZcQRm6Ia2rShdhyaMnvnzlBzb5NfIHnjdgOX+e8eeiJqs
ENIuXkIXBuV3Dog1mMlUTs+lbfv9/AvahWEpFkhoMKunSgOfVXKu87RdKfMtxS8xnwsqehSp8IC8
dg/Rd3U6CE6fM1ZvM9dCmvR1QBt5MtHTe3TBTHk/vCx9wkt7kpdAOBf3ptPSs9dpfjtFc0Z8omym
tUGO92lL6VGC3jiSX3Gr43+khTVg+xzbcqBnPdtb09e6faD2z8GtfOacADlDKlzFj3orhrq1+W0s
X1pl2xT9Lvmg6O372b/8IdKKnYSqGGDR6Zn1YFV9a/UvdFxxn6WjB54CjDgBrwqkuRRechB5zxQS
vucafsKJHqhZ5fN+rVu15CvoiUFfQigyYFz42lfGTjdSz46TM6cbrXob6+aLVuzTM3f498z9/HFH
uTQmnXWXmiwbuEuRvrtIM82HTHumzNdbHv7fDElZQlNoQB61Dj0nSbapp19aXgYm2F24sibCLu8f
JtAESQ+mDFDwAWmdfLVynGaDpEPUlKGXqttW29TNFsysGzqHHlm5Yt+P7uUJkM1Jd2ynmSnG7LIh
MnHjoc+nlxuN/pidn7F91m1t405/T8nWSlaQMPKFA8wQSN3xTHifVfRkqXkdPLGWRQw1mlmzBb17
6pvucGbQoguqNjvwRP19/wMuGcRrCzUi0a3FaNW1WxYaY72dFRqQsx40b+19rn5xwJtLrCTokw+K
uQC4KTRsoaom9L8Fce61NX2onGYwai0as6QMrNb5QUp1S5j7reunCDIoa48C+S4CkzxeAxhgxHsA
UBsZMOAWddXWGIGIZqj1Or11Ko35i6pUR9S1gzjvnqEaFIIqbKUWItz+0nskszJ4YEocEB1lMIvE
4reHJMVT2y/3P9yaCSlEp+C8wDOTov6b6cci51s0PFcOtxwZBfwBQHQU2HGMwAUgfS1Wx7TunCQ+
e3EBNSVvh+tin7Cv9xdy+4murUgnzbS9pCc5cnN1zH0MEwWl4QVQlM7z7EBRk+DeIxqRL/eNri1N
RJuLYlWeFETvOYwaHWZaYyBBq9BrtJXTLDbo2g2wNKEKCxgooG1yBXHKzLkeLVgxy9Y3WBM44H/C
NGkO2Yj761mzJHkD8aZSyaYyPnPliOrCqIZjtcvW2uqLuwZNF4jHoVIOxNn1rg1W2Y1tDSvWbGxK
D7wuUHhcu49v0jm4nVAdAboHxxaVf8lKo9RQOBiRCw+jA1h9rPitg+Hj/Lndlhl9n3nOMD23AWdE
dH8Xb88ULMOJkbaiGgYhuev1lXlptmUHvXGTghSsK1O6GVPT2d63srCLqFIga0SuAfYJuXptl2bc
EtxmZ08vD+BQ8LkWHzJ7hcZqwSOurIh/v/BwEKjpGQUQ4qy5bkjL19o+Ul5vlWZllP/mgSg+F97v
eCCi9ISyk1juhaHRgL6FWSCxMcj3DCpMLnU3VhnV4++GfSrat07V/Mk6DCPGMvodACfh/e2Ub7B3
+ygIA8WCTcWY27V9gOkBhI3LBLektqFWsinH1+kFCP217Hvpu4kJAIHNB6eVJZ0xPS7c1qN4SaRk
3pW986j2yt4xV66Ope+GQUQIDQnsD96e18sZgR10czomZ81KwOziBDp5alXgn+uVt+2iIRdCz0jm
AcmRpWS4XTKnc6fkbLm7NrcPiBkU4njOSFYe8EunChpuqKKD7gw9cHlFcRNnZa8mZ2LQNxIXGZQI
4jUZi5uEDSV6aHUJV8TuwQulrwOSglKBMlN2LrrXYoo6p97MGj/k5tbNqi3gH8HcgPq98teGgm7m
KIRlPD/RPVQBmsGJvv5iejdBYM0w0rPiTL4Vl/7s7lQbQ+lPozLvGyfZOXXQJQ+m025V3mxY/o2l
5ub+KbjdZAAIMZ0Cyg7ETYAjr38ESwiplYRk5yoqz2vENTclGCwRg++oTqAX/+6W13+9NIdaSZ04
P8cFZhkOXnXIyHnsulPSZ3tPDTPg75JPzv8j7ct25MaVbX/oCtBATa8aclRNaVe57BehbFdpoGZq
/vqzVH32diZTJwn3RXe7G2ggQySDQTJixVq02lrx1i7GBzvelZX6hIgjcKbrTYhWTFSD8erGIhOF
O7gbkoBcp5/y05T90qrfwEnWgyCirZmAJwHmB5Qp5I84f00gQtTbwKCfmte6e1Du/hqdhtkE/88f
A8sHnEXMOM70Um3K/BTquiPVRygQTbhw36VI1N/2itWhQDJjUbID+Nfk3oFTGi7av3V+GrpxP4Q7
oyzuMyL99eUDol2LmpwB3AnAzdyx2cxtwzqi5Kd4MiAvmDtq9lMO68d8+n17OCtXA1jCHlsyE3hE
8wkXE+If0RSqWJqMuUmdLRoTBYhW6KHsmKtMqWsQXCJDESpubQNcGOZe73NkWJOUwrBRneKhdvry
OSGHaiTbLK9c2ktehX9Rl82ehoOnmz5wdYWUc2ufbk8B/wxefAfUaSh+g5oAMijcioKUCiDu2chP
dd85UQpG1eFrOewNhB5i3k2ohf8Le5/3f4CTAenlBm7GmWUiKYL9pkzPpGpJ42RV0SDVOhr7QVNS
d1aKbANhul7wBL8+15d2TgR0lJdwxeDh5FnZSyOYdEAbSLqDkeElYHqW7CUW+TZKo8DYWhAHF5iN
g3BJeYHY6nJP1pne1E00F9gpOS4rgJ08kLRKvK4KvVSCYGHeJu1Gz0nroRNO2pYWFLDCemj2SpnH
u6idqGeNRSZo9llbbhRnsa8QMUDFxIWKAY2PxVRXCOl2Ab1L/Tk3sr2WhfupCu/r4qFJAV+8veKr
vg6VeECZlgIXKtKXU6ErLB67xChOpnI/vsbDFuqKrjHWWxR+62jb17FT9o+GeVAV5iwgGfqSHSoR
I+HKgYYyHpqPFgY/YKo4Ry9r4HKisChPTYSGtlmrLV/p00lwnFxfgoChAuIVuWpklq6ECFqF5Cre
TuXJ2qIc9JKZnixYwbUQfG6B20CaPjXqLMNCjCtIov6O5yciMPHpnJfvzCWzgr4fNHoALc7rUrOh
VQekd4rTLNsOqjNEeg19dfhFttbUOkXlkXCnxrIzFJCgOmTZGzjShmMIetv8Yypfi3vQM8yjP7Tb
AS8uXd10Mqost91qZR4wxRAaAyAbHbyEm4dW6tJiVNCda6QTVC3Y74qAczRuRHnWq15lREhUo9HP
CnY2a+FBvnTfOdc7pSB9gac91LnNyvKSVHaBCPc7/SD/rJKXCtXxSndp6ElC8MKKQ11Y5+5hdjHP
QxEjLy6Dr8q6n4d7STnQ5O1fTOby2lmIy5EkX3IqZzeIxIC4KgCOCAuhhIcOddqaeim0O26b+Uyq
co6FVPXyCAdhBBqTuUu1XNihJMUIBdG8Y1XsSNFDj9w/gwIf4FZDetdU23Qe8IItXds6FckGGETQ
oLkqBZW6dUifk+QhGjft6CpV52T2uC2sQAmbgzQInjMr8WJRZQUfGqI3OjSWSHo+Je0A7inVLE5Z
CRoo3UJPZFdREShobXmBBVtEZLDjIBJ4aaWyx3nsDVKc6uEtGuVtAsbmRW/C+rg989dJMdTEF5pP
dDmBC43vi5aVjFq0zcpTbX6xAXhN2IcVUncCEM3+OWRPQ2gI1nrluL2wyEX9dGyzNEbp42SBT64u
vDotvIp+qHXu9VIiMLa6SUHrBHQ3gNcAQnIOrMRars1kKE/T5KblgKV6Kc1HmzGvaVo3SowXENQ3
PUHOgjzViSA3svZYxI1iIUXC+QLwPB8jMiDukIbBXa6snGIYHTmJ70Kr39Sm9DhU04+ijCCF0X/N
R+aEM5sFx86as2JXIQsOOjNccThnjacEen+ASZ4KOZQ2rK2LbxOTZEEqYcXKwki7iJTgHQORmUtn
tY04S7OaVqexZqY/WPO4z9NGEVydVlwVWRFcnvCyX5rYuLlkklHbZk+qU0des+g+KaRtKCs7JVE2
dmW65gAkRP/j9vZYGxkeu0vfJl5p6P26HFlTl0bTKWV9ymlruVCM0Ny+JyLa0ZUtAQPwDjDlIFnH
a1Zmc1xEksTqEwhSvsqZn0T9zowGNzHehUiDlePxwhZ3blQkteoS2YGTPqH8OJNjzKaDbg8Cz79e
LDi9jJQZEERIFPCgRr2AJDGri+Ykk03XjdqOqDXZNGN6SNPqXk2aH20rqxvTikWtm9c3WVgG6e1y
1QKun4fgZNgIE4SDmtOUH0poYHb2PTJBUko9zT7Joajj53o+F3NAICwNt8i98x7Sq0CemUZzyg2P
9UepvAdoRhDFViYTXwzwGhISqGbxbdfNolBpZ0V7Uob6CADcg8V+0OQIAskNSnw/ysTXhNeba8+H
wiwef7iY4yGIrsBLzx+aQa1NlraYskrfTEOqulIHgObt/bUye+jCh9rCQhm5pCourfRGU2RKZnSn
xvwl6U+FXkJx+/W2jbXZQ+uNaoIIHMAiXmvXHmidmJXenVJN8eREwkWVxoeeZe7BUK0PWkUAG7Ht
baMr2Wrg0qGlhH4CJBDwz+XIyqEwGKVte9Jz7aFsbaAVtb3dRw6KP3WsBzPkXClNXzsae0aYeH16
n2ZMEJhX8hjLVwBuACwaiq58/M/nLEnDrmxPUEbwjNHHQel0mc+m70S7VyTZKcverdETIBj9yrpe
2F3W5OySJFGrHoaxbk/dx2B5FnGodKrIrpg9/T5+Mf0p9kdUpzTHLlxT9ExZOXUvRm1xeaI8mnUc
urAuJ/Jb0/8ehi0Ulp1RYT6i+MR2INMCB45HcOjeHvh1JF/qSArYEAEyhDoZdxKOSG9CSqiB5eK3
ru/VYU8rVDQ7Z2bMv23qMwN5eWe+tKVezjHIQCnFCwAetnAybavwoSUvxQAaA4hggBl6qiWn+vld
Gx4KFiGjEeT2LxQhm8EfBW4mGjX3hCYT6vos6tuTGvd73QYbxLjN9LdctYKJJAJjK2+FZdxIhSMs
YT75RyhEGEyQHObtqTIy9belDfIB+SIbYsCl3Hx0czc0bgKNy9mnIHfoHCtMZWVPm6YoN6QfOn+G
tH31WLcoUUW5Tn6yIq0yJ4HS/ZcyL9QKxAx00P3ZUJMnkjYq80BRT6WtImdVvo1LvZP3IzNSCO5K
RfyQaEMhYozn1Rwt4BBVpGKQC4SSCpIynAuzzqajqk9YXEf2y+24Sx+0nbkLD7Jf7SXIQDhDtzWO
X8qfRuToe88U5KZX49f5B3CenDTa2OjF3J7a1yrdECd6Uv2cHsfx1yzv0hqSlvum9qgiuLBev3sw
bqj8LChQIDcs3qmrIaVdjHF3SZe5lRGGTqcW+W40w/6bmYfRSbCLlom82kVnBnnfpUXZ2KAZOqVj
7eRJvVOBwzHVPTVLr0XWMR9fcjK7kqg9a+V8RYkDTQf4ExlWnrwJ+zSzKkVtT0muai6N6ODo/Rxt
bg9vLQ4DMY8DAFzuC9f1ZYyQ9LZpZTPrTnV+bJPvofquaoKb3koaDw+MMxvcTcEMI1OOoGV0MvRX
uT/V2aFv/MEv62AAZQE7AgjDniE+elTZXVO/RQBg3x7karw//wLutCnUYY66gXa4pR/iqLtrmObR
5j2m6In226Oltcdm6L62VMTVsLaIyP/AXZeeefAkXU5vFTPVlpq6O0mzJX8pU1xf0BkQPt8e36oV
pBSQiUeRCPnSSyvgqInqSm26k66X8j5TG2gGo5NYAE9ceSojq4cLLAgggMhEeeXSTNj0aVhRrTuh
d29D3qDn5Zauuq9eNLe9L4jgpFSXjcVvvHNz3NzFWt92VaJ2pyFBy62ejBSssWP3gwxG7EEruAuq
Rpof0EqIln1NKY6aESIPpFidC8KexJ/nqPWQ05Dv0b6dooKdW/tsLPqNHM/DhknowyVqWL/U1M7u
S3kGvXqUiFqIri9YAPoveHVUD4AMuOLin/D0ISyx+lMuVfFvrYY8dTE0ymM5REowsypEH7aWgdkA
Wg0g4Knm9qCATfbXbQ+52ub4CjyzPlulwbTHv7Y6zezZlGYD4OPaPgEvSRNH+7YVsSVdOeJiBm6I
HJ2GZmy+9C3FE4Baajdgp+vZa2S1xghelwG9DreHc3UIfNpBehl8z0tyiovJmlTQaJia4VSjCu1l
Wv5R9GAEJNkElaqk9G5bW508kNr9x9oy6rO7qppaehHhwnQy7CJ0bSOT/DkDy3uDRMnfhuPPgaHM
tHQZo2WWO1QLWjdjWLPhhJKDU6vhIct7z0xmweG9vk5/zHCHaA3QT6qBN+sUW/pXtLaHB7W3Y0Hc
X502EACASFhdbitcVErkbqiSuMe0pc22UEbfqJvDYCn+7dVZ9YU/ZniQVmcTavVoKz216nvbHwZ7
cvv0S62OAjuC4Wjc0ph0rnRJx9JY6FQ2Uc1IWecYrUiLfIlqF1EPeSTsIaQjge5B8yEXZCubqgkN
x+Ekp3X8vTRDMJrGTdg7g2z0PgFGHCrs6uRBWkyURVgZIeiyUN0DFQXgS/yLPqugYmDm2XjqJOZa
GR6CBsSL0TV9e8HWRggCVUQKqFuA7mz5jLPtFCsJZk0pRySz/IqcVDY5STYqbhNjaJ0FmHgu6txZ
8ZGFOh+dnIBr4NLMTapaMXAIQuMaqBEtd+qmKx1TTt+TuERvxthOu9sjFJnjTi6r0bQ+NYbxNAzD
xjZn5rTgD3CqMB89PbQE5/LKZkaDOxwG2RH07F7Bp1q1KbRYHk9Flu+I3G9R3Ppb+Cic8twEt5VJ
pw7gi1PHk5F9I2zwmHRHyVsYiuRxVj3wz1A+D9Mz1yiaDqhsVRtPNPsGURJfoTV0SCZBYOIvMkjC
LWJCSLjjvxYpT84dtLkmapqH0CftXuWlItQg62cq1VG140OZy66aMG8R/wGWz2IAk4SN4Ejh9sDV
F3AeYkd10iZEKoOObCCpTakeO9RgDjXzYw+27VlEucbN7P8aBFgFaBUoOvJXRCKjsxhvpTIg2a7r
Q9Rbd8glu3/l959GwJwLTkHcdnFccsfyOBcFpAXSMhj139p4DEtA3QwnEoF/+ev8P3aWgSAjDhQk
r0cu91E800XT1o4yz1JfbTdD2U/RHcW11a36sy+/tLGwUsTt6k+rsAePWW5SuN9cxi15Ist9k5RB
9CJJhzRguZN+lY1NXhSetoXmklP/DqHZUG/ryR2Jx7rN7enlm6H+9wsgO4XQCeAN//aVZwKhL8mE
DvvhoXbQJYF/tI3tvJbOZuHOP1RvyWv97bbVNVcFdz54NJAdBNZ0mZazPakhNz8oJmSUM/Clt9lD
0hEAb0o3T9CVf1dF098dD5+DXCiQgLYBjvfqbpcPTO+lSKsCa2yfy+aZlMldkb0WKPqakr0bWft0
e4BrW2NpdlGAJgeSi8cDKBUIKe0yrgMVkm33gzp1+2wwD1kziQpUfGbqn7GhH3HhGQNGWOPuXQpF
RqMxkzpY1i3atftoF+2g1OgrmwjlvW2xr/bWITq2e7ojbrhr4rsoC2QPiIgAtB+3x80/Ta6+htuu
SjNTcKSkdaCV30spdUPrNQ3v0tDcMkPaVLV+SIvW6UVazXw+4Moud59mxJrDSYfdcRw3BFXd3HIl
2wnB7h07CnWtWvLs6DXKNsqpn8CnCAXE1u1E22mJ8mc3reUz0DUPwCxySbhr84wBvZGGBbJJdUDt
wUvNuxR0TMrYOZoeuUTEbvHJunRlDZA5YJkgsnwFBrEjsyXg8KmDI0grnPqlDSAo7zSbcodmTefH
T+BenNiL/Hjzz1/Ufe/d2Z08xQ+dyNVd2VPc0Z881QEkRpAyXTsRF9w8Gg8X7DDYtC43OZ36fGIj
5oJ0s2MjuejMyfdZHx+ZOe/lFHni+U6yuv1AJ3/Ss11bmwLUxMpqaEhk4jWMBx0Q2lx0hVQudGmG
nAV4PS5bPXKaaR8rD2nxl0DCZd2xzxFfrEUSxOI7nBMSy/OQ9ywYrPtWGj0tu2Ny6xbzoRl3bby/
vctWTg1YA0YY5xQYNz6zHGfhMzUHter7mQUMLA3b2YO0Zy5KFV7vZPgw8t0AnQAJgnIOF6N1VsaU
5VUcoDNVzXqP7ixwQGSdl6mmk9ReX1X3ofJ8e2TLilx49GJ0uRcuwP2Fh/3SZxKJFrbeDnEgQzLR
n3u1CKQpLn2zb+hdkauly1SNup3GHhiUAgVX0it/QVpl6b4EwxOyDdBhu7QO3ipjLtEvG0xZngaD
qQBGRfIQvVNmc4iGyHDo1OWCaxt31TbRQoVHC/JfAEwsXR7LUXK+mGOFlghctoNSld06VL6PrBex
gF2dt4uNhckEDgMn5c/bkLBuBMV+HMSxX+i+TB3T3oQbkv2I/pK+4Z/hnJla5vhsOBq1wFxbGXEA
V/mSaLVjTI96f5Jq8qgUp9vesrJeF8Pi1qsECW8HHck4gG5HVH1RX6PfYb+QbN42s7YVFlA2imsL
XhftQJdj6jt5QrpGgV+k35rOcEl8b9bb7Ig+j+yYt/NurN4FJpef5DbChUnuPIvUXtJyffGKajxB
OBb94a2bjLpnTK1rRZ2bALDbheOTPEaOYbozec+pSLNpdX7Pxs25Zs/axoSWGz7C9Eq2obv8Dggi
SRCll1+5GurSow6VHhsvKG6oPQNd7gSJk4DFk5Plswtm9JmKWOSvj6NlD5yZ4QYz0bYooD0Nx2Rb
tWy2Cw+6raHAljwl3p3SeQsad3ZyEbr+Klhzdrk4Wqr5INkh7Mbqe2zN/jwSKJ44edMKotf/MUKk
xXQL0IYrFiZ7RkWkQIk/oBaJ/KQiiYMXROLac/lFSSHik9Piu1JNv8o2yV2ttCt3iouvWlcagrN/
bcwKUsIAIeB0QlP05YahSLsA2I0xU7U66KCttnrfHkDnIrCzFjvRaYikFhh2cO3i5raz68RgpRUH
Oq3YtivVb+ZARLiCteB5boSLaGleKqk26RhMQ9+NwS1/VYRCKyJ15aTyDAjZu7c3/+rsoXSG7DpZ
uE65G33HqJagqA9PlR/p9N1Gg5VpuK365baZ6ycvPFMFlhSAk+WWxGvnWTr6PlJ7SIKy92Jzq7SG
m6aHXu6c6QsosieAbx5V0BffNrs2nQuwDT0PIHNGN9ulb0QQnyz0ZoSXyrsY1YnSNX+C30YuoeMt
apBf849zW5x/DNCUokkOW0pZuQN6WYR9hiILnHNAGEqdxgkWbAXloBT9I93fpeI+D1SUawEmgjQr
CnJcjtjCZU/N2JwEiQNIt+AmuRZ7z3+cc7Wsn1ILWiRJINeNOxo/dL1yCybAM66en+dWuPMTcIq4
MPplCCDb/gbF7d0va5P5hrO77Vqi0XAniaw2uiRLWIw4eiYdciZyDfEwUXFgfcn/LAjnwFkIVNxE
piSY0d2cdE85+f9ccc5rQ2KUVlpiukI1cov4iYF17vZEiYbAea3WtFA2nTAE5EadyUaaJxF0bazF
MBSccOUEHQYSINxFHkx5MVUtLEWtmG6tTn6RWmDy/VGLWPdXw8mSPYNIK9Ra+QJyr/eMILmPLW6R
vZ4mL7b2wLQTzia87pW7nooS8avHLLr0/mtx+aKzG+6sklqv0JIdxI8Ssipoyau+ZMfJ001HcY0C
3XOC82DVrc8McnM5yJOZGkhZBYr5HNHcr5u7wRAZ4cE/n3EGOQQQH6homsf763JY4NZmTc3kJFCf
QDSlHOXMIc+Rb2w7nx7zH/oT2WTO8DV9Mw9ozNvX6Uak/fQJOeZvgngGoVa05DOAU7n8BFZL+ahC
MyHIoG31NP8CerA+2uFhrp70DISh2gtDFutB+oWKsGNq3u1NsXbbPbfOTQCLM9R/NROxkL1pveUm
YEOT6ztreM+nf3MwIW2Ot+bSHoCC8+VI7biMwUpKli1u2E5Jh9wDd4MhGNHaNsftCzlWGR2sV5qK
oNrBDaDSksAgyc6208M0iTKra/t8gXguC4ZEAU9nWrSsWwgFENpl2SGgAn81ppdxFKRTFw/nHWMh
Q4aMHij6rxS7BnBYqy3E64PE8uYCQAM03ZDObXUnG4gzg09WizPBrls9tc6Nct5INWxzApRskE8/
ULcZQtlptvo3Q3k3omljdPE+7F9uu+DaOEGdgX4DkKqA/pk7jtsQ1B9haicBbl0SkrmRPwfWY51v
/tXglvwkutXAfoir5qUDgv3SKksWp4E5jngKbcFsZU4JWPPQBhU/xaPmpOBHGkT5UR4/+hll0PSD
rkfkSJHp4U6ekjEIiLbYZBpOHWBwqNPlkC0BhgkZ0jq6n75JykMd1gc1fJqIq/7M9329ad5T4yvQ
FIJj8BPQyPuV8Vm/AnMDVCa4r5EsO2NQnUmCyR+/AMf6ZP2cN90pegLAYI8q2g4T49Ggf2oSN/qJ
AsXt5VaX9bxlnztKEsucbYioIeCVTnine/qv8XH0Emd4agsn+aFs56PtSz5wtX14H7nTsdhnO+P5
9lesOt3ZJHDHi8oYS+Qafq4Oz7WBAqlmOc3sNvlONTcxaghZRAUTv3Zo47RGLyG6ksH5wXlfFaU0
UVNoFGazBjy825ndXY+urNjeRI8i/am1uH5ujLtO2clgxxGFsemQ7NIvHbDKG1EYXH1Lgb4NPYvo
Wl9oAi73U6J0nVR2WRr0GqCxueHqRvsRAWIxEe1Q0fpxuZZqNr2Lwu+JsFdjfVuhgAgdHVSh8cel
+bKKmpA1FGN0ER/pU5l6xZf0dYbezHZ4bKJN8oAu0e/lF+m79H0QkoQsb5ArP0bnDfqjTJRp+fU0
1U6ZIx05U2gq7sGVF75Q6tSv4WOIZrvX37f9dfUChtLhJyUzmhR5RFjMKki7RiwNmnbcycPTcGf9
SjpHLS1HGp7bxtW9506QXFndJHBUNPShbnmlNmAi7VwVdp8G3Zu5656pWz5koG86itjfV3fGmR3u
tQdNgKLq0yENdP3FnlGts0BFFRDyJu37ZhTEn9UjbnmD/2dU3HljqHBaqCqmQet9IC31NfS6YL5H
wVKYQl129JWHoDXKRM0CxW6+mpDPrR1SCfNX5pk7xpuaODp6QHaJ5Rv7/mXUthl1yhdm3qkok4ai
BPjaNWURx/2PeW57FtI8AGaKgW7Gn9oWPZg/b/vkunv8+X0ukFNIo0COAr+v3pHJsUFUYRd3pvkV
L57K0J1aYO7/WLg/9riYnY7WoFDAIoKCae8QQNwWVb5vrcewNNxQ34fjfQQR90z02BKsIl/S65UR
Mus5zGobGhxEIjPrx+GfVeLl2soCfUOsxiz2m8kP39oN+DiUPXuRXm3P2kaHOHMy2Zl+hd/NH0Rx
5Ltpk+mO+pe0rP/cUc4+g9sVat+Dy4vhMyKaOLL0o+8fmlqUE1m7m6M9Ciwv6DlYbuiXEVtKY4TM
ZevNXnT4bu4mVz+23xI3PDZPyZfaT7e3PXQ1sJzZ4wKLTErwOCVTGtBym5OFMRI12ZM23OnTQ6kK
75erJ8KZOW4OdakBy5AFc96sOmnv5E9kO1deHZjU1avHRggk19YCzJnB5f+fvcqrDrSpJMJ8Dm7u
T0+4SBxY8Ht2I2f02V7E+rW638+scW+DUoNenSp/WqsC1SXu6PQfuvtxe81Wo9aZFe6apHWQ9bbQ
vhrkO+sR8MyjqG31GjaBB+C5F3J3I7RHFkWswUL3Nh5xF78bj7lf+SnAR3TTbjtv3E4nWji3x/WJ
a706Dc4GxoXjOS/wLI7hHWSr9C79QZzCYx6gasAl0IPts8qpv07QPvkmbeWd9j126225g3aoD8Zm
L3ZCd9q0/yLrdj4VXAifh9ooMgtLGpIcdnQTFAt5JwIKrG173FmAivi8J/EFbtBMAPkUS2mQALQf
hxUyDIKNvjq5QFWhrwJSHMiicANBigf1icTG027TS7j/kcNwqLf9b6jxBuOX6FgENjI50BrbsaDa
th/lK9vmXzW/9bt951X30a9qK0ztLPudX/Hzj+IOLC1Ukygb8VHSQ7NR/cpjbuskfvymu5VLNrf9
i+8j+4zgZ9Z4/PakJhVI/8LlICFu4iZAtf0qnNwtnGw7OZJ329wnLdWNwfEw7llF+dLIMbjOL7xh
N77+VjYxHDp+GN60B9lvf87fGj8/6FtlFz5UOLbSO1x30E63i7bts+WMO2mbA7Yj+K51Z/uvJ/CF
pCRLOi2U8V2efCc9SHvianuolORQQkUX/tdkRw/Ti7Yr3vDoOxhH4GPMp9g33eodwmAMz9Cv0S/N
lR/lIHXC+1jgqDwr1dUqcSGbgcxGKilWCR25zku9/G2632dkUQ/vQgZFgQNqXMS2IBVWkxTG5IPt
JI623bwqDnFS/030Fly7JJ07Hxe1dT0CDGPZfxl577JHrfrIRanK1bh9boOL250kp2hRWBwcUTN+
kJzeSZ14M20ib3RBOuCk25eP2960+sY8t8kF7VJrJN1msBlZ06bqKjeBYlIZZts2mnZVOB+kju2S
oQX9dfdg2fF9P4SbKhs9aZ62mlL7kWI9z92DJKpmCGeDi3jj1KU2m/Bl9hcKANzka7vOB5ejU7qS
2/vQEHgtDiKZttU7+Pl8cCGtG4Y6HmasM4hyTvMOkIwn4uWb2msFd8W1y8aZIb6aDvai0JA7DG/w
0cJ/JI69Tf3BiZ9uL/Cq39roKAMZ20KGyY2HUSZPUh7RgCaN1yjb3CzddBRs+s/T5ypW/rHyOatn
9zTSh0wvJXRJKs0+ST+UMd6Z1s7Gq2mc+scxqZzYsF21r9y06NxeG3ax4ubh5LaAuGVz/nUAUVvR
tVstLDdz1aLIR3a0lvwobfzW1B5subkL6+yLDfmIntX+7UlaNhb3+UDeLcQGIFAGfRF3ba+UAaje
vI0DUs1u1TYO0WJXjZ6LQbAaa+5lAeKHdBLIza5LBHk7knGkJqBwbb0rreyBNZuE+ra8Velzp4H3
I4KmtSj/sOIEuDqAkA6MazYA97wTTFmDFx5Lggjgt6aPN5qB23M5C4AbAjN8vmqKCGUdSAeDrD3E
fepNSuy2ciY4mNesAMK4dDqjhQWQycs3ARayU1KCxBuD//id/C4s1a64AxCSfywsX3DmzbVkly1h
KKRmc3EcSv2QW+OmaaaXuRO18S1BjPM8SK8qYF1BqRPoRC7kh81cz5OKqrCagWMggUaDAsGicfa6
1B8Nlm37WNSis0T0a5NgBFu4x66pT5OhB2mrjfmDCmuhjg5kN/y0M8B0VuyAdxBko1ZXC9qy/7HG
vVAVk42mUgKLQAavNd5o+DMU3YhEA+JepcByWqyT1CRozXncoofcBkmeDTXCfHzv9Nh0UkJESf5V
m5CZWXodoO7BE+4qMVo6pQylPqV15fhu05nbet4UooriyiGButgfM5wnsopUalSidlo36gniNhsl
Cl2plXbjrPg12JMXbI80yoKn3OoGIEhgoBcTMpw8OiVT8ybUmQ4wRDr8GvV5a6uxN9CsdCnaWG7H
3tUdgAw30EqIvtAEv9xsRslUyGRjiImyr10NaFnNrWan3oSV4JQSWeJcUSLGpLECdRm0UCnRcxM5
qhak/tQeRZrWq95xNibOI9GW0JZQIPu0RKGulxyswg3p8xD+m1h4Zoi7bMvAXBGLLoZSeZuWh3am
vpDnay01b4GN+b9LxEXcoe5tic5YItDabhNV35Rvcb81wIqo/cjybWGinGbETsQmlzWCRVt++ypa
LcSuUHpBRwT/6EMzoWToNYoQ2vw+R0+jqMdE9PucU5hayNASjN+Pkg9d/iE8S9Z+H2wOMoqjIPxX
jcVVzs6S3mKmPbU5TquqfoOu93wYVbsX7KG1/XpuhLsqt3qelXqVfu4h4L0oOoBS8mh1H7e36los
R0vgAi5EAuKqHEamdkgMqCcFjX1H6XujSoK4s7ZvkEBERzHq5VAo48Yx6RYrsg6ThdyV0UxbGUIa
iA6Okh+kVPjAWF2aM2vcrSimZheCaD8J0hikxY4Slq03xRHaaDIIC9FO7f1cpu3XMmVPs9n0S7vR
cN91he4NSs68oRieLTpngsUUfJbOBURrbkozHhbsUxJJ7kBAe0cbWcSPv7qWSFhB0AOALiSVLv2y
YfXU9kYNwKY2ugiF4sVcO7vQnvdfC9zO6rtibNsOFoBZ/lJmdCONIdiGBsfo9j0hTqWSQ5sIwsWK
B6FXCwSIePGA1olP2ihtrCzQAJxchuS2PT0yVj12newq7dIrFEe7v94SF/a4SG9a+VjXNezBj5wY
LR5mdDfV/+I8vrDChfk4zvBAUWClsu/IeJd1H1ly1xmCF+mKS9jo1FlaKpeZ49nLiU00Kte40xRW
uMv0dI8GMuvvnRtkgCCfAX+eBl25S6e4PfdrCcGLH+MmvwPwzaAE5xJLu3RTRMmeSXH0yNrSn9JE
cRIwMm1Ks/ygPaVBatTAnWnRt6nR5j0bO1Gr9nXXLYiiAX4xQGmysCTxnBxGpCckz3AaR3Z2LIz6
IEdvFQ2/QWhuY8eGY1RIwGto3ZydtMR5aU2OlW1Kqm5NSo8ZGb7LqfHz9iStbgggwlS8MNBa9pn/
OTt/tMhu80zDHEmSl8y+fqzBEAsBOlEqTmSHC6ZpWFetPOFyFVfloc/UnTz3DtgJwTWvHJu0FOzz
lRMPl4H/Dot/scuZkesDhL7Q++sAZteHHqhJaiZ4vIisXHrr/2OmWeVTjAXNHTl8fKXmSyiSUV83
QXT0piES4xF4GYeVVG/DscG8qSlSs+NhAEnNq9Y/3fYCkZVl9c68oI7NmPYZrEB/doQMRQAqbGGU
Wjm4sCZ4U6JvEk0/PFlCzQhJuxnos9qyOicdddOd6CiCd63c4i+scHcE4GSsgqjScgk5mNbgEqZt
w/lx0RsCe5PbJofbU7fu2H9GxTm2BuZS5AMSFOX19pga1TPNflTZo2wwoLgbgcPdHJyK5pfLdYK0
IUEuFqimVFMdxaTgO8kc+bUrH6i60EEJ3GI14oNcEpUrGz2nfHBYyGiRGsLYIBaBc5J9H9Ln27NH
li3C3d8RefTlBmygn51nqemJNZZNjRHZbZT4aW7WXgSmXneqqeRMfZF+7QpZB3E1zfw6rekmsurX
UWODY0sJcZSKhS5uLxCVbOuPaQTIKopjzZ2TPnexd2x3Hoc3PWMdCN0LSMdD08LM0/AIcKvlsFiL
IrR3hkBvQBrzxYY0htsrUfwwg1TLK0t0nVZ1ZjlF/T+kXddyHLmS/aFFRHnzijJt2HTdNKJeKkSJ
Ku99ff0e8N4ddYO1jZgZzbwxorMSSCQSac4B0BySIqWjTcZ0kCNARmhSYXpyOBJaaI0BqAZV9a8v
zvry/1kbzpQjqwZUUBImhyoa3SoaXBIKjHf13GNwDM1NmMQDB92lPcHrWD3Ssshm649yeFBncGUO
VBdFXWtpTezyHzlM0zP/YvSZmZQS5Bj73PaygBLdCTTEyvv4J9mppWDhVj3NmTim9pm4cklQiTBh
VNED7QWIV6Il41wlCJw6JZDx2yU6RrX7Zr+8Xd91kQBu142ha4xyxlqFSeA16nMzmk6oPEzJy7+T
wzmuIlPVChwLKH1n+67ZWOgIbm8lRXDABdrYnMfqS3Dl5SqWK3ju76yH+EnErbjqEv/sNRcx/o9J
hjIDGxsrw8oxbSXMyW6j97EDo65gwVY9/ZkkLpxE74KqLDkkyZmPMdLe8vAuwrilJJqmXj/3f50W
mwvnlVCdUTqHIBN12SmmQ3SLw0Ovb/+qNihlAEVfBkwCH4wCfKnH7rPtb442GqyI0eNUWtT8MESQ
Fav6sOc6/iHPwccwLQmLspgKNH5IG4S/VJ0AnSXqI1vVBwDfrP0BDX88fn4GNAMS63VysEZXxeBf
0Zo0NyNGMlgbgntx1eaQ/ETWGiwEeK1c+he7DoK8LJEUanMvib1p8NGBV+YYrPUqUY/Tqi87k8UO
2JkvQzp+TEgPWVZD0ZkWCW4A0c9z7kxZhjzQRrQw9z2yQm2qmW4fimBFVw3gTAfOpZFazRtTgg7F
dNfpH3q5B56fIDRa3X8AjmhsshUQY9xVFqLEgFcrEkPIuEcLRg4zmTYZeJ2kA8hFrp+d1fsMCHew
MjQGg8KK25Sw6kkPOmt0fqJY4s3DcmeOtbQJ20J2w7mPHQyn3WrWrLlzP1V0suRK4IzWlpSVbDEw
jHYfJOEvzSIB0TQemSWWdPmVhE/TP5gRBcvAn9/nbgfDiqoibdBuXQP7tEgNahbvtfosWMc1LTB6
xsYqQcyFo3SpBUBMC+Q8URGsxptMqmsH2epD1z1MfUZzpaYFuJvMEh0s2NA0f0x6yx/1jk76gwlK
uusfs/otaKQHtTGD+OPR7/oyMYIpwrfI4GBykROqnTLL7odW9BReFcRAVtCyr6tI+14q3ZZ2oFjZ
jHmfRflYgsL21Jj0boxz511XiW0SH1wbYAkHaCz4wr8Cq5TdFFVmj4GzMn0eKuDczveFtIsWxWnb
byVGGZdccAzXXCNWUEaOCAReGAa9VE6f+nRq2gkvyTT08y043miUOHOoOMEc0kAEf8AO2hcNz8Rx
ZhrlHWgnZRn5tdjcyXb+BNx0NBnINW2kePcPVvOPLL4jY1BKIAIMUM0qXzCuT6OxoYW90OmoKo9q
tLiSaP5gbcAE4CN4HDGUdhsB+uVqFl0dJ0uM8cxi8nU5vSmBlpQdLUCgWnZOs8SNboz4vo5HwVlY
uxVMjLt+clYzlABOLvg6QAmFxEZUx+Fv5OM7h4yl/A982LkU9jY8u9qkxF5wu0E7fUi2lYonTuIv
IHS+vm1rJnIuhQvb8syepT6DFFOZvysgLVeWPWDJnFgTtbmsHWyG7mvgEQBQET7B0cI4Ik3CczlA
umDb5vk7BpUlJ46mf1ADAL4Vnm2Y70Rgw0O6T7WVDwF7IxiL1Xn5AmaPrK1F/HarVvBHCk+Cqsyh
SVQNCRuifmh4kwMWRmBnqylRdJ4AuAT9LhZwfS5NoCsw/Kh2qEzptWej27/zy2eJ3NUhLdUbu/sA
x+v8C9Pw+vwtCQsnW5y83Cki8pK12IEB/2LWFCOz6NK9/Ap1IX1n1hWGgNNdPIZ+VO7q+G4wZl+N
ROO5a+aIscNPzkD0p/BbR0ywgVUNOjqGIN8MrfOWZyBRHETcZ2t++EwMv3eRbOWVKbG+iuc+pcZI
rV/SW5Dcp6Ihn7U75lwQd4inQdXB24rbLP3dvEFUOtHjQjwjcEXjBWvHC2VmeCWQBLFL+nKXrLhl
oRB8/X1zAoCcYNZr1QbOfp27lRv0GGSBjl/PGQGsdDD1byDyoKb+1gTb6x5pTRGA9+nITyNYxfPr
UpGc5EBZYxPaxdQcjVoHZVu31cnHP5CCSgPjVdJBrMttzBzhVzsAAB3yLgF0KtXGkzmLcNpXayyo
+aLbSlIYVDt3Q4ELQWqnDM01U+PVKFqode/q9lNqWE5e2DSbt3a+MaINUE5ooe6JZPrX1Vw7T4wc
HP+DPA3MS5eLmUpNAvJsLKbZJD2GxG2/Qm+Wm+ZFQ0MSRn87/YO0K6bRP2f4MdXGrerSA/2/svGU
6abaGToAPdbjliVO9EoQbnxVDJJwccHkAXsOALJLxZbeNsMaTAkHPABjIMwAZkaKG2/CQGCgba4v
4leLvJTFWeTSyn1bJZCVvxgZXbCNikDCujYIr9n4OTBSucObW6QqWh3Ps3REt2ciq8m2KPOWDkZs
U8tMrX8pjzvOi4pD0Q49+kIIJlzs32rxGydMiHiyvnBIjgOMCs9BnvWqa+qwHLQZr3NS/UDv6kPR
ZnckzET4SSs9NgrwMdDfgmFQG3U65r7OYqWgsHKrCKGPnBVUCSPHzCUK3i+3DhOE8R017GSbtRgt
aX/01a6rTO+6iaxt4PkHcAed5EDuXhY8CBP7WdZvU3KreqOoVW8l4IWaeBWh/ouZYvBZXqopFa1G
WjyqD1nsdU1FUQKNxsQN6xyeBSNAIEQc9IJqtaf//WLHhWg+5i1D1QpaNktWYBYv26B5QxYlW1aw
TlDWBr3tJ2ivCRDPS/WA1p9L1dRhEXvigUzLeqswB49KB4BB3Gj+Oc1urQ8OcLtV7GifAmws2Ce5
8np9L1e6+i+/gzsdRlaNddPiO9KXj9Yx9o2rH96Dt8ivXux97ZO98ZCfzKfQFchl3vHyuXYpl3vv
1zUo1/UCRhS+hIVXaA7r86iotKuUvdR5mDkrRHnOlVwNZCIfBNALBgrL0yZKdl6OQYGTExYdpvA1
p50oeqw91gtnBPt+qKnaHyIRH+rKfMKlXM5/G003LLmMNS4pKen9YGwiV3uon9GNiWivO9YWBaFW
lNLxdX4XrDOzoy/rDChJ5MMMILTwcy9VnAKGg8DbagSsXs1Pu4+8KJo2ij35fVTeJl3xkMW+Ig9Q
PPuuF2ChuP4JzB99+QIDUT2gEdDby0ONNNUQ1CDfRf5oHu+kBuNfdvuOGOu1BuR/O2hv18WtOg5G
CYs2RAmjtTxHSL/kNfibF8ADSKWLTvd9TMaQzpV11J+txGml12YCYVxt0lQSrPaaZ4RtGQwHAfcA
j4bTmDWK2r2CEuY9bLm4VwsvE4wprq7mmQjOlkzEMUFgyvD+kWuBY7RogD9lUBL3Ti1qFvz66oPd
nsniYoHcWNRwNjUkt3vrZ2drNJbJ8fpuMS/+xThscFmh4wT7xefq56IZkOyCcSyICtWOeCg+lQNw
1eSPmNxapAdZ5N+OuaEVdsgwdYDS4Uzgk87uT9VYZrA1GYimdBx/4zswnmSlF/i31W06E8L+fiYk
acoKyPomHsy5XXqJbYTeYEt0adOEVmYX0abOI4HMVevDpAh8HJCSUGG5lNkkFu6PXE8Ok/JSSBG1
0hdz+l6iCfH6nq3pBoBmPLFADMvQHC7lxACOAzMYDtgETVx0aQ6HOdAHV1sGcKOP6S+gPcgCmau+
mxWmgYPGYo8vMXAQDXNu404ejZv6dZofjAgDCXHoqIXtTNneqh9zU3DW1hYUZKrA1gdFPFoHOEtJ
i2QYVAvHOQIcE3GCBClo8qCVIv7B1QU9k8MZy5Iak54ZkDNMzbtUnto02tivAK/0ZxLYAnesYXf4
EweQXXRbsnQwApDL3auXqkxJF6cH81UGvIIIN5wZ2bWf54xDrRRlKsY8PdTL9zEMaAUE/IqcerJX
wFw/Tx/XbZH93DVx3BaBsY2g+bXAONmo03J8tADVJgT5XHNS50vG7U9rd1GdNawxcLCBU/UQjJkr
T4/65NqWl4Zo+aoFtbh1cz/bJe4sF6SbpqaAyLDcFM02CV8AqksH5JhJ89q1G1n/liza4/XFXLX3
M6FcyF0B2nLKQSuExAfwuOQjJnKoLN8vyOVcF7QaESFxA4pgsK3hqc5llftWScGVWqaAjds0BnDH
uoyGow3ykT66n0m8iXXDm0Dl2KS7QQp8OV+88qQDKmyRyhsQagtqFWtmBEhIC49SDFihlnt5KCY5
60DE1aSHWbo1tWc8EYXjA2uL+5lSRCkN5Kq8yhqxNbC96ukBOQkqD78Z0nXYGlSRRau7Zq4opSEB
BjYbA5h5l8pISmGTejHSQwkIx2gXDvJNV4Q3GZv7Lvbqkj4NzffrG7rmVBgOM/sHUm2+T2Ew1Vlq
VQ3cl+pEE7xJhQ1oK9PiDP6WhQpoQoM75hxL09jBGNcoClrhPabtnYTcsinR0R3z78uNXGG6SkVp
Ai9SyWtHvzcER3JVRcQNn+wAbOjvclXriExVzh6FaW8VflSR58IGkdr1dVyzQzx2/xLCnUAtiucQ
+Hh4FQaFrzYpbczJEeO/CsR8ep+z6CRsa7uzVDyEslbZhdMjcpNbsR2uSkGTJQMkx0QLH9tVlQ1m
PnT8HJIFgxqFjAbcupB/ELsXwTutXTpIJWFYFiDJbNDucm8qu0fh00LkU5HMGTN7E9motWuAHabw
Qpu+DSUQBIjICFdPNJDWAeMJc9R5tvUw1lGiklh40OxmYt7UGP7osV31P1KPkTcAjlICYpByqZ6K
7WoKph6a7reJam6BoaUneNzEqp+XM/gIROHW6tadSeSyAhLGZqNSR4xcp/NOrTf9DMoWXRBere6a
iQcGhs1BusEPbOlNrQbdAPtIjW+YnWl9PdjJ40td4fJpHq4frNXTyypLKjLUFtzi5RJ2UdbkKPsg
pWOO3UOYK+S+zOveuy5lVSMLrfN4dsIY+ZSwbpQmurQQW/XIMrL6xzzSu74Fhs51OavbcyaHMwip
NdN4tjBEr3hvEhX4oFWzxhAJgyHFNcW30Q162Jd1ZCGvrWDKUlmcbtJAk/VQ5oJwQ127qID1q6JL
gI3/GLyV4dQuCh4tB6sdrbeOpLo7B5PtoHcm2gdsWDVZQqQNwuWQ1IniAFgjoprWGzfVQDzk3g1X
ynJtW0/yc0RkkCAVSuZXdpLt5FnFrHxQLW7bJO1r3E26D5wKiVoxMqTlkh2HvBmpCd5vV4uU6n5I
8B3h1MsgLKni7ZSNsVMaaLmTSmP20P2TboYyj25C/DJVEzRHgfHIECz92kOAcUfhgQqIPMRFl1YK
kOfaKvUlPUwkPc2ddkIqw3jMUjVz6yqM3iLS6AKRq/cqOpzRpoHHFaiLuCunCY3KiNUJcclMG1cG
KIpjv8pP5mv6If3Mf8mmmzQOOuiuW/C6pn9J5YuScS6nkppAauWWdrufzLew+SBquBv15+uS1k4+
QN5tjFSiiAJAhcs1TXXMe7cl1lSr0XDYSOlTE9SiRWTxKv8MQdn4EwoAwBB8/IgcVyP3ZE4xEKVs
p+41tZsHCe1J9rSp7W1ejFTKatrHT9d1W6m54V47k8ttXoxfJQPYag9RCbL4UUqfFzmu7ys9kG7y
KSwewyJMMPYyzu5o6WQXKPK3IpRVd5rzaoeWARHbyerD5eyLeFw7C11wNcF4GDiUaHUw30PZV34O
PyTal67VCqxozVWh/gbeTdSA8Ubn1CdtK3d9BGFhgpG9ZpflGP7NvR5rfX2h1wWh4wdJAJQi+JpV
HGlzasPrHkC1I6H6IHcdNX9EH9elrB4K9CwC7gP0V6CDvDTVdm6B/tnAD5n0HYByzl5IWr96GM4k
cBfH3Df9UKAxC9U9FRw0j90WKCZb1fsV0dklrgX8oOsqrbuXM4mcj890M02GcQCIsvmz8ZDky7T+
jRTdVo62aJ1G6nK2bvWhpCr4AcyMDoWI+WftUmadoP+3qmxNzoLdLOz1eWKrCvAKF3Cqu3QTP0Ui
C/lMK39xAWdi2J19JmYmdR6Avhm+G16UgjN8A+6rTUzD70jxU789YGArdl+RB/RQBnDrXXg/eM8f
iydq9VvTF0k3FKQR0GBsg9N3UAcAligBbtV6cRKg5jRAE6/ql1nz8tbAy+xvMuyirQBdhehhANOP
yto3udgKacJYk/MkwxgyGDFsKf6FAcu7PBWlydaiHltHnIDebozH87fj3KCNAA0mkNM+TtVes3aA
V71urisiGKwwVs1g6QA+y2i2S5bV5Qh+TE9/zW4iEeLuygmXEcHrYLTFUDxuo0sjQcmrr+Jyylje
Q0PXwLYewBHpKIHAX63qcSaH25JWG8zCsIfskFe/0WMNOARhN/qKS0Q7CSbwoQgmgXnC3DBOU4sY
c3aoMtOfh1s2ttpKH8IO61VVDJs1N6PabfBD7lFoEynrjewwyhu9vR0TD404/2DXz0Rwfje0Mmtq
EohA50pb7CECGPjXRaxV7VmPF9piFAYfxQ9ZIMfbkaxHD06w0W8CP/FxXdPOmbe/nkX5n7Wo4EIW
5+WRRh/UqIWsJHk2x706AhUcTaK2WlIpcgvDBXR1U3pjdlSzn6IUhrpqGGeach4/DvuC1ExTElH7
p5XR+Sa8Gw7S8+IjRetkN+/ytnOnm86L/d7tT4mTbWu3fO434Dy+mX1t23goJMQMuPUEpDmhp14J
1i6Wh3OQhdFUas6W50V2JW+iy06BNNMxaOME7mv5IAHm5cWmkXfdBlYt+Wxh2N/PbgiQ7ixJhfjs
kI3BptG9UVI21uJfF7LqYc6EcCd/6sFfbVQQoldPCK9zcpSmV9mZbYFBf3ZTcffdxSpycfUUW6Wm
M21kt6f1Xb+XfWtnOCreD6UTOclO3qZ3lb+45o3h1o58973dN7sIiHwb1QV0uiu5mg8IN6c/gftL
8bNHGdy00XamBlZepakb+2JMTLa3/FezUiNLPeN+5LOIlR3MtcIaWcEj3mznxb2++mvFZ7Ty4dJF
mlEHBDB39KJA6s2MgEyhwkC/SpfcD1JMHncvbeaFNa0yahr5fW4K7q21M3culjtzikHaTI+hlpmY
fjdh2CWdlINs9D+MIRIxlq4EGNARbNose88Q1S/t2IAZh6oOHVPF2CXtBlk2uQj9bGvrfmturq/o
mj3jbYqkHiIMkEVwvlmLg0Cv2Fxq2zROIhU3yG17bfkYSxNwrP9+RorNK/wljNu9PANzQzCgbVuN
5jvdbG/D/s0wBzduairJqT9qIjKx1Y0DUzQgM1hvhMX5BCtEzq8qMHSVtGjtm6saoMsG5pWKRpNp
gtmQ7fXlXJeHhKwOsgoFj4zLvbMTQJHZA8aVQnn3fZckiNemSvQaZtbGHzKkMFBMQZ0WiSTOB0nx
FCotm0iq5BepqvwBaRslPin1t0jbjf0uVCKaYfTXTD9qbZs3r9d1XPOz5+I5HecinpcsqMChEBho
2y2RvQqWU1g3x+ty2Ovyq5qogLO0M7I93KGrgH0UorMWo1/qmybpN2rSbZv8pFg/avkhS3Jv6EQw
E+uq/RHJHb0Q3cJoAEHXFOYlWhcQax9ahx6/3KgFuq0dO9Rb/tKNs8tQzcki59jCOWk2nWG71Tw8
dlYVOapRUwKOgetrueaXz+VxJrPEJMBQGLNLIBnF2rG3fl0XIFo5ziiksbflgAmonvQ+cqrypOkC
JyyyB+Y3z+73OsGIxlDD7ooe9GQZ4GB73HLSA4D31DQDr9JvFT1e19Va3ScZIyY4yhLYQrl9mpHd
JIqKJuTqYUIUEzrpuE1V2lU/rstZXT4kCJEOxsvoC4phUEtpsLAWtqQ13+dgSJ1ADm6nSQTZuWoH
Kt4TDMSNzSRfrqFeZ7pVdKxdbXo2+i3RT/9AD8BLSJoFzgXQbl/+fhz1JVJi6DcaATWV6+hcQV+p
NIhgB9YK3JiM+iOH2cqZLQTSnBJjRG2DyBAV+HkKpEkM7/9GGm4zmgraZmrNyRrrDdNVHS3aBz1F
V7cyHXJsZojp2Ot6r/l9Bc4YWWWFdV1zeqtkqud0ZBUy5Ar1HdL5S0otERHQuhREnyAwAwwfzwNE
wClM9AVaozO4rd47PAm18UFLBbHnqjECWu7/xHDOIg+NsQOsEgpHQEwEwXE6YR4oE/UtclJQspQZ
gyWe6+jlQ1aDWzK7Tyyz7czpGIB6W+1+ye1zsAjcrEgGZyZVH01jUZLpOAERMarBbN+ozhC8XN98
zkn8RxNA4aDDzkTykkdWKUiVglInmo/ouZBOUQeAJ72Ukm1dyblHmli5M4J5FHhDtjxnt+N/haLX
AdzJcBl8lxgqzBiclfTpGDWaMbp2QHILME/1PPtLrDU/dTPWXstyqvwxIkEruE/4PPSneIQ4kGwA
uhY2f3kAa7IsJCdY2TGp7qxlS9SDDmyDctgNw0JHJTn2+tYeBaHP2kprqDSj5I3GbuAoX0o19KYA
EGoyH7X+qJHMQ3WJ9N9HYz9GT9f3lDtq/9EPFSa066CzF8Mhl5Li1Da0yI6mo2mDScIKGh+TvZjN
LnPJUQNNNAC4tpuMfREc7ZjPRuB/Kc7M03ksiDof51Btj3Y7ojKmJ40xAK4M0RYdGgudH3M4A9g2
MMpQ1EO9trAo38qSgosBu8o/A7IllYtBWY5L1RzGGvDHuY1CS/6RkelNVZE/vr68X+ShpICqPvp0
WCX0C67DIIFUdkCy8RgB93jWRzpmA/Cw30n0sygEd+uXrWSy8JhCBwE4PnWZcwIyRtqzllj90YhH
v6gUP5omZxnCnaIIzPPrqYAolNtxDXwWwVXOakA0Opit2gxHw+g9Y7yFuW60AJ3gwa/MrGiIwKWP
4qfeEI13Mh0uvIGGCj9rSQKhObpTP9/NZ/ehmVuNmo7WeMyq0Jnidyvax5HkZHnhvA2Bvun/5sMK
tVP8Q3GZIZkDVIqvLWc1RopBKCUdG/lQFYMTRNWjMiV+mQ2C1oKV7YMkcA9jLBuQ6bxqVhQ3TVom
0lGJXyuF1vMmCRX0PIYCk1xZQlC4Mn5eALiiCMUdgVCOpylabOmYNuZdpXSewSIF4KeYDe0Aq1NN
yXuZC17Ea8qdC1Uuzz0AsPS4x1T6MWyRs4l2UvgL539W368ft1UxDJXDgn4SABEuxSRFF/X1DN2i
XxL455XkxUDzwawKboUvXgwODC8xC9V1BH+4mS7FVF3YgjetlY9VFL0ps0a70s01+U6LBiQznD4S
QdHw+SCYIfqegKiP2FxmcQSnGHrvQkmdNO2IlhRMtM+OWuobK7MddCpQhO43kzU5Ul+dEGDfTPHP
68vKh6EQD1ASBcUSNOeBZZifhRiagKCNZ7GO4OnddNFdUaZoJ7WRl/JK6WTHv6vpLVkei02tbhOw
CxjGd/Jgld71z/gS5WhoRzcw022aIMLBNNflsttzoRYB+HiOGUETa2EU5GZEjQRrIav310V99dsm
hlyw3gq7qlAmuhQVW3Mmo5U6OuWSRtWDTe7rFtdSxTC1r0vis+xsbQ3UnJnB4gKGNV2KGkMS5SYQ
Xk4qcm/7MKy/jWMs36Vzofh6QfJXO1Nkd5bUzGkzadnVsnHfpmO7T4vuRjWIIgi4vqwya0GzobaG
VBkCcPb3MxfLiJ7NSsb3DNZ9OzwBc9hLTREQHT8vhpIYholkqA1/DupIXutUxnmJPrUO3fy3eT+4
79M2+R0741sJIoLKsWjmoTkmodNDICrlfr2/PqXDrbPJHrxiWGr/TMdKwRtenYb4NFmY5VyezPwU
9chLxF6q/C6rxlMUUK6q3vWt5h6l/9EZGD8MAEHB3cnZr6SEJijysLJpHXo6aIk7zOhdF/HVUTDN
zmSwbzjTDFoVwxyx3fuG0EpxEtf24hKschWtnk3B6PL6Op5J42yFxFmhDFIXn3pvRFmcOIbbu6Ej
966JGvm/XD7uTGo6SUvAKsQnjKHRQP0VR6KZBn6a8r87hEYYpBwx/M2DvKqBnffhCLtoabVLb8JH
2xv2fUIHT3Kb23FLnjpXF406fPE1bMsYOwsifrS38qN1MXisjVSBXgluYkeuejcyM9zHnXVs4/R7
roSCbftyS3ICuV3LsggpkxA2ghQGze1wnyjvjfHNqAaBIPZDF9HapyBwe+CBhjl6kzP4Nm6yVNGn
+BTLWuIORkBohojRGS1pdq4bvkgUZ/dmlCkAQYCoOTvNxKKSjbww5tquS1k/Xng6gB+AXUF8kGaA
12halADHS/oISxk4BN1jm6u38bTPsmqn/hiVekcycpeaoialrxcFW80z2VwMlQVqo3SmHZ8001ky
Bxz2lS/3ThO81+S2VpAGR48+kKwonjXX1V4xGCDsAp8bb1EdQwfcPoaNDhT+AcdCMstdWs9HW5uA
xFDIj2oPKIjrwlZ2kqEs482Eh5r2RVhWooFzjLGTjQocE7wWj0TPis1gidjPVs4dWFPBbIhZA5AL
WNzFW4xWhg/BXsr3en+qNS9WKeAQclExb1Uh1OrhUIDRjfW7dMloXYrUIiYoXCj2ltjPaXaXWLIg
YPkS1eNxwrrK4EZMNAfw9DB92DdR32TJSUspRurirnGJfEzkTYkbbqo6VxXhufEtWcxZXohkep9d
NakaKXinR8mp/A0036ik3wrXevtQ0OuJGrhiUwOIRQLj4Psf/isUMRPygpi91rlDIBfo9DWiPDkt
qpP/Lu/y75o3bhZUjKt0l4MxQQDisr6uf+Rxpt8meo1GIsgb+r39WmWPkUTjwgFcgKJvyK/rpi8S
xjmxoplJl6hVckoi26sCvP5CyzEn1ySn3N6Nk4WnRShwnGsuDdv4R0NuGwcdKCeoMiWnMBhprz3V
Ep1St1JHJ1MnLw0+wtFvkKvRR8HtINxL7kLPjEyVphk2K/8s+2Q3yNaWPNfhfEo6jDCGuDBMxxoi
x07Q/D4I3nBsLbm76UJt5h3OrFfLhlrKG6z1rBGMV1fDgjipLrzrO7oWIeHBBueJZgFV1/lIs8mr
uRySIjkVB3CQUMXcZOUuVgAU7TVgVV1uREBrqzZ0JpDzajlKL60NZMyT4SxbtLOWOItAQZhfBbb6
GaF/WcAzQdxJrANG64B+vVP8Mv+uTuaN9ZH/6EM6etm9nNOfGVX3bwcFDKGTUxxlR34WLC0TcO0D
+KMpaVMydzCfcqbhcZ6oejv6kj+69VO3MXeuQBw7B9fE8Ydz1JdlmCBuciPN+a58PGj3lQfavmlz
sB/c5EM0Hy3aSe5gVhFYdlIC02mCW5S+Hf00ItUgI6k3RsfyKUli/7qKa9c8oNkZ9pLB+AI5gUQG
8DHRsKNjdTeNvlz8zr43opLW+jL+EcId+loNkzks2+QU1Eru94vxHimN7MTzJGrQWguYcPZMcF4i
XalA5OURL9KkaGu4t1OnJ8C2389+sFMPffusG/sw+VmjceepwSB9MkkCp/r/HI4/ojktzVbRC4Bh
Jydrug+yj9a4UTtMdDk5cOhm6aZV3Kb+aTz1P5Le0dqXEJ0Nwc+smmlbP+r2q2b5SSWiy17f3j/f
xHm8PAfrmR1jOcKEBK5ep72fo6XExUTpiSyjd92YhEvAhT3IEecxqFBwmbWR32jgO1qyAZx/76E+
PHQdZuCnvZE5VbWffkeJvBut7ST7Sbpder8qgQCw4KJ9VNVdn4kQDtZP1p+VYH8/8/2t1liNznZH
ym+UveFM+W6g9nP4IIl4dFZvmT8myE/r6qj7YZqLLYLeyHSem9httUIEkbp+k56J4Zx+qdmRVY1Q
yLafFdNDlzzQbVWau9ZrsheNF6zlbtC4hYQgstQ62na55SNRT7qwG3DF5J5k3wVzBqyNJxD70lnx
a/s52yXN89g6N9Uvq72Zez8ju1am8ts/sbA/38HfrYadTr2kwZUUxrZcHN3vi4223GYGBqPN+9y4
MxK3q1qq6C6IoehUtqwc4mnmIW0fSbDtyQ8jp9pR8FlfssMsLj77LG4zkmGp1MzA8gxD9EYsv2i3
c7TN6ns81tqsRDtH7SxGtW+qbWr/VJK3fABOyREJ/1lNvKLXaBRsqxncji6a8XaZchvmpbs05o06
0syavTwWlVXWXeXZN3OX+ZhpWQpqTjwfnsvv2Sl9rG/zzeSNT9pr9JieiKgOuHoLnMnj7u5MndEz
BEiMUx2Eiz+3mOnV6qBxOnMMd9f347PuxV/c8P4SYhXcA2iZvzztWd50yMbhcBRqCBqk3InzcCcN
RxXdSNK2A06T1D+pi290zmINNMifgCssz1TLAfJDY7OjeSgw3dWw8PybOF9cgdOQgCsB622RTbu8
aejqiJPYLcniq93PFAwh1fAdNQxfsBhsYa8tBueVR4xKanWHMxOFN2VxUsuEqvG9CWDs5b6MfVQn
g/1YuZV5iAPBpbj23j7XmXMbAAhTzQR4b6dKIq/YCpKEmCuQafTNUkSI2Gt+90zW5/qfeXijauyk
w3+npsQkooQmcNGRWbtNzyVwpxzMQ3KLYlNyyhVwnMzKLq9bTCIpjmQKQd7Yb33ZNIwcmwBRQtcN
n3UKY8ySKhK0aQsPt6JHfphOtamc6Xa4FdHOr5vmmTDOFSyLCQxCIESeWslDzWHs3cGsbiovUHCn
oJVq+TYbsSBYWM0lgI3qLw05f0AMFK9bFT5TGXK0rzo6WiAVp3my7615X4Yx8B03FqCpykeTvLS5
4FSseaNz6XxoP7WZqbTwfgHmZjchckKuPWm4t0aE94IDuPZqOZfFvuXMMgGC3xRlxKKw8sYA+LB0
K0sNjfJbMFiRCdCcsRM296VviUIRdryuGRHnBuXJnJZ0huDI3E7q7xopDCAe0bQLNrH5y3y6rufa
JXiuJufgUmLrTYWX7yku7hqpAN/z6ITq9wBQG1G4IBp2r8tb1w586sgYws0bnNUOE1FI2M1w8ju9
3i0jmoWdatzknWud1EaYi10/kX/EcfYaqmmbjxhSPdkYXKq88BYoN46OmQOMx2gustCit9mqQ2N4
tGi9Ajq6za1n0xQ9KJItCIyITdUxXuiiI4lwfRXXCiDoN/wjhrselLhQZD3GvZxk95FK5cU363uQ
KuGAUg3Ed/qHFvgqwJgLWs4M1NUxDVFaaNWznn0Dd09MlZ0teoJvGCUv36g3skylj7Jwqva1+aU+
VK6R3mXyk1XtW1Kg9C7KMX4C23w5KX99gC5x1cEwGmI2Y4XLWUKRdR8+DwXVLaBeo1toU1e+lm67
9JiOB+uxfE2rjU32cZYAWTRxBiXZ5CZYg5SHuH4brWOSz5t/tUe6xN084KvtkXzB5+Ugv0n8ob+L
0O3fvS+pXyS0sfwleCQgvZCGnUQWN1kGatWiIcrV8322Rtx5W4JJG0bFQPpsY0cugESGx5MIo3A1
NQlaUBBbwiIBOP2/pH1nc9w40+0fuqwCAxi+MkzSKI4lhy8syZaZAOb8699D733XMxDvoFb3qa1n
XeXaaTbQaDQ6nCMYPdO0riIRWv6dmyxFxUObAiP5xa1j3v5I687tStWv7YD23yVLvOakzwULx2Ae
MkyoDlNyCrOXLv7Nv9wppgs8UTeafimp2709Xhe4ZvI66F8cdDX9GX+9vBTKdop5lTfwGzTdTu09
4c9NRL0ylcXda27kXJCgWMLmFlCNFWqN4+CWyeBR++W6KmuGcS5BOL1hX1GrbaBKRktPyzpvHo4Z
ux/Styrf0F4GF74qzsAgiqkiY4VO3suV42oCQNJlp1q18qoy90O0yHPAdYcWTb2iM1RfT2VUxh/7
YfDEW0hQIJjgsSf2w6SqYpWKilJc67c/lVMx+jT0HziItTCCmP3SA0/rvd0s6RBbDc3OxIpIN9lY
zmSuILZDbt6t76Mf+hPZzD/IV+Uz4e25KMHJqAnAJswBxbGUgQ6xv9Etv40eTUcSJvw/VMIUGNok
AdAstnqj88UA1vqSrs46gheIMvqJlhTPdVIfNRPAyfWUTS6vKueoA10NTeCgCb5usYuJiO4eIw//
foIQGDmNrSu8S9OTpfpG3box2KLzyc3tG8Vwr4taO37oYPzT9gIgSDEj2ZF2zEmFdBA4J+0DL2sK
LhtV8a9LWU3QWIilYZqY6MAY4eWhsJq+wEWOt4k1nfroMFQvOHf6/Lt6z9GyaTyqQOJLfs10k76F
xB+cXVgGw739dv0z1pQ9/wrBExQToEyaBu+9KCLm1ixKdKUSJmtnXM19oQ8VrVponARLvBBQz53Z
h02K4J1h3NNSvLHXAqrcKMVDiKwCtb3KviXHvv01SrN7IljDn2rkuWzBdFpQgVq1gzDQHO/zJDmE
rXLoCr7n47NGDj2Afcos9cbmu1b+THrmTeomw6yIgjrzvm/eJuqDp4aq+6bYwP79KHxVynSfqenO
SDDmwZU9sG2CpJeFEGv3GyxDX5Ad/hACXBqIabK8bidEywMPovatILfzTHeKa1ihO7/E4CxBPrQu
N5bkclh7aC2ARGgGQYMrOusu5baz4zQEMdKpiQ202DBHv7H1uNpOim5uPmF9Z6KWJTh7Z5lsQLp5
mFGuwQRBELflvCtVVeK+FhMWXce5PsIzoLdD9Gy2BM/WEmPKh7iePDMCj1MUnsLoNRzswIpkbVCr
UdG50OXcnWnWVyEalzg2z1ajfQQGYpqnnqXjudolfqQXfozuSHM+jo1L0kniW9Z20AZKA/qUFqw6
8Z3FTLTPDwPeIcY4doFW0HyjZLHiZ6mZf8IvI+oDmCYGuXC5C3oqQPwqnNZZUlXcbVF/T3ofhLMB
6c0AkETXzWVVr4VkCR4E0JOiy0SGtTKnNM5Oehg3Ltp6Ji8ZmsTv8ln2eJSJEvyikU9oaOE8O1Ut
M7cZnsNBlkXJhnDMkF3XatVBoRnkf9UyhacMAZJzqAGS4kTKmulBa9cLQiogiLpNnfRzdYtpvIFP
B4Uil+WRQTeAJ5EM4X0zzCoNMoRBSVCaWqLv9BTMSns+W1F30zraqPlakuLPkZ7rldcNlsIfrahI
6t8qiSvkEU1t3ALQOQUMX16b0409aI3jRubYVLualE3t9T1pWnee4sL2cIwAti/Rfy2vBI4z4JIB
qX/hnBbW2pk4SypNzxAxVcHb7FY+2AkS9yem9t3Uk2Ud1y5eRIV4kqH5HO3aluDfqjljOPAtO9X2
L9WsDxbupNAIY3RUkJNSvIMSxY0VpJ7ZfOym/HZIAiP7kg/hZtDfR+UU0l9O0vy6bgQrIbKOVIyq
oqMZ6EXi6HvuDKwdy4ifjLh2NYW4Ock3JpsCp9wQXXfL4ft1gWseChL/zEssdVdHuBYROJYN0Hf5
qd20mEH3e8Vz3/XX+bk7cSlS2LKmgg9GYwVicQy9aJiAEXxw2nGrGBwIw5V64tuucvsXdvD4fXqo
JM1AKyf3QpTgkYoYsrR+0Yvheo5t6z0u41eqcpnrWzWkc6WWLznz8XQIQ5BGQtJ0GLJdV2xRiQin
Z70o/FDZFcptHih4DNMg5G7yYpOvdNilvZ+Wz5KtXDMeeEMAXegqEErFGxsUMaVV8oqfxvp21IJs
9BgZA2dINs/at/qpqoIFHM5PK5eTyWXJU665oIWgxdP1D1kJ0pf2mX+/Q7jOF0qEtFIKfuIccHiT
r1Y3KBCjtSSS4fovm/jRnv5KEuzJLHNzGBxIyjfJYyErwq9Voy4UEWzIioB7n4dY0GQCESlAEbdp
9iVd0G3y9+oNfFf9+4yWBI98nXb5s303YONlMfNabX6ZOMBkIbCdMQonuMWWGbHemy3MK3yo96Z9
V3be6JMGuNlu/b3uPXX42b5E4wGUV40eFN1D1bvq1qrx2MylPeurxwoNfTrYG4DK7wh7y/O5Z1qF
r+kOIyu9OfzeKzfcRiFqKnetcoOegJh+N8z7sWs3vG9cpiQHGktGm9dqoKBaBN8vBhMBSCX2g4K9
ZVRUveenF9V4nfPCtUGQbPUBoy5Pfa3fherJUL5nxuugyy6q1R0xF4Yi5Hf/DGNeHvixCqvatkfY
9xNGPoO9sZ/fqm2y5XvrEfhuzha41G+OT+6KXXPTSfzamsn/Ff4h4Univs5LY+an0s7QqdDccCJt
rV82UTxWy1sUVJboYcac26WClE2NlWQEJjcfzNJjBqDs+uEYmx59qZ+d2G2tQIpK+icjck2qkB6i
GFKsa7Jo5vf+EOR+krls094bII91R7fzswfloAff9+09PY5ftvlTfzfexTv6u/BRAX5K3q67sT/5
jGsfJDzNY4B6NXaBD6Kudmhey81b7DVe+usWoD773u8CenJ2gxe+V7vH4sbBN9Y3ytPPxreCaOs8
2z56BfbtLrpl7nfEc1vw0paza227L6krg+D6M+5w7WNFN1FUbaSBc+gE9jHMmfHHxPTYCcytvvY1
UJ9o0O3CO/K127fe7vo6fbx20MmM4H/pzEbRU8xxa01lpYYx1SemtK4Oqnon3qBk3ME9IcsWIul7
Xd6iyaWmGHmCdaKjeGkWE8srpZ7lfVWX7cl+hqL9/idaNOsX7svyryv5roWc1EZbu4m0NgpIwjEY
DJtjQg6Ckn2MBoPuydGOwwBsmbH0lWxfdRgTlvSGL0dLVA5ACoh/EZli9lm40Rqnj6qiKNqTkdIb
NcXErhP/qnt902vl7+vr+NGTWAtesY503gJF9CeuOYtbwpEbiY3WqlPUkCPYufGSSiTJi4+RwKUI
wSjtdMhLc6rakzWMG/DToca3qyo/sVX0yEjuBIk64jxQPmVmRxPIGlvjKWLZRg9lXdAyEYJBkNJM
C7Vb1JlqkIJQ0B58vb4nH8/SgqKxbIqO/wel5qXJxU1YVD1l2JNyCsET0flNbPtzUviUgVOoGn47
pJbM+8pkClc6+m0MEoa8PQHMdIH62U925Ob8Af7E7Xr02hgSh7G2jABLAJCBDhhfcHZdKpnqqZUb
OZaRzpMZTBYQqWqTfLu+kiu5xmUp/0oRrpMhqg1WgSPiVLnN8+zGfnb8GnbufPBo4o+SdP/6Gv4V
tvz92VlK2ryYqZO3p8mbJjd5dX60k0u9l+s6fQy+LlUSjhN3aupYIaSMm/hL/CLDBV87rX9XDBga
l0qoA3YhauF7aGMEynyiTo8A74RJjc7wrmuy5ubORQl2PmQlGs7mxYc3P0uNuw3bPCutDJVsXYqF
vkcNGJwfnpuqUcVNkkDKPCo+L7eJqm9qPX1rO9v9jD5/JS0mf7b/jhOnY6G17anIwXkfatFTouY3
6Dt6UapCEgGuWgGGzBH8ovUb07+XsmjbjllKJ9haFfk5KLEM9W1GUHZdo/Xzg8gavJgL1LYYBA7o
oS/VGWLi+jZq0JSt1YHi5PsSkOpWHGhWdBeHugfmzG+0nIMxGr9f/4JVPResEwxbA8LGFg5wEnGA
dOSkPbHse+FATXaMYll7sUyIcHDNrjBrHqvQ0lE28RDfMGV44Eoi8bErT0mwviOeBg4B7BC1nstN
CwFp21lGCAPh78CpczE96KFji2Cos07dNuMum9+1oUDth2NuIEh7YJoXqEcU6T3NCk/DE7RKvpRz
vLu+yiuB4+WXCSuAbpUq6WoLVw4ekb5S++FTjUb33+Ec8DtrN6joCvatZ+uO9hvzl30CT6pLjZPs
XfPR+eAzUFPHG1cDFJg40NC1Rm6HY4/hvszxYg3QZiroiw4Td6kpLbotV9pllLVkqvGaRlP0Uk0U
dFYUhU6NUXZLN/IMDEa+r7PXwgnoj6h6xRvXRaenwt+BJiQ5ux+vPnQ9AVMHkC+IuxyRecEuR4CE
WBhhjK0f1Lyps7fru7kSs0LAgk8AeBKwRhuL5meOqO6MuWBG2p/aZuhN1ykzot72GSr9R97ZTrLF
n503VbE73Te4PVuumVXWTlPQp+Vf/5aPRwvD7aj1LW8CTIeKFXCSzVFmh/F4QpJaTXygcJBdOpmk
9EFTJ8Ob+OjqIUwDuuXyKFhQZy717hSuRlqVjyeFsb3Bp8YrVfiMMR3xdsxlofOqarqzsOWg8O6I
T5BwnIvObsrxhDYXcpjM0LwbDaLvAdiXSiKLVVFAJQJzH/KzjtjAHyYmyXKjh2IToKswm8p2Gi30
Gz3EsOH1DVtdQyBpUDx2lsfH8inntmMnfRWH2nhKi6RxI20HnnqKQYgxAJz+HFwXtpLuX3ClkKVE
K8gy3iF4RFTeB0TT5XQio+I8OJHZ9G5BIyBbLSD3IEqzpjJ7wDlmXhZF9cbirVUfkspib2XX481n
FSEb3dxS+y/twBl/uf6BH48qvg/5nYWXgSz5cWE1uq6Yc4wEnkI0D99wy8iXyS5Nsgwf1xzz+4ZB
YLyAisS89qUUa44spdKV6VRhoOsGU/jTwVSUeN8WTfKFGEMl6dhb0Qq7C0wc9OAsnACXMd71Ffpo
mvj2s98SVggJIi00I2M6mY/6W7Y3v17/+ZXSxOXvC74MkC5RqCT4fS32sh/ZTXwC+r+7sKk+g9cO
/5bI+3gFXcoT9oLyVO8yHfKc+MjaGwbKxa+p+WOstyN6RW3jaVQCtV34qtPYQ5HOHcbHOv5VGbIZ
/pX05uWXCN5sLk0alaOO6doo0Lsb89UsbzWk46rXdFPlHsmpy7ZOd/8qWYFl9y/vxUu5ggdwNEOZ
UbuZTp3zraz8Ots184aHG9Sqv0Y/ZdQka7aPycWlTRZkULgOL21f74HLzJt8PiWZhup7kYDunYf3
TlKFbq8VteTNsWpPYAVCTz7GS4ByIexv0rRswvU4n0BC5ZvJe5a41Zdw/31Wd11veyxI7M31BV07
bSYwXhYGMlz4jhBnTI7aJPpAZjwLzGaTkrTcTFYrS1QtvyLu2rkUYR0r5sThOPTzya7BnqmG26Lc
dreY+XfDG/CfSULZtVNiqsB4pni6434XTiVrWZ6qpTOfHDvidwTvBJe1VrVXlUbfNkZx6tO02H9i
Hc9kCjvXq/UwwElDJulTNAmVAAKvCnv3GSkowSMhhk7WDzNqiLVbq01Q/dWM9pbZ87cBvUoSIWtG
v4ALOsh9IP4THf6YObbVEZSYtXaMbiPV2mih/sQsO/enhBqShVtz0fDQ6LdauJIwdXh5xJC+VIqw
5OQErm3qDnbX/sQy53c07yrJTbYSegLQDJnEBc4QCIq2YBhRb8xGE9rzCW2P+n4cc4ZSelN4oIuc
vDwj0Uvfou5oDWVxV9VsOliDY0qipdXVRe1cR/SCf4nR0jKYoloDchcz8qaHNLNbN9G7yc+QOfHi
2f71CYsBCjjep+jQskQO1DnT+GiFgFWz+rHZzFwF2VxdKhLHteZFMEdgoUthwTUVgXwpV7SKDjE5
FdbwCIJgsIo53dN/1+RchuhDnE6xEgbbz7iiuknfRl7vyGqZK6Vy9LAthEnwiMhwi/i6Vmblts5H
SEEG/4Bp2+bGsidnH45T+9QRJOYyu3GCOrIAWWPU6C+NJtNVw2gKKjR6BzRRnM3QDCCxrkDk0Clm
8iUqDebFbEoO11dk7egAAwY1DYwj2mgfvDw6KKVXucM1gv7PMPQzXE+nvgXgU5ey7PQZUSBwR0MT
gE5F3Fwl1fKoyRxyapRu8jQW989FYxsundAJcl3Uqi3ZIL7Byxc5BlOI2UZKk4Q1OmyJdNHdnKZz
YGgt+Yw1nUkRXEEL4k0rgcc+gerR2MRdWexN1hnb67qs7pAD7ib08CzpMMFmbY2NfWZG6gnIFkDg
7NE7WM5aeoeUlIylcWXYBpb7Vxa9jJv/T2mgCSdVbHLiyCigAmTXeX9Ux6kYdpE+k+7YT4k+uUoz
97WvOxWfdnrikMZVrblByZ7RDikyZpguSWgTuW1NMfpcGCkGFT6zKhagVwlIs0zxbdqRolNaNSQY
kMvKg9pa9NtEhuYx7ApHUnJZFlgMPGwCKLTl/YIOaeGIoCXOKlsnU9HdqD2PM32rK+0ppqdIxQAI
ouelt6SVhFRrm76QuuKOAeOZJYIK1bExV2MDmUNdxq5Cq84rlTjeoHkikohai3QABu5QlCgAYyle
1RPCgV4tSvUUp7mb3LSmP4ZB32zqQRITrB3Kc0HL3589vMMwzLTULhZDzh94nHgs4pLE08rFiOsJ
jRsL3yfgQYWtGozlqb1YRdREhxxs8inQPVw6cDS2PF83wLU4GxVauEwg6eigVBPUmfoaXMw91CHA
Ove0qPfNNjY2yViPd7ZRK16bFMOxrQ1U9ql9a3b29JUreilZ1ZXJD6RLMImEWBW2oooJ5JJhdjoa
UxVtEqYbFex2NDCbr73UIKjChIFXHYwWAD+R5g8lXviTedewDkyS/T0vir2SR6PkaK6cl4sPsi/3
uayBlT9oy3mJPdNINhorbkKsQgfO4GyYgCMMRlb/+m6s2BZkAhDOgjvAG0twxfZYGiROGsiMuG+k
DySXzYqva/VXghCcj3hyOW0NCUYdhxuGip4znrohea77GsmM5LEcw2PlDJJ3yFoC6UIzwcxmpHVL
Vrfqacp/mdlX5S5ykEGapy8pMbYFqHWKFhQmiQfahQATtXdZ4SaOBIB1pUqCxQW/G5h0EWY7Ikh6
PueIqRX4CHRl6ehTKZXByywKykUVzZo5R/IxPKRmuwnV0XTzVD/qowz3ejEbwQ1ffINgVlaDG8WZ
cA/WQ9a9EoXg5Zf3ffd17BEpzQD7Pg5Zr/kzzxuJi1x1K2fqC1ewOdi5mizqW5hGUOyfiF49w3qb
mSyZvO5U/koSL+CqrtIILcvwkSfQCKWpq9wheZ2+VF+Ge+NNhpuycstgSYGKhfKTjmBJODV1mCRx
n9bqyWyPhn5Smo0xSTJxK7fLhQjh2PS9xtg0VPBO5k9oBJRBjb9Gg43rbH/dBaxv0l9lhIPS8oEO
pomDwmcPHUI7anO3MIt7NkoCsrX4/kIn4ZZBzDmVEYEr6JCfrbJ9zTdmY3i68a6hTqnEA8imPSXV
wUTCN6O9LXtsXuLXxgQ6SfOrwfV3mpBf19Vf9U9ne7ksz9ntquJtpnKKhbbV73Hik7B0jfkwJD8a
5T5X7/VYEmKvPYRRp0eK1QQuM2YOBYF5lyYpchSIG3q3hq3qQEl4NX9xzbXRqVQ+NbI22HUvdCZx
sbUzFXkxk2lc1r2Jw6CsKteanW2ZPSZTtDWU1wJEuJ22LQuw7jX9C20lrnj1jjkTLzigjldTbIbd
0nLp1NvYVlO3iao0uL6PazE41hU9S0DDX/phBTu2ihGAeTnEmLanPe8NnP4ZEF1HzUW2BuAanuwZ
s3pEzwQK5twqAPdWbBwcA/whE6vdztYCRf3Oy9hv52/X1Vt1OWfCBKuJurZMZgd7WBblj6ZjuWen
qupyxjLvuqTVA3EmSbCWwZqsYRohaaZtwOljZge1vmvMozN5ZTl7SEZJJK56oDOJgoE4fODpYEGi
1edbO9xN/beGY2iu31zXTFhDYPzi2XPGEiRoZo0GQE4LkBHprJ/8RDEfuyTHSH33+7ocYQX/kbNA
d6NspWN8QpCDablwnsHsdSx46Nykk2N7SGtQv8p4gkHmod7WGFXdF1oFZFeMqV6XLhy3/ysdbDNI
CVkq2kAuT3s28SyM0HR57I/Omy7DTV724iya+PPr4PFDKg/Q5zpixstfT2MtC3UOXFpcTwH6AvYJ
bb2h6Te8/KI128KUhFBre3YuT7gHnRHztZYCeRYeJIaSeUVZuGb59fqaLTtyTSvBdxRlo+aKqoK4
zxyxQ87t3Dj3ZtseeqfcpZkkDbm2Qwh7MXxn2EjniK8t+C9nSvHPsTZm4hU8Gj2EfTKwYvGi+Wer
QIyNNzhmhZDOudyqsih4ywiYzSpabAyyUwp/QeKxAbJrIp3MmI9Xmt+kiuSYCcf5g9zl78+um7KM
dQyBYstMfuf025Y3G6d86EqZgqvLeKafcMwoy1StqBbmNhDynGSv7lXDO/t1wSkpzpC3/bJ6WrPw
crySiAR2pkoO66qUZWTdhJFjXEE4TkNJ02qkCg6rU24xVQfYGcMdSkmyctW8z6SIh8ihsUXQb3Gk
6osZll6rZaAvIkExvTf68yeOkoPnPSb10GMi9rAopIGbrQnI5sHc5Oo0C109S4iv1VG6BYEkWgbK
rNleF7q2jOgWWBzu0ontCPm3KA9VmFmSAZn3vQWZI+tRWMgePyEE2USkspbKjDjFGkJdXtp5dhxB
ENNTche19G6cnKfrYtY2C+00SE2AnA8EHsJm9Zz3k5ZV2dGaNln9ahnHPPIxFehnn+EOPZckeL2h
x4tV0cD/B7vbx7FbpRJPsLotdMmNYXRwse9LTxAN+tiVLQQAoDmwxy2ZwAMSSYx7zd2gredfIcIR
MplCOtIhiC2bIMyCIjpY+XbuJUHsqirLGAOaHTFrJXbe672hzxkZsPl1QKq7FDRVMW7z61u/pgoa
+wGIjl431KAFn5PNRQiyApod6zgwxlsn9BzjMZM1lYg9fX8c9LmYJX45c9AEzW2NpSfsSGpA07J+
Hrx6Vr+rU4GM9ByaIZgpOfMrE6hUY9gBq7y1Sq8wlM4lbXjgBWDddGvKt6kxKEFbm5gFBsOv3+tz
79GxN4Jp0ucv19dmbQPOPlqcf67VsgRpMtZmQGa92upzoMrKg2uxDcX+onCN4A3UOZfrAhzUNOpr
UJpG5k3XPaNz415D25HTW27evQ96HXxCJczyLmkEtP0RYbsBiFQUnTqkR+60INVoKbnR6xwTMnVK
JQ5y7a6kZ6IE1eraQK067UCaHViBbDZ9dWvUpVULeV0kxIULf2ZDp9bLujE0rDbc8mI8E5xB4n5X
D8eZlMVvnlltrU/RzAxIaTSwE6B4QSfmOd3rbHanT+wLzGB5oUOgyD3WaCqy4UqfHtvklVqPc/Q4
sM8ogxZBFKZUFXyCH5wWyM0YQO6ONH2elpmhOXdN51EaPq89ReiZHOEyMZwmU7QZsRjv9ICWiWco
AFdSJq8BBUE8Ec9RAXv+X3Mc/3gY9LEir4z5S1QuL/dqSiLaTAOCpwnQUTEwo2p1C8otZBx3Zp54
cfgTDEqe3XQyU1y186WyjzIG0r+mILgstHQEpF52ZCk6QcLfDsZwP2EcZxKWw3Bmhmh7QSK7weNu
DJ+H8YDErTt0L9dlrDoiC2wUaENCn4LYOBAnpjmYKZ5wdr4liQeyHV0NHLQITd6YSjzDWrhBz2QJ
K9YMfTYlCmRh6GIzF4M7GvdhtLWMeqNRJlm81e1xMO9uLi00H4YBY3NGzmlCCGVHgPAhqGcVBZNk
TsVm+j/Gh5/Gm2ep/X4oYlujWQ9tnWbHiD46doMZQ7dJDkgovipa0BYvxik1PMK+hnWQYgyn0V0d
pjn6JYDNMy3fXN/LtfVF+xUOA+BIMNIknHRUW+dpZBxA3sDOzPmj1mMe1QHVMn8cRkcSQKx5YnRf
AQ0I/TyIHYWAqwh1FI4IYke2LwiIp5xbjmzbdYXWXMpysIGvQhaYJuEATKpThmMxZUdUNg5pyjGS
wIKyJm6GRiyoxXwdg/0FVWT1sTXjWYqToHrDOn6oVbVmBmQ4gvQNGXIgQJfeMGb767qtbtaZCMFd
Zp1hdkoIHmlie0BiOan0NtVr4HdjqN7SJZslEyacPA7mS1WhYODW2SYbymMduXqdbCID2LGGLMe2
5lLOF0/YNaUb1SYFhAuO+XRP2YwOR8NlAI2yQtQ1QZuiScPMVWPU6TLIBQAz9LNdekpeOHWslU12
5A3yHG4+8QKw6QpHLEliTfkK2kcMtzCb57lLOtWpAA3ctH4xFdqbgXbuyk3iipcuwtDuJ6+t5oFP
WZIGC0jgppzZ7BVhPbxHzjJIbDUh+RKPVhK6ZpeFDx1T7RCHu6+TWyVjsom+dd2W4g84NIGfJIQ8
qj1mWVcuPoYhP6S6UYtRGFkmb1UI2r4xr4H/gSf3cgGBpx6RCem8oxJmrjYDmr9yifF63eRXTxXA
GoDMtLxu/tRRz+4zrrAcL44Mj0BgBN4k1jwFyKTLMLzWgjf4e6yWDXSID+g9qT13ta3ikVYhTT74
IQ9memhVyfFd1cVcoMIwD0FwAVwuWDw2eWNZcH+Y2nG87sv1lVrdDotgqdCGBTWEJENqO1nS2Ph1
Cuav9M4CBk8bS27+VQ3OZAgOnBhKYeQJXszNwOk+LHIFHHB241/XRCyO/3NFYrcxJg+gRkzLXy7U
3CrhTOflzQzIfuZ+s1Ef6SMQdezqxGXZE92Bd8gj3ZY+X5e85vPQfGSjCwpzDchQXwoepymeTGbi
gkr4FDRR16CekM97pZ+LG2UgR7CtOMF1mWv7di5TUFbtSJ42rQHby4fNTMpbjtR1g/bB62LWVbMB
woe0OCoNoktImgZ9yFZ2jA3dB76zX6WGr5H8wekIxvgkHTtixfvPFv4hoUMvLaaMxN7dnAy9UUY9
bN1x1f4u1v3qUOeBCdhCc9t+28nwPddWEZlkUK0v+Aqgs7/cOWvMo4i1SBpUxQP4dJESpYGSyga1
1hYRGF+YhTSXlhHRMMtEzynvgXlcUbTlonwH3rncuekJP5ZSBJ9VlTBZoGpodlyKJZcqFXOCp+Ss
Z8cQgEvIKbSD5XYywudVjc6ECPGfYpohsi0awqVi9NK+BrLSZtZHLwxtX+8er9vgukYL8g2o6nGw
BRsspjzFkBZssAcSfTE8jknt9qMk4SYTsmh8dmOkhZMNJIeQrENmfAbofE99SmRjLjIxQnbE0cEf
WSk4tm3njvE2A1KWJACTSRAClJ7PUwNGTKSUADBc9hTBawMEfUnmcM2l28a/eyImrqaIjpFeYbls
2nh917j1/Ika2RJgIWmFKgK8z+WGAGKMFqG1HJrUdC3nLU0zH5RZkrh/dbVMB5c4Rhox5iPshwpI
BkdXoAclv3MMfSedhwfc/6cQYUvKhHWhzezsmDSg/qG3fKrk5ZC1YATtx/+riUjllAEtu4oXT22r
h+qVhTcqCyLJbbAqw9IJkOwsjPaIaAlpCPSUhocIfuOvevc717dDfKwMyc7LpAgeTJ3sJMZYOpyy
epv7daoinH7oe4lXWZfiYFZ3ATbHAMelfdU9XrBamrJjQ/OdFh+y1tnomDArXq97r2VzxSos2kL/
lSPYcQSUPKsqM3acC3RgOhiiA0AYGh9tK8WcxhvriScNuGS6CTF20aHSjfl65MJ/pM5zd2dFbmZI
JxuWL/+gGbLKKlLUyzynEDq23MB1if/imM8Ps62BtUNDM/ietZ7e4r1C3MZ4L+cv1Vy7lW4E15d1
7eBiegD3NsAFKOrBl9tnzDle6c6IdoRyiyJMVd9ayct1Eau1ZuTc0MBnoHSBvNWlDBNz5I2ToupX
AiPT0wjbGsl0Z/VNwNmTPt13FKAxYFagjQxzbuVhi+nYZT4QmXsUuYXbaCiIzroIzm8uviuFO1Qu
ZYeWeChv/76u5IqpABEU04EITf4wDV/qOMeguR/Hih3Tge6Q+gP714Zlu1yWkVuXA02W0XhM6wtr
Wc1Ajq7Umh1tQ3kejea1H6x9PkWHAs/R/+5vodNfWcu3nN3lESkqnuUtO1rtgSYBtIp7iY9aCYAu
RAgbpFUZnQoL6gBloPF40vaupqcPIBR/zEa2wzCE5FpfuXAx7bcAkyx1R/SqXOrEdb1qCgO2SOKv
s9W5tqysueKnLgQIGjEbIzJji7hxVhAwBpU2bSO+tx+iIt6YdbM1yu11y1vXCKllspBbIwK/1Kis
W6oybQlUIvNd0egDpl6+XBexanTo9/hn3BZ346WI0ZktZZygU9t5+a+yvYmcXVRKLsVVPdDotUyH
4hoRsWnGhoSVQuDg85Hveptu4vG/B1u4ov5KWL7gzJ5nEjlhlTCcndh0Ubtp0c55faFWvOmFBOF0
Ijev82mGBFN7rNC+w+pfKKZ+QgiqQqaNrBky5SJeBU0ttYgY7gtu3ZRvHUbggutarO3EuQBBC3Mo
JyPLIUAv3FB3h//YRLi8TvGuImBPRIUL8N7CGSQ16Q2UiaEA6dFQSyNvnpwd0yzXmhLXGB7ViZyo
JoOrWbPic7HCQcGcIAOmXM6OcXhLmnfFQP4bPe6RrMy0dt9d6CfcqSNSUKmpQb+U2ckxzDWMrbQD
83uaPDB6zyb1fsI4QT4AN0XhoWxeZ+3SO9dTCJMjte8MrYT4Oryf2Zd+GNzZ7aYymGjhNaEk17C+
qigoIGODso0mxEhJ38Ss1CENjPQxQNQ1w1fYIacymt9VOdoygaRjRhcPmsvDi5eyGhsOdg89FnN3
oMUhZwcnk5j+YtpCLLa0gWLcHnPA+JOwdYplpHU04xqHiHB4hCbSUrVMhLA9LLYaK1oiBcMAzqWd
WV8tZN0BwCy5F9YX7F9VRAydzHKUiNi4WrN8aX3hgzdXG+dTzggEsQuCJyBPxPuUlGgirOqeHVv7
2Y5sH+5oKKtPXNoYrAdJAK5WbP8SQZ85bnVS6lBpsWS6ouQ+r1AMUVJaSvZ+Of8f9v7P63WBlEGq
7lLK1OYaJt0gpVFNH5sfkodKPdS89zXZ2M2ah8VFgRoO4CQ0sJpciuLKkAOTRmVHpyxq37EY8ZD/
niTLtmZpmopmUtBIADdMbEtSZo32CWh7j2kCtBs9/D5ric8cIqt6r1kaXi84lqh1oFDwP6Rd147d
uLL9IgHK4ZUKO3dwu9vufhGcWoHKWfr6u9Rzz7E2zbuJ8Z0BZgZjYJdIFqvIYq21mBBQDZ1dGpkG
j0a/z46OxNbcxBLcM7mDQWn44zViPWZfT1mmlA1YJVXsTBxDhpdW9iA6fDvv8RwAAPP/mLCYY84M
Od+4U7EquXKsmhSt5hcz2oFG2nWoqJbJ8wBt7fCwcevCpY8djpbQejGG/NzWUYCL11p2vj0argXU
SVeqTPSFsZQUGYQSUQDAWUSTKJGgOV78RXMdmNB+W2Cu/nk1TIb2cT1uv7U0Pxb9u5w9R1a2vz0S
bkLdGmL2fxxZiaoXGAqaHcPoOKee9mg8o848DwBXec34FyesrT3GodNec8ZmPcatU7f2cTSPuSW4
+fA2jS6jAQFnobUZhXE2m/ZzT01crsDhsZMak1Dopy/dW1g2gtFwLQHmjm5/7E/wBFzvnDovG6tX
EKI1+aWsHxxUFRINb2C5iN2ct0WB0wLpIlAMOio114ZipwvBjzJ93BdBXnOAM1BhWuO59dYIs3EQ
BWiVdghqEVhJcARoO1MwX9xhgKR+fVfFjYdlb0j1Phz6ARbGvCUd3iRb45dsCO4iIiProm1SmhYp
kgkGEMTMJPec/n3doM44erd3jsgKc+Qd9SGibQIrVRGVXjbYljvZdeuGaSrqLlnnnc2e0AtC9ASm
1UDR5XpA9awXMTBOuMl/Nd+zp2KhZA8Nxbb5Inps4oVpHfjwf5ROIJV8bSmTQ0cqljQ/O81iekvR
jD/bqLJJHMvS41wU3wazVwU+wd1DKwzSwgOeBX2Va5sKwJW6nNEcqTTE0+fkNrQlWgF4+vjr9pLx
LIE9X4X/gRMYhblrS4kUg/a1yPKzYpxbCB1W8SOQ+URqBGzhPNdAa9fKYWlC7JVtWJ/AgQCWliI/
935Yu98b+y9cb/v7zIxVxSDZDaj1zrJ16ssz2q6j4eH2VPFcbmuC2UPAaYGe0chhIv4yjSfQcI4n
9Oi6vfYLTwOuECnBCz2g/kJjpgMvh1LK9dIoeBIqoKqZY8/OZDF18NS/3B7RGiHZTYT2qQ+SJxTe
2DO72jbtFDUYEQWPWU+humJ+TV6bJrCt0s2pSN2Vm1jR+LO24ABTgIh3PSKoPGVylZewF7YPbR4/
lngiiOTulKamRKbse1S8QwNGCRfB0vG8fGuYmcpmCFUlb2G4jZudtMxkToYgzB8zUWMwz81NFWgJ
tF7iksoSSnSJYRSzAzeX+p1VHsN+9zdPnujC+W2C8fRcrpapBZ7q/DFZiTv3xyF6v+0YomEwrm7W
GugoZDiG0j6OqZ8lF0uEwBaZYAKPmcWh09gwgZkCTgIzpZfHvxnF2h2DSrmGBbl2N81IAfBtuvys
atESQNlScRvNejdmJfJvW+KFBtwTUS5ApsDTJ3NKSKOigoIdLNlTNwKToQy4yBnoKHaaSXYtaIhf
+tCs90vdKW/LoIoe9rmT+ds+2w5UZYmZGhZChSm/Yb1C+vx362VDYWUl6zH/2LtdJGXrOya2kF25
Ntj7ysXVRdAA7j7dGGH2qWSPEBuz7PycROMuAsnzODwmtvpQiSg5uBO2MaReu0YWOrI55wYiUeGv
CDRUXqxWcOTmHRxAX4X+bxBu4DDM2qCg76uNMD9rsUya5tJC+KeQJeILUh8viiNH4IKPTuNV1fp6
LEmxOFYraR9jkVSi1yR+sj8P8UWYkXgj2lpiDl1GZ7aFPejIgGrkxcVzWL/r2RB0bUiqYX97S/Ga
ilSQJq2tI4CfoefwelgjOr51BFgM673MyAKoxUnzHuzehdxE9gaaU4E9nkts7TGDG/JkSJQULqEt
/dkazInUIKm0C5OAE8ifAR9AR/G0G51ftKUgYFePXW98ddTJrakpiFzciUaFA1wQYCVCheB67HI4
gAUhjYtzLx/HWAv6NnSt4tQZT+EoIl7k2MLtY8UroaSGYjkz7sSYZhvI1eQsVY55X8+ySbQoz4k0
ApBltXnprUTdgoD5wSLPHD1ArAd8GY4BChaY2RxGDvpKLWoSyNZC1PGlNILcJJNDavV+rmrf0ZIH
Jb1k0kDk7G0aUVFWvihl73fxu1b0we2154QdfMxa6AVdl66yzVfmCMp7Y6iSs+p0AfTEWyidSruk
LgU+xrezVpOQIpDCmfNPYRixXKh9ArxGWgdA3bRE15PJBx5r3APmVgsiw7p0f0wysh/+xgEfmKhr
N5Ik6G06mOjzDF47stCw8PrJUAVWOBsHFfLfVpigrVp6YmkprICNdyyaIE6CwswOt5eIawSMjGv3
ElCP7CPOWFkQ923GBGRcxc5SH3Jwz4TJ36zPxsi6VTa35CovcL23BzyiABuafg61XzEpNUFa4DrB
+iiF2z7KMWx1mUo51CosjGRQtSOV/V/L7NoNFRQXP24Hf6z9xgwTQpLZmNUlnJJzRMFJrRypeQ9R
+11lzO7Y6U82nr/U6FEpnmcZXNWm67STF9atp6t30Kwjje9MZyv9Bo0Yy96DdAN7+SzR9lCO0BFU
7o0Dumf9vpL8sL3YopMbLyatdPUoJqJRBH041wsxqGNdxoqWnLOSNNKpPtDX4Re0KP69T22ssCXL
vAThW6fDCo6gONu5lOKO1YkEZLhjQZ3CRkMKHhTYMu8EqlWarVYKzQ3xwLOAMP4h7L7o1ufbw+Ea
AncazhpAauMAcz1pIA6TeujFJGcD7dQPmR39bLoEXFphLu2MaEYFu0IauW2Tty2Rov5rk9kxSyyN
WdtjcEgZrpl/m5Rj0gtyBW/DAE0PCBXqltBMYFNFN40oxCfpGY8/pMsvrfW9tHYiCkWdFyyBV0IG
QB0OhVJmKEqaVWqUw0zt67vhLO3BtVB44aF6KN1xV6QkIhZRSOlCsi6IA+q/Pn9pXO34PPjGPnpo
3FYl48HaFS52j0sP1HspSOGmu+ww/Lo966JPZSqfw9zHYWLF6TkpcBZqv8fa7rYBlqZpjRvg3f89
GcwGlKahzdQQk6GZdIf3uMCcOjLIn6Go6U+5hj6WY2M86oNnWSUY3ATVSpYPkTX/gRrfBOJwpFGh
9xig+mh9tRLSL6R9Q/slfbbvh2/h1+7bdFfHJH5Eye/2yPlTa3+g3jEFbPU60ptBTrMSHC91BDx6
VlReDAZnwbZh6cf+GSC6822kMgBRHCZnmmFRI2E36RmMJ0b6FkKy2TLTfdUTSvQ2ARerRfAgWMxe
N2Wf9HGPN0iTDgEQnquy0Cx89OAFD1QV/vtBzCZz8ilsowiIZisuSAPcw6S4k2q5OpgCl0mQzPnD
X6krsNMU9N8wocqI41yO+wLu1YLIKaTguowJDb/GNqH9RbsU3ye1JNoQqEMaTBflkzwHkfJQomIz
iFq0uCPffAuz7+t0liJwzIEixvSs5ccoQWWn3Jcmqajo9ZqHdQHq0UBTEKq66zHwOkRn4CB1jBEo
+1B+LFIbmJ2OUOUi1cdwtoIwgghl51nO5yrxp2o/6zFRx0FQieUevbcfwfpeleA1QAGkHDf48TQg
arlLe4lIUpLoc/fuTJ7ylpIZgIfP7WcR9o+XMLbGGT+L0f8C7jyA/0EY7U3mG56s3LYRhK81OrFn
n5XfXQOoB5PMHhYdaJPU04IRNocMB18VmqjFccy/y9p5GL6hteMvMhRwKB/EpaiOsFU/yI9BS83A
sqJzsU7wMomuz6RE3UfUmcCroIKsD8zwa9EW1wLmVBelVSihBS89F3Rwi/hTrVju+poXJpXrDABx
IErjkvjpdlDk3cU19E7hEINnEBQ2Gb/NNZpaeQy461Q5Qb1k7pIFYfMTnJ3KmabOxVmelWI5poKj
Mqsu8k+YxEkGjc84DeI15Hq/KHJcadmopmdH/ZGqEx4SSx+84GQsT0UceaBYRi/XTLrIhCjZQsyk
3eOOJahE8M4f8KL/fgQTrKawSNLWAIGAbH1Bx507gqYAkM9DagnciOe2OEuhTQ2dogrW+Hq02pQb
dq9GFKP17C5YvnUZiQY3+WFjLwruB7w8hycFQEHQFwc1BCbqgeI1l5bFxFUnMX6VVTO6sZRagjS3
fjC7Dy3kUIDsVjW5D3nqTRpv6bjkyClwG8NXp8e49rVvZXyGpmEvegzmRfGtKSauoAEO77QVTI1u
+aKcs6cKXaPkL7bB1giz+/QyXigdYcRSvbd+JFVOBjddiJq6QMXGj7fNcWcPUnMQnTIgx/WxOTaz
Z6WlndoRrIWWfJj19fmZTI/RpIChYyBhK3BzXmReibdXtNYqFMHscctO0rVHCEFz1BK3qMOLk2Xv
YROKkj9vqSBD4QC4t+Z+9uwzm1HkUBl8I53W7A1l8PL8tHS7vnaV+JTN56gGh7l5pzovq9zqGGSy
uW8HaGJ8jhRRzxJvG9gOOArwF05i7OPuVI5yA/YrcJ5pFT3YVpf6SdQqgs3G29jYZOigtRG7dbZr
DYqr2lxNenpehnAXZ5JfJGjXj1vPmRLSFce2Hh5TqxIket6CAuwDhTSwgeFOw3grqHAA/sAjyDmG
ZBDYHqyKesJUy5vArZH1zzdOqiilrozooT8vzWO1vOjxIth0Ks9dthaYHBAuKNgYkB84x859afZe
CKC+kZdHGaQShbWQPFqv1XkvHeP8PqUXCSdWCsHjmu6qvBsBcdMJbvn+mCVo47Tu0tGPsiXQIQGk
kEJp9p0aWIkILy/6aiZp0LmRAJ5el5ye59KPJpuE2VuSuR0VhT7+OltQbVpTB3bV9RKAJAKymw6S
JJgA0K+UEAklxUwJbkcj7kKjWR6IdpwCAGi4trKAP2GgIazEDQSomsSV6MNtC9xxbCwwCy21yjJB
ERvnUgWNqqPp2vG5LETtSXwrkGNHJQZv3wYzjj7Ss7xvsSusyfIGPP2sNaxp3t0eCy92O5Cj/o8V
Zix5EtYxyAfAdbRc1NDwnPEXHv2GJsNh1CvkSCBvwTuiQPIMuovoiEEVn/G2EiS5eu6AKyQp7lDP
yyd66cGyiU69SLAdudOHtiqUr0Ek/4eQRtKEtGjD6R8qyhknBmd8VhURsyt3PBsrzHgw1KW0VmZX
CLL4WT8/2sP6inpcoO57e6F4oXktMUKuCDhl9Pxeu7Vl0qazQixUZiYIJ6VbG66RfQVUo9Kprww+
KqS3LXIjw8bi6jqbiJkUViTFCTZSWw5eqKrB7NQRsYdoX3bxlyYUPbVwXdFAZ9kqIwv0E+OKSUnz
mi4YIS0aB+jlxthPZnsoClqROosgdwp/2mVTKrqscF1lY5hZxBhMmFNSIM+bK8S8v6j6LwCtBOvH
NQIhIqibaitPocrMJprmwiUEW27oaDt0hFJUUVpTcBLjLhmYw/CGi+hnshCYKIxbYMUQM/AASnot
PUxfHPBsd3q5c2gvODSz5OHrpUeH6JECFTRc8tAhfj0kvQiHtpMQB+0qIbGy7MFX6eCmNeBFPCNx
6cYX+ZgTyH9kO8v0rfrTbQflbD50iqKFe1Un0y22+BZHmqQYWUZRm0L5XYuqr3Vcu1U5Wm4YlYJD
CtcYiq1AYKFoLdtM8rL6ZsqoBMqXUZ4Lb2qywS27XPNsEKf5OJCKiJu49my0J6+kH3gtZ3cDtQ1o
DHSgQJg0AFwH5bgq8MpL4atJ/OP2RHJ8E53WEHFUNByqbbainNe2WsnYfHguB3ogyiaUlQCO9/Qq
TAVOIzLFBJUWCkCxBOqcsxKiApD0RJlS0igivAqvMAvPRCxZKXXBPMvs6TFKqhnPC8DWmp8SAgZx
j36mB5mE9+W5cofAOEouBGkOtyeSs/+urDJBGseCVMrl9STlxq5Fflk76t22sO4p5qaqr7RDOBQA
6+p8HEI3QVnK5iHvLeA0m3EA/YxsB0Dlv962wUk1SGlAB6/ayIjFTN0tHqPCqgwgJ/UaEhNgATnJ
EfWX0tdaxS+T/BXUUZ30ftsozzHQGQLlQh2Iebw7XweTeczSstRsnEOBy6LNW4Y6viRaH06KweMW
EHao0gAwwTbj5mZjpR0uUOcual3qqIEcfTKOseXK0rOQ/ZbnDOj4RbAA85GG1oXrEeVzb0ryAmNl
8ZI7RpC8aWlIxjR30dD3F5MHFBA65lceVlaRqKuqRga9CMaVlhqBxK+8QxNW7lbNLBI/4o5qY4q5
rElLhjtOhQ0MzTsw276N46fZvm9QJ6krUWLmOTuAJwi2qGrh8YK56fdD1Wf5iGE50afBRKdnqQuy
Mq9OidS1sn3aKP8AEH+9SCkdY2vUkEOAIiaRU+PMC9GoZnZpJpGkXXZJ/tNA8duR/wITu3It4iqv
2wD3sg6vSSYdoxTg4Uoj7etQu7jS3/YKXgrRQApkI2AgtP9RlLTGOEVFDbxYc/Y56ydSluUxSR0/
ET2D8zbv1hITbYc4mfvUBO1M1DWVqyRmRdJwUl3byGRBABSZYkKsttjpVJbgIanj9yp/H5o3Wxc0
NfHnDYEcWxfFeZPZuI2ZO1lpYTSynrqltOq5HYsyCpJekC74Y0HT2HojBuKX9e+6ypamwljGyR/K
fYbDi6AwzR/KbwvMUGytilodnnaGXux39AyFUF0XbCHRIJiDbbj0dR+t9Emh+hpXpBm+LaKkJzLB
xBxQqRQxuAzBHVAd9MBwfGd/e6fwghoI6laScgvplQ00ZjXHzpyA7QOqEk1fkbC+0PAw2o8/b9vh
BbStHWY5Go32KS1gZ4CQAPhVpTTf/XsLIMVGgcVBdRRh7Tqe2aHhlNYE5qxG8dAPM2svt3//o0mT
PYBsDTAHOKcaJTWkK61CRlqt9VW/LF080EV7a3kak/elOKR4fs8Xfxwqt/rSgaN5cevsbc4dkh7T
6FB54BeWRAQgPB8B8TRgozjvoc2LGfg8SxDMs/Fdlg1GWunXFD0Km3F5y4fXLDyggWQEuZYJc2Ot
TdZgOch9BWTpADvQDcF+5T044+T12wQzjDBSc6eUIuCG83QfqZc5HV1z8tCpfx+m6D7XQpkoaHqc
6s9dY5P6iZaeMVu7UqGeFn8yklNTifpaeKemtacFboUuAFy2rn1q1qqBDj2+KbLKi2o+xfNPJa1P
aqHdNZp+gGCLqE19HeUfTob2lvXes2LNmInO5EUdQOgIvojyQVHqoLJ+9mtFOj+Z+fNth+b1n+lr
Mzx2C6RdVfZiV4VLWVYq2LMgm3kszvLevmheFxinYa96UHJyc998Si7d/fIdNIWeTip39iS09XSu
7uWBtZOJKcKo897ftx/Fvr9PUq6YEcVHhSo2kZ7uceyGerS+T2R7R+fW60BCqfeXadZdO0kei3Z6
sDv7Czp9g9vzI/wUJmbhZaQLWx0pRLrP99Ke3uXHMFC+hHvwTp7TXX9Inm5bXBeXXXysOgCZQLWD
LZkxqIe0Uqc1Z/VAs8YjUacvQwXacEH1gOfVWzNM3srh6aoUY4qn4Umt3aT0kYTpHvGpE1jivUpD
yRISu7hVAZjAEj0pjT5oqYU3zL7Wnxyj+elE3UnPjI4syWdb9yj1C7Q1hI3lKY0pyG28wIirPS4i
uNEpyArXu7ftpVytwfF7ptouXCy37uJgKkVd6bwdi9ZstDKgERIlSmY2I23WjDpFTx9CBTHTWkI3
ZgEwLSAS1aD/iFtJ8FTFNYj3WhB3w1OAPLseFipTXTeZmNP4YB+MJMjdBkLu/m1X5M7dxggzd4o6
RiBq1tE1iLeaATSEtfOm2oIdxssqgBr+dyTrR2yu9Es8oAHbNJJzQARL/0HNwG6l7U8zcbSvWotW
60/PfublhJ60XVqhQ033urP8q30sHpaT8lUL0oPu4rb4ADYESEw/d8nRFrWeaOuC3PoWJrM5coPL
joNvcWIvOsU/Y9f4agTomsJLeOaHR+2sBEhsRTCe4+407dBTRB/0U/46+eV9+CO/7+5oQMn07KDZ
wLu9ztxTzXai1mCxWYMhXuQwjuBNCG8+WGERD/wIrHY+xG5zFL2P1avTERsO7c6H5DBJd+PPzk86
V95bgkuByLGZG6mlzmqyrI6do0SVvSReeogFbYu8CPt7tMiz16OV5KqLoUIFt/b6ixk0F8F03vZo
vMFd/35iZKVsSFhq2fcj9/ZS3Z4e4AWuf7vQw7E01pXCqfIHtKdd2RMpf93e9Qbbu+RINMQBD59v
mic5P47mXrEFT4iiGVr/fONvkrn0Y7a2I0vDEXuUtIpINUI0T39ElTDGC846TxkZNPCCQj3hJwV7
D+obt1eE9/ANwvX/BDDEquvBKEh70WDDlBeWd6r7jkbb19Sjd6r/OTqNz0lNfoGjUQ3og3qacZve
0a/Dc7YXoXZFc8oEmFSG7jdFS8h5sS/lhFNaLDqcr377f4cwHB6uB7ooctTUPdKBjn5rjVBPeel2
eMG8l0Zi3Re72/MqckMmEIxQU9OaDIm7OAfTl17wnsF9vdmsGlt80My4baJ1MN3P+U5ypye6y1CJ
monqVk+43CX7proby8ssOipwa/Nby0x4UOOmnJUaAytJ5Tn4xzkdSLRXX9tDfRh3zh2gbCME4wR+
us7XjdX7aCXf7Dl9iAENDeGmC7iRbVImQWuQwSvmd81+inuBs4isMeeT2pokCYTPybnxgNr8Ouzp
IXIVN/b/X07CdjtMsaRPiboGEsmr4yqgWubXpiBfcMcC9RBggPDQBxjFtd9nVu9UKLxhLEjd8RHd
ZJofT27+ZT6JaNP4brmxxThHExexGaWYN1lCJ8qkEmdRyTRZu8FBu0wzQyTlq1KSOMsfk95CI3S2
M21jZ5v5QDoqagDnxpTN1zDZxp7UuJttpAIrGVJ3maxPeqUJu63XX/nDMzdWGF+x9HkM5dUzw0vm
LYG1lwPtbJ9x3EiCIRAB2rmZYWONyT32rE0mqsXI/gnJgfk4WKNXWX9zqN0YYdJPOVLFmeR1jxeK
P9fPcy4JPF+0NEzW6XWjq3MHFpziLR9PpSzquOBf2zZjYBIKUEixMfawIGkvaa/7YXqY0z7IqY9e
kmQ8KvHglZB8sFExvL2rRRuOSTRlZqZyuzpE/p4c813lKyfpWUfl53Dbzv+x2z56HNf2WjYmNsnU
TE7UoxtVpeD/LXrDVN2kp33iVlNeKJ4tl7OBCx2dRwLx5/ExVWwICteLtUBqptSqfa8qRbILi9wE
GrZLkA6dQhNRqa0D/nOH/P5OZofEA155UTBBBAoDfcJ5vKmIH6kP0yiYEe7RGLfJVbEEcKE/KsHK
opraiidqaOgCYUPCOQjH2hukX4Kp5276jSUm0MlDotnRHKFbu83c1ARsxrmk0ufpUwck47MOgQoT
EQ1iW5rydNs0d4wQ2TZ0XNVBlsr4tdE6mVRoOSQb1ZwkqaaQwXZ8M9SOWGfReZ27chtjjCtri1wO
/QTUSpwsb/MYaQermNbntVh26wFQqRn6ZoE9N6KCMHcPQS8X2rZ4xgYC/zppQf20MeIcbcJd+N1B
dTQZ72f1HI1BE92n6CZCU8rtaeWOdGNw/aDN+SIzFCmMBxic23EHtmP0K91NYMOJFbwiGYYXL8fb
BtcY+semsAGzQLMPcFbsOi41lD/Q2oPN+55qxXFW2hdTAR7othVuuoCuqqZDI3gl5bseVplAWM+e
2vQcWNDUm3bQvEp1Eol4DLkvsWjWWBcMSHuIfF/bGdEvOFslRlOA0WABclH9USa7WcqI0jwAmErK
Gq20oterD5wcO4lgNIV/APiKJzhmeEkflwMEU1YE33Se9+Yx3o2X6G38ZI2kf8wfzQOy8HdVIsup
2hePc1Ci/Ns/1T1pnlF634luU9yQvP0gZh66MbVptH7Q7FqB41Pfcstdc0oD+qwH9F57TR8XYapb
4+etWWCSaZzN2hiGMCpj/OnD99BrfGm3uMr5R/4gutjwPGo7Qib+WGC6sRrpY8qL4BfAZaTwb/vs
h0DgrfEwm39pdSNJRpjAY9OdA5XmO6d1z6i0ntSH5lO9r9x+jyAUKMfwNTo0x/4gf7n9CXx/3jgW
Gw5yKMeaPT4hOxievqPHjjQkxK1XdAXghfPNdLIXubBRw5w6MAQan6Z7rKojeLAhGPZye0C8aLM1
w+QrNBYuUDtDeEOhXCaaK2o31QRuwZ5FhmhpbLPAOLT7et/7Ex5hQrd61Y/Euivv9EPkL8dppz0Z
7hjMXrLLCqL7xfc0WO5mb7qLz+MX/PuoEvo93heuITgZ8DBeaDL8b6RgYS7pksaoYeL75uKlQePf
RXermCQZJJfc5K7wZOt76JxMXFNuTzz3HLo1zISoqY3MHDxaCFHu6Mokda2TTmwvP6jEFmwcXg7b
mmKCz1IMdZ5Xqy/5xqF5QFnAXyueggGJXImJNpHeadBagpXL9POBHibSksEf4FO/ILNxcO5zQa1D
NCom4AxKN9dJDHudZ/pO0HvruESqEKJtyIQcXa7sxBlgZFGIdLccKWzcnrePhtYbUY1tVjLA+4Nh
AI0M+Caq0hXo0t3yqPqmZ7xU9/KhH9zhUtxNLyXCd//zGyRgbn8Bd4wAda7Psmhb0hj3cJZETq0F
OdppHoGJdaa3Vnu2ekG5gRsIQJ8CeCFgsWBSuT4JzAA6RWHeofHcIHXRu5BnSx1viVyhojQ/2QIg
AOlXnDjQUnltqgSTZJFrQAloTxbY7+1gBPLFTl4mRQkGW3XxBEt6YC+sXgfPEMBzFyP/loOB5Pa8
ch9ZAdgDehMAOki1rpeFzdkxlXNzSkMMWencsfoZmUFd+QNUJb4m8lsDKiVzmYiT5n5unBftKOqL
5NEoQMgSPdw44ykrl9W1fQT3zDamtTu90t2e/tDniejgiizG/fiep8EIKdLxoEzHyfkpGDp3tcE9
tgIH0WvKMj7LdmzoVYwuctUeCOLqVL4moEwAFknS92UvB12+wyP0Cu7HsdHt9Ee5q8kyV2RVRxFp
aa1Z+Y8tho4D6IKBIRoUG9cTUUBBzaiyFYtGC5tkjfTUl85T0kFPzwGk0k+zNCYjur9BsUVfBVOx
ptBbxpkUS7uqaaQKiAsIkXlxo3zWtdchOgPjclhS/a7twZiWR375Hv+FioCOXl+84KLf3ID87PWw
UeWIyq4HLgfSL519SezzWN1PIrZG3uSuABZ75cLFjmO8vCiTxuxMB9mlGU5RUhzVqsfI6s91rOK2
1H1bGuUrCOJ+3J5XnodtzTLFg7BdgC9aYFbddQAmRFXuS2FBQqu+dHMv2Mq83IamfXiyA7padNNf
z+RsalLVLZhJWr1DTLAE3laoHMXLZ+A9AtXqumdV9mrb6lkcSyh4wTMit9RecerTy8KjqT/3YAcq
FUHY51bsQciOt3bUf4EUYMKkrNblP9CcysDLaPstqkH+X7ekaB6dfZ9JQRXjlQmoadnBC0Kyr1UU
brvFtyv7WxXLgscz7hQDSQPeF6geoFPkeop7Sc50KcZ6anpDJOWZakDkWiL8HffYBTYfA4UgECPi
fn1tZpzTSqW2hD0BXhft0HeUyNQCLnLwhtQH6YpeuUnh4u3ntrtyhwe+lZVNF33qH2/Vm1wQLouR
x10KFbzBXvUWjMn0xlDgptzRgXHCgKQQ/Agd99ejU5VOzbSqR3d6kpQnu5A1l2pt7DuhnB66Re0C
1D+101zhf5X2qzbW5qlHtV1Qi+KRfKD7Cp22a+se+uSZs2DXDKkjoeJ4HuaHiHpNMhKoJhLN2FuW
Xy6+IWkXCEXVS+tFRfyq6vtQv0goQpSrlnUX7f/95G8/h/F0aGMbDQA3aDW10n0P0pdlei4kkW/x
AiF4MAFhB1sDMPNMoIeUcDGONbJM3lq+5bzNU3MqLYCDTZA4ttGdpdakLv8lizKyGQphSPEACADE
hP++XnK9gYaDYXfKk97koN4c053coZID5T6a1J6S9//OkVl7LFA/BJCcdkarPE3mocX+1BF0F1nQ
B8Tslj+MMFOZKyWkPBIMSh0dv9eB6lhASPR82yvY89EfVpjMhUYxNGI2sCI/tt8Kr959Cn82+x/p
XU1dEYkJc8hebSFbrSS5wPfgYX0d8Wb/56OjQc9TVp7KpjHOThgqn8LSkL/HU5N60egYgnDKtwdm
jVWnBhQDzAzqqWZ3cQ17g7WbjdOE9CGpRTBLlmBvsSWR/x3Zb0vMLI6OXDajtChPUemDeLF2gGsv
Lqmn169tdg8ShXEUEdQzO+0fk4A+AAEGQl6Q1F9P5srqMJXarDxVxTIe5KbKPg1NUQTA0Zh+18vL
JyNtspnkuj7to0nXDgLPWWdvc6b75wNw2kGVFr13f4g8qlGcdiuI8il/SX8iZU6fjbvxa/4gn7u7
QgQa5GwGiN39NsYEU2nIOrOEtac2qU653PhZR9157nzBoER2mFnFs1tZaSBUeBoH3D3j6L6vbS+y
l2OtHatOcSmuS0ZuSMTMivtqdA42pUc5pjsaqZ4yD7vb38Nd5M2wmTMXCH+UKB4NDDsC94aO+tdy
gY6MOyvaKcl0ty1kyG63glng7puNVSacpjQpzLaEVXTyBJ0ZBWGYeLRQg24QadYI5pst8U1SmTrW
CCfqFHAK6ctXq71bdEt0C2BLXKyzfhwaNqFnGNIR504MSc7fc+sraACOvWKTRSmBGVKBwpb2MVKG
bC5BKekErFauSUV6U4LVZOuABuDmZTTAuaS8IsloHO2pudNT82R0g2fU/SHLGr/TRHPMi/HYPI6C
YsAq0vJRK9gMPqqpLlmJhFDxCuyhAngqWdzjsCseK6jdkOH1ttOyJ7D/nezf9pjNWqeDWZs45D51
sb2vwA6F5xy/zAd3qioXm9hdIOmbG5Am0WS3dZJAYJ/rVLg9fNx10UHLRGPHoXhBH2zlqQBDkDWn
F5x4XVkb7hawrA7OuDPmxe1n89QuZ72lTzOefZZkb0rgONYEFTrumm++hbmiNZPSofoAx9My1BpS
t9UJ8Cuzn5JxScgkYvDgbl0A1j+uEJbCDl2OpDprTSz1PL3WIMpaAkUnhaiOxb5C/LPCGzPMqFrF
bovRKtWnImubYMkhaTOAFC0mupwOEgg9UPxy07HFpalNQzc3JjTndtXoa3bpeK290KPaTsA99BJ6
09X5NbGm+mQ5bQgamVz3F3XpiEXLxUtafbiL8io93HaS9SrFZi+UZEA2/aHHZqzrttkTY+QMpq5H
6hMN6/uuKZ+i3pb+/TER3F7Ij6twr2axNEuJnfaDpaSYJXOe9yDbtg52q4CVLixtgSlugAP3CE45
IGkDtJTJFOAf0VslqdQni2pvNDUDM9uN6h14gYjhPFGw0Gbyt7hO3Iy2vjGVkVuUjiBvrMnxak4B
9YN8EqiOcBzAMzRzfbWmagEpatt+lo2KyEPm6kmIdsL3yoy8/yHtunYjx7LkFxGgN6+XNo2UYooy
pReiVCXRe8+v36Aau5N5mZvEzECA0FUF9OH1x8SJCPjz/QVcBkQZQ5wBfXtUNxFp0B3PTMRMIsf0
jdcn5TNT8W40FlZQth0p2XnHzCX2PVqHNx5kOq+K/jM0b6hoO4AoDPqkBCqNFlQMGNWEsfGaebLU
trcX2c3ExUFjmtlqp/ca2kusF7RmD7qIodnNgw1Az0aQS2POfz4D+n7Ia4LAmlvxmCdNHA6TqjXe
HL3MJ/Aag8Yq7W0kuXwJxSNIEDOmAvL6bxTMpvIQyVbGmR1KaGYo7dvJYQdSHUPOjgSozhz9Aq1X
ICY/AKzbMafmeYsj5CfoplcLKLuFbkzCYtFKDKFSCQ0kbhqv3Cmf2Vdk9nqF/qPZ8Y32wD7VpoD3
qHFqq7UGpzvWZvY8HFpjPrGPk7PVPvxTTrj3NdT1xRRiwqCm0Xi8DcFms9E7EwKTOvx1PIw++fM1
GTH5DoyNMOHG+eCRapI5uMvIONGwhqybq0DL2dbjIhBvFnrHvykSpr7AjYm78/75WN8IYPxDLx9S
D8iEYNNSO7VqgL1rW+zUuC8dJa+9PPml1aWdhC2yhcGxSDhj5iQQ7Q/fLfPVqW9Dym3s07XrsXzE
gq8A1YeKH+pKQOaf75lSbrxEA62IXO+EKnYDVyqMWOT1qTXQEojekx6SVINCoBv/vjELN64JYZE0
R9yJlnQ0+l3f88C7o7Esj1pPjN/8oQVv5Vcc8DshywnYJggo38ok3I2vTQ0Z04cyDZw6bHVgXKTg
PeISveTFDY+ALoksZxcMDfgeUIjKikTnSBjoanRVJrQeWCdQFzgWtc4ENoC7MxhDCk0yxu47Gm05
fqpYIMKy0kwEfiO5sMw7dQIgt7CQXKJHH7+o0FiGSkDu433ygqLiSKxNIJQeIKSxMfurGBFDBbIG
5S7YEhQ6vdrX4YSiUN95Yqg3AQStzER9jYRHBeR7g+cXBlsYXfd3wyq/GhxoFcDChmXH1oN4yfWa
91rcJWwcSs/q7ABvMz1Ooy6OPZGkA2rY8AgIhC5GZ96MZtZnTmM5ZK0h5IVYAjIW9MUSQ9tBqXj1
2WAca/cZAeQCh1vX5cPGVbJ+AChL1MGC/jtU4GtYmuwSJLsg7iFfOWrnMxF11JKMSbc4ElqtA9pG
pzcjWzVkY9Q5MzLCfWaxh8CanyTj/sz/QKauthX1VYtnfuFVFZLQQZKLU5+hEaOPRvxX3ee7/Nhb
FXjbhQPnpFZqFPoXkDG12RgDflhDthgbBIA21D1JaidWaacbeLKVE059FhWQzKnANihQqs+DzsG8
YuakJIyhbAyf7nFGTv16+amNxzWFBpzXj53ildWBdAR/vReQP2+/gZAhzdEnLNnY7XTt/B+jYOXn
QeaNII/GeWksM2RSLqnPszVgzgVHcmYn0rl9DPRIZtR6rJ8YtAPsMa/2/fVexkMtN6oUSP8A14YX
5ofQ/2K5c75q+THqteew8FT+oQKkLa5/ReVDGkcbz9mNJUSKF43MQOkvjB+0vy70cljHJfMcAShf
6QDqgHGYL+G3IB9jsOXGUorrkV2ao8VaZy6csZUr5lkBLXoVf2bNvz11eBOhoc2j4V5AoLZ8wMXU
SdUocHXdR57QlqgJNEQtLaCEdTgQOhdsMZqtF4pDDRSlaG4BE8NpvLYmMkGzJEBgTQ2JLwSk+MW/
iQ2aljaW6aah5bKHlBseFtrFScWpL/JWiDxeRSkbVX2vRP6scqpo4xVd7wfMGVCRSy0SLDf0Iwrg
LZgSmCj2lOcUtYVQTM0CxFsVOgsLErG8OW5x9qyDXg1NxkuFF83OECOllwyZvqIEjDj2Wgu6Kw+f
4n7SvxkSnzIIUgR2ovfmL9Zo7RI/qC1t7Mh1jnkxjzZ+CVW7BUqxvHoXO0YVW7YdhTT25JdKnw3f
Kp3G0ru3+0ea7qzFdXJthnrCBq6K6xiQIi8jvi0RiUwmivP6JziWd7UZ2ID9PnZGbQBnrAvk10up
B8bWO/JDx3t9sVx/BHU6UjgsShPhI8r3wGEIg9atnnS4umcSEdEYzSewzuro7iClrRJcrqkunYDk
2PBfbu3myymnnjM5zrhAZjHlCpm4kwAthpiE5SGpn+9P+spJxZyD5Q+wfFCOo75ODbcRJ1nOkzb2
JCQG1TwkjS6yPFE4d9ht8zUujj89uZfWqFFVXRcVg9/EXvM7MVNQxmkE20lXTV7ngczNAFjrLHRm
kNGYjc9z68y2DJbtyC6Okg6RFaMFrZNMgCwltc3aiKH075rEDmPEEF7RDOAbDWa3JVvwUy9dfTb4
JcH7JEl466jPDuO4rxNejL3eEoz+sJvRWacAyTxb/MLVQiad3bdGuavs2Arcc2cNlkyKHTqOUry9
vzMj348jeY4M5im0/4P1w+uE2wGVT5CJXB/NcWjxWoBq2Os7UMGoTtvNRltxjgw/IxZIxp7v21tl
+bBfgOmWf6ilQYZJ2QOnh5YxfZV4RSPvcogBFP5OZhSoKG0A1tapXMoSdRvUXYWgboQlNNcKVgDJ
tM7ylUNa2aLBILfwzha7/25s1FkIa3TkMXmJsUFyJg6fuvGxj0bSbo1sPYc8+Fvw+MogHkdkSDkU
UZbkXJEwsccrRt0dstQL4IzOu1BIIHsCYIQIf3Q+9Iwz2MkzF5Pyq9m6029+gwaGNrxj8KNoKkx2
HkL0VkSJJ09OrZz86AB+Jp77vD+jNMgFVzr/v/V4RGOcRg115EdE3mySeKOlAWZfmdl3+RQb/A4Q
fLt1UEwjbEGqjerrhtlVAmLpewiKCWbbI6Rl3cJtjA64/3nfWaxV7sH9jM/hNwa7vrLhIOIULnk6
5Hdpxdk0DYY04cfECxnLfwC0LHEmHykGboPvmW6vWCYVngcLnI4MJWXIY1yfeTZC3FsGbOpBF9N9
B0kggaMfmQBtk5Gc7afj8c3+evr68t+HU3JiStJvYVZvDBW55aWNT16QLgK1rFmmxUCZVrnnf+QW
85szk82HeJ0pwygX0imwFgug36Xd7qnkKr+vx9yb9uJr9xGegg/gK2zJYc4TeCKGZ/8NF+tDwpKi
NOKtM7rcLtdXPqxDmhJpXlBTaXQCHTIIbVaFQu6VxnhEVeAQ2G+crpJF1St9mLZi6vXDeG2Oula5
KenTRJJhbpc5mQv9pUyHNN9jfZB3AMM7oM94kR4bqzU1u7Wj5/xF83yTdbo34JHVR+ZX+rLlCd3I
KFx/E3UBs1oUL6qgyxSwZmnJemWHlmQOBm8Ulv+41cGy7Jl7M07t6rLsozoqlNxjGHD4qK6QPkjT
Sex0rX4RQGcSG/fvpuXRvmePetRLpldGSYQ91n/k+9QQqkMkbrUhLx9NGYH49I+UGrKQKBbg3y88
50gOJkGp2dBr6k+Weyu30lw3BgHyI7htMvJOoMGmBtHnWtGDoij0JOXv2D4xuR35W5CjG4cdXj96
QSGZDD9RW1zIizGMUqaNIjSyvJNgiOaZJ81GQLVOSyK2uLRAXSdIS+aMX8ICF5yLMYXA3BOXPrCT
XUh/Vd4qPDE4iEfpN1oBdNRw7++DG6mTS+urxwIVqYznwaHsiR9BpQ+vyZdkzYf0czCCByI4U2yK
u6jclS8CenY3jN94hjGroOYFNfsCIaMy5WKeC51QVwh5MjIg2HFqV95So6D3IFwM5OJhhIdWhgiO
3uv1a+YhauQiKLxgYiCO8agiI7oxhfTZpU1QZzfvfKUNMpjI0TfJ/MFwXqtX/ne2D58jxErSPvHJ
/J0+Zk+Dx27cnatE/z/GQUuNmcQY6QxDXw91oU4xjHvCoXwL9fBZPqYmgx67KCRbLwN94mhry2m5
OA1JMVbluFgr5tQY2yNgw8TvX+9PKB2VLUbgZYNhbKl3oz3q2kjcazM4UdgCV6+KtoWXJNPHGTJQ
w0YufhXZ04aW/Xkxmmpo0ZpUzYUnoClbDw7FS3rg9uUjWC63lol+4mhT1MTJM5p5eHQue8zBfyh3
6Smwg2N4jkm68XbfWqHLyaPuq0pLcO3KMKRALEz0/1byLk7s+wt0c9OhtCOiCrxAxumUCCczQuJD
AMcb9qKJLdB/lm/aS+ykL8qTFJNsa6HocgZmD8lOQUZDgYDEnUgtVA2nsFxcEk848SkZzo2rnuBp
HoTv6LR1Kd3YfVe2qJVqZwbks0xaeckhQoel71RW91Zs7Iflf3L5MtIDolYpRP+zpigwEu7SJ8Fh
Tzw6he8v0s1xAB0I8THEkih6XW/uyO8TCINVlQdhx9/CY/gp1IR/83/ft/JD3U6NBE88SsxAzctL
ve/aDC8lKbpwispL30N9PJxtyxoPBJ7io0/edNeJSbcxsBtzB4sguMZtt9Rzqesh04akC9im8rJz
UBH+1NrYdsf7w7pxipDXlxDJYLMpYPC9HlWQM0lVMEztsdxDnGqEzfQg2CIyuGUEGVugp4HeAKk2
9fCDWCfj+jJsvIjbxUCHJaGtAkhwfyTr9w/h0pK9RzFw0fGjdpqUanVVVjmwIUqJgmMqQ6UA8hnm
f2eFGgrbAX5esLAihs8M9EuLcbNndT1by0DQKaItDRoSTc8oFVBpa3yY6Lj9LP5mGc0Cs4gsIx31
VE5kAntqX+hasGcE9PhB5GVjS9ycSOgMYcOhtw+qK9dbgkvkRILUc+ONfauRTKkyvaunzcaY22YW
mVQJ9XMcq2szUtj50xQAXgO6ZVYiYNkGFXLe63xDAJHk39nko58/usYAVcymOC/tkGErykDZLBc7
OvYAJLw2PjMZoH0+8BnlBH069s2X0QDEvzbx1q68tZiXhujJBIQN8Hel8doc1WkRfCHlk7T1TK2q
ovRwlq+4eN8ZCdwVYQEQhAT96k+reRg/g6+80ZG7c4BSQk0wMkrbAS/DaNWGy5N9SDoiGUv2PUCi
/bnDH//9g7KQMS/CAGC+oQvV4VxIWcaVrdcoUXhe2KeNeQ63BA1XJZOfkQPRj0dEWYR1qV2kzNMc
qirTopig7rlDdjYscPFY3AHNISBh2KeOfEDNlzd0bbfxWP8AwK5fBGyiC9vU3dlV/UIRA9sFYd4e
UIzWS6Peyfv+1FjICFvF7ndhZcYrVNmt1Hz+e3+CV3UUeuhU0Jn2pcB1QdB5gGBaql2e0PJLWLvc
+SlBjt2S7NFR0PCPIsaZP46P+X6r6r3CCNCfQB+jIRsHVsAMBCoaij6Vt7HZ+8o7aHKVt1iE1iOC
vMZKKpA02jkz21mrgSKUzf9OQgWgzLFLiKwUxyhhjKKJ9bpAw7KRafjb+dwFdjF+SVNPBl7vCkdj
rfsTeMMrRuYDKPRFIAMgN4laP4j5ymHUATsSoButPDaBKTMHaMK/5Q/acesxv3Xd4eVD2RLpruXu
uT6iZcexdcWwncd2v3sxIdwQGffHc+tOg1uCwsXCJAxU6LWFKI5EZYyTzgubON2PbZHv6lytdbbT
NAIIfLVhb5W6X1YfqW0B6K+FxJKG3DVToqQMlPYQvkjkIX6WHpxnQNq+7w/rp9ZAH7NLM/QmU1Il
B9t/5002+lD30rP0hztY1gNnyE+14x9t6YPYhJx7ct5pZvzbZHauy5Lww+2A93gGmyX53hi6sJyt
e9+0rPbFhcvWzSxpHb5JBrOeeogVQMvObGhpqGKgmohMopu9oKpVerNkde95QsDVCES2YlTOBCb0
xmxfhPjAfbfcruE/NYOHDOrRn4xwK/+1qnTSq0S9DXXWtHnbpJ3HJ4emfxBK3cGEBFaua4Y+kOGA
P00EEbQZm7Wt82fD3RSW/EEz3Jsvam/yY89C+6DovCGzp8QGML1gP4HXCmpdcxjNbaS9lrnZcKrK
mQjDIS13EftZyqmeKgT1kizTBeZ9Rofug1IbmmxM2rkH3j0xRQTM4n7grWxAP+l3uauXLkjCMXad
nIrEHFVdg8hf9xiWj6P/FDdkKBvdn2TIzhLo8PRfSWZ30GEzZ9kSdtEfEFwd1ACYZhKM/saj+JPN
puYBHCEoHKCnCok2GjLZaA34kuWu8d4/Tp8AzTCk3VUkf2LIZwQqj4gs5Wdk9yFXSQIzNpafQsd/
4y8hKUseH/fmniX736nzIoCHI8bT/hyaIUBXE1LW//wMoHDBGbh/DG+ddgWPOXJLcEsFnmYm7uo6
y0Zlgluo7FKW/RPJ3YP4Fv9WGEfWrLxuPbV7jePaum932RmrGYOsw4L31uCOUttXKKLUR9au9QYJ
cnzNXH2IsfbOxsGDFs1bCjm3ngRFAHgSpRVcpcB+XJ9rIa6jvJMX3K6QHrLJa6TGKFnRUJCZlt9j
4QSqzKbayk3e8iSuzFLHoxIqtuYXuLB2etVI+SRWJH1O9sEL2peBWxNMTucJs2MNDmk2Ztcccrty
tqitV5UA3BQo5ywJ5gVfs5JAHJSoFJkekE2e3S/88xYfB0b7Mj2DU2IUAFAwESCexC3FhuWupFcY
HQUQpAZ+SEIJ6HrOsynOxJqFH8NIDwXETBtQ693fQ7dHdmGCml8mrJCTGv3Wqzi7xFKGOen50O4D
K2H2pV6UcH+HT4gvDq/3Ld/IGmBOLyxTyQm5jHktCzE4BDFWvYN0DU7yV0/+/AG+AcvJ6TUeqcDQ
8LOFiV/VR38W9MI45XPwYpDPXRgCHPsg7nv0ceJOCfYh7hTg4fl39GaNdmVNm8Rw6xzg9aCpIHlQ
/DpQGUx3Y9aAaoS6rHOADCZHCSh4AUT1gEsUVu4mhgbgC79ROF3VGahh0zGBlvlBXwgwzxzKI/Oo
PGrn8U15VB5Gu/vUnsKHrbTd/7PKSOECbo1GERqFXAd8LwcjTo4/kuw1OZfPoTU7ml78CTH4kED1
j/kleM+NyQYkM/zHLfKpG4nKZcr/9QXUUrMCEAWZiKUuBVNJdd9ukIZ3EvaQgYeTh3YjW5ns8Pf+
7l4Vb/+ZaZAtIIhGx4pKuWYqw/q50MAN4v6MOxn9rAERP1hTFKwo2KG9m33ipqOK4PJZTD1oQDAG
DxKIjfVe7of1/fGvj6B8saGBUlooY/LVtBvMkMNdPURCofdy+XZ/vDdvKg3yy4gVoAy3AsIGo8YX
pYT2ivmLLx7YutXvG1hWaTWUCwPUVaiBVUKJFbb1xiPzLjkSAqHD/CJvTNjNVw4iV/83Duo65OY6
V4SBa73kW/jDvCdf2ot6FJ+rU15sDOj2vrwwRd1/kB8r50iAKTCH8x8zjsJDGurQOOkP7HF80AbS
/ro/hzQtBrA2S58tfskispoSnW1U2JnLqgzHH9K69S/gln5le0naD8b4msSkOShe9gYKEsj8bhhe
dju9eheGaeUhsWEZuBUaOkEQhNdH2dbetUP1wCEk+M6s6GlL2+3WtbOksPBowi/CpqTWMc7RhZrz
iPja6gFBdSjXthS/1OJLXc1OC/EPVJYqAtGPipnIyDqiqNe5sMgLd8W+znw9T3KnyK2i2Vr2G1Nx
9WXUsndDLXD+hKAD+kt8dZDQfdI/hfyvPDHE+dFnrOpX+zDv0/jz/hosL8vVEnDomwMIeaHpgK9K
NyLXaji0HdwpF/1oGoD+so5H8NxNT5Vfm9zgo6N/Cze+athDByYu/Z8VAPEaEkL4potYMIJMIArn
ZeOGzCmYXF9jjFE85S0QO/V+egtlXZCPRWcJA0ESLJ5stvu6P+p1FgyfAFgAOt8WISGAva4/oSjV
MIy0tnE7BW3HhGn1if1I+dYMC9biJEaXFcRaj9G0S6udEhpV9sQz3/M0oXWrOml2Xv8NGCKoesds
LMjqRlu+DB1IGsiA8AjRVelZarsafaONC4IcoxePFfPdNt4wvbey5gh4Lu/PxOotWMzJIgvdDOg/
I1y5noi2yBiwgwyNCwkwXQwP2hjpcvN038janaSs8NdWCknN0kkeG3fIvpUWVNOtYmh9ZTQsMkjs
OUmsmHdyP9OrzsnnlzGKNs7X7QW/GOdy/i72HNuFkhSg/dntKj0Oc1thWjOucl1hpl0zFwYX6WJS
ErDdZsmvX2N1FJOPtn0BpYzph9Aa2YtKA1K8J/SecUHu3J+fm4uAZOyi0SqhMEcdiILP2UiO58ad
AUHoAmf0Gz3td/++ESS7FrZxUYTWKGWkU9WobhW/cXuV+WyaqHaSRdAANfUtaod1lhPLLQuo0YMk
D6jYn8j4YrIboQvbruRat4dorxz5ZjA+zBFQyqLNQwwZbBJL55Hg5JnRCOe+OwvjXuqc6Kk6xD66
p7L2CPKnkLdCtBF8RHpsDuiHzfxTX+2K3i4UMoD3o9KraguxcXOfLK7ZAgDl1vJpxZjI6qwprZsw
3CEZJJMZejKF0zlCc4tYQLpKfWKabx8LFTZwTZVPxOGkiZ6GCMjiLCVJavHvHeKTtjRSkTUY7Or7
C7l2ETC9oNNSFTT5oBLzk8C6mF5xmuIqg167Ww1GyAEFV+RHdJH7Zg/x9mflLyCck3Hf5o1n4sok
dV+2XBxIcg2Tod5nDx3wRsx4Fia3R6CS/x42+wWXzUg9SwtEFoUmDaVWka51RbggkXEKOrf7bls0
x8tEO2f+eXoaxprAT3UiaaMh7cYZBHsCOAnRTrK0YVLxwCgApZpLw+gimzMbWTmgXyTgE71hlXDD
1OJlUINbbnfk0NF6jC4Dyv9mC60OuWkeXWCujJKHXtJCrQce4uDj/qrdHNOFoeXfLzYK1/NBXbbs
6PatraQlGP733bTFerTy8eFAXI6G8qnUpsEb22A0Q/IWxJ+l/3p/EOs8GmWA2nuTz8lRHMCAxBFO
ccBUGk4W2iJQ9pSNan7sX/sNf3+9QOAxWG4wlkdlHIO7njeR79JE8cPRLYqosEOpTA7twE6GOk9g
u+34LUm49ZuP8gYaaJCwQ+8vJASu7c2+FAOSUY9uEClOe0rFgPh+Y0LV3ZgTbPgg3uoCXy8aAAzA
ZvAwi/Qd3YPdi6CpQjFudFNVQ9o0Qst3kitbVtaRBZgQfgILBQEGNjw1kVMqdaEaSZjIvlJ2dZqp
FnAMoJZmy8To6qx0oFyUOGmN2KKZ8u9e7SYzgvAtCbIxMMHiFBC0mPQWIHqBqSZjagtBvZVkXqb3
+jwuYpUICJZMHphYqR0c9VKkVUI4uRAcJpoW6SxQh9ygGupgxSB0v7+fb039pTVqsRtNayR+gt/b
V4URNJIjNvkGcPTWgMCyqMKxh9CsQrOsTUhLdoOYTK4AsJf/EknYRg+y8Mpy5/tj4VdhCxYY1Mmg
kADVKpr6qVszSf1IErNucsOysML0g60tFcD6uNXHU/2kBGhvUN9CdTAqQLfD6SOKz1lgx9oBTAcl
eo/7P9KvPFKIunByjJ/3v259/YGH46eaDpZZHmWE62M1KEqmTdUwuVUSHCMJUBCtmkgV5unGi3xr
SRehZgSWSMniCF8bkotO4QemndxZbR8DsXb4LHy5P5abJtA/iWlGPQGGrk0ojNg14oCxhFyIkCXn
JAyGnTcGcsO1wJQBC4tHaWmEpaFhUyFzVS1LE7hkc3Ab4l6wA4VrjVoqWj3s1OlNipreyZmw1rNp
akwZMOh9W9eNDhJt3rg/6FsLiPhMgWI9pheV5+tBp+lQlHXMTa7UKCcJGyftshPojez7Zm5c94h8
VU4GGxcq2zSkK00V7A2ZndxoCM85WDGSOTfr+ve0xTZ261zKAqAboNJFEZ3282epkflKSGa36eOv
OtGMHL8I6kQGKIO9qm22yjNrtw0x/YVB6gS0LR8I6hDAYNfaA7RhuPKPmHspC+A24dU/Qm/en8qb
G0hG9QmcKkDd49K/XrIZBI9ZBqCSm8V7rhMMHqoXcgpGs5YECKsD8e/UidY0BycF3K9NvsWpeuuc
oBkRlIpL5gh+8rX9IeYqAVyWswsM5azXQlDaDC9syWCsOvxV3Htg6UVtDw4cIirqOE51yGRVpCB5
oSQOVxr9BDZZwreGn8kkfhYUG03LYOGyS0azy64yhJk/gNmnQWk2Sj4g8xln1b5uheeN+V87zvgw
9OWAypMD18aK0JNv2jqX8GEjc5IBY+EFPWRMvjpxL0JpRdLHsJXjvXVIMREAFAGajc4nKq7kRZTK
E1GYcXoCcF0LFjAVuzzdikBuHdKlIxckmgLUw+iiF8/n2git9tkdxz5Fc3kM9gq1qokcgkBpCP/e
n8cbHhmcb3A5occJG5mWoW/DMtHGNmBdrmhZu4iSFzVlJJ0NhPYIUYTMzmpOMXtx3GpcuXFiYRgM
oiJoATjQWl3vX6CDVXFqQhh+5ve1N9j8oM/5vv3mul/3h3hj3a4sUX5IxmYCV8YYopblu0oC5Qeo
JcNJebpv5taAUOxYiNCWfkr6QhCzdNbavJhc9SHVcUaq13Mh6UKoF1uiGLfW7NIS9VpMOYhv/AKW
6sTS5C/ACPWadRP0b7Oq1/TWvz8uoIaw6QE8XzOrBWHJDrFWT67CpqYSBgBicYagGpOaEZY95yUK
pL533+atESIoWaCYoMRZdU3x9QxK3ozHCNGRILoTWrrBHJeDoNLq4w2w3patxfO7iB3TQFX9VMPb
y+rsYwEcP2gq+EOxYeXWRYpWAWCpF6r3hSPo2ozYFkqmVuLkThoAiF1xKobckMbY8mN5l6THmDFr
IFCGJyka7HxuXxlkHPy/mvzISnqE9Lw7qX+7+c/9ib5x2Vx9FXUKR4YbGCaCGzQG6HhW+x0fgxgH
/GAJiIPvm7o5zxcTQB1DX8UhZDukUgJeTEmTo+rDB39RkyMadm48YIm3GMFvuCEouULrBO3xuGRo
f2fKgyRO5wg3dsu6fmCXPmtq4a5PPyXZvD+6W5fMQrTI49LG3U0j3nxuTvpaKGYX4LrOGXx1shgR
oWAszNXuvqkbZQXAZzEmDtjZ5fqkdmwxybg353J2k/S55l+z5CtV/rQnNTai+bGtX1PmLS8PbWYA
Uwkmuy0NwFtDheMBpCL6Y4HLoN5BVmWaAdpmmFVxTOwsb/6o0QwdqSbZktu+daUiuYrXYQlXUbi5
PjM8qPu0icOLO0AX9yw8F9NJOMx8BIIDKwi3NujNcV1YozZoPc5lwBTy7EoVao89QMJqZFZdsBGz
rmF3SzYCDztaKhBRooPjelTtBAc9EJnZFXsjg9Q60u2lq2m/cshvZg2AXqUZS07P1PoQ/60bw0d2
JHmCNHac7CuoOfMxgcpkWur8/CiNXlSqJBmUBznfCEpuHVhkX4FIAy8uOkCodfbHShxVyZ9dILah
TVYLTx2o5/U+qTldC6PeaECGrRdq+x9kidBjgIwN8qISmiOpZa+mpmwUcOe5ynsCgnu+MdQAEPFd
Vo1G9nb/MN1YdHhZKHnDlwQWne4dTNDpNCH4Y90QRIImF2YcKdsiMusuLZ37pn6yEVT6BWUuyE8g
KELSjVYxiWNtGGRl4FxVCTw5ZTOj8OE5pyPH6/NUs5BlQBvyWDNo5J9lMFRKM2d1NZs5AS6yM3Rl
82MiRzWZOzmBuoSkWErfD5YQRQGpU617iHmIqKspVx/LpFDNvO7KFMlDn3sX+rEzkW0WTGAhsqd0
YsPzGAYqYdO+MFL0e23cUjdelp96u4rQCN3JIrXLy66t4rDLBbfojllbP2TTk9qgZKCqG9v01nV4
aYm+j7IwKqq5TwU3UyzgFwAgneEJ1WaYFw4XPSopmMH6SE9CUoiBFX9M/qHLIQc7Mr/uL7CIg0ut
Lz5ERkzIaui2XUmooPZXaxo+hOVyoxGRYN8CxK1xWzgWlyaW7XzhrLRMNo9anghuIh3k4lGp0WAA
X2LoeFsZj2PzqAAJiKRqOh1bedJ5sBPFpgDUT3z+T8aKcAgvOh49uqeKS5qkaeVKcCWWOQpMrytJ
tBXiLSH0ej7/ZYPaQnHdsVzbloI76blgpLKd6UWqK3a9T2qz8o30/b8aE72R+B7tVWmGMUVIvUtA
ZgGCfd/CGl8DbBBaUnAkQNeDVjRqSMJYl7OaM6LbjLtR/m7EtxaSYF+db2V/Kt5krPv21rcbzKFl
DOWX5dZhqZu0afm5DkHQ52JnWlF+GjOHTZsNI+ttL6CMpAiijCsShVcqHIEkSyMnYPF0hxCt61Pe
gpUbVaWNY77MzPVmAPUALs+lloRfMpVvYZoMalqMLLmtJVegkZ+PjM5Ebi29v3DxFj7yxryhrRI9
IOjARrZToVyBNOmDJokCyZWr7FgBOsYYudBvtCnfAAugJRXJI5QlAJteZcnqUWEHQWkwJL+srYZr
a+hmQHynZqfkmI9hZMrirFpVMnDOUCqgeuuU8FER2sKu+KBwBimJN9Zy7THjk34SSnj08SQuPsHF
/VLPMZiJ+lJyG1NV3hmWVOKfAXAzxr6/MZeNd72a6K/DzpDBRwwqvRWLFMS8QEnecO4cGhIrkOKP
PFrStNXisF5HkRcRKsMrR8MissnXwwkX+qMpkzlEkFVqg06tIHwtaCbyafXG634jwFtsLeca+k84
35S7pOEJZaVG4lxufosa7Q0CiCaP0nrCGkNj9kqkd0pD0LLYqjNgV3Yk804CAeZiFzEAaHk1hHSB
v+n/3p/pFbsFCl9o48VGXmYabjR1B1QyaN8j1K7cASRaLZhAu+GprN6bav7sW06vkLNMe5DVBqwu
xKe4iFD4O9XVW8EOXgWkiJzzf4VZ3Qg818cZeCgRE4XbEJl++tLg+mGoQXTIuxyzV7KCDFNB0Jao
1qFVzK8jQ8pp43a/4ScsJmFt2XTLM3q9GcYhyLkY/+Jm56nPANb3jbhIYxKwic608BvYWCX9Y6UR
ORFO4WCyUqz7vbIL6m7jmP0kg673P2iNwA+8NH2Bm5je/2pVJP0whaI71L5m8kqSWZXPjQ602xu3
EEuWlAXjAy0m9sRXC9lhgNhGH+rQf29sj+V2Xn2JhqKAhNoDgKtUMJnUTSYHTCS6CjcSKTQV5leL
DuxGjQkHBuH0sdXZQxVbpWLet7zeAZiCC8PLs3Jx1bDt/5B2Zctt68r2i1hFcOYrB0mWKcd2Yifx
CyuDTXAC5/Hr74Jz7tkSzCtU9s1+9C41G0MD6F69Vm7rnYEhyN0anJJLhY6XEi9Zv3SPSn7fUcm7
ayNjD15mVD00E1Tc2BA8WJwZjB2FAATVWg80quiXYZlAAL5XHjKkICE3x3rmmZPXufpOrSU4iI3Y
ANMIdxB84B3NIho618tYScbBetAhe5eWuucaL1MMEAuCg0pTPy1AM7lr61DvvOQXwkTVhnVxcOP6
sBinNLtJkiJ0nVnyXR+jPf8sVA/AnOKgI1eYAs2BBGdmTNaDYmoHvbupE1BiryRglbmL/x4ES0wd
EmkGWvEhVgnI0eX4j5QYk24u9sOAFtgmasGTyrOJ2bLLss8L8L+f2ulUGTc0W25tIrtMfjxxTB0w
GxWZE8z/h/TsMDGUSNzRfuj1cALNpRV/HrMoGz4X4++iebSfZ9Blsznbr7wP7CuQW8ssaZ/np42w
1S4+QbgoqejDbud0sh+s2ifKTsufgT1F8vTk9LcZOMKv76+PZ9+lw8LG1h2yMkVZ7Qc8fy3o30Ky
ya4XYEmcSvZg37jJwBb4CPCP86WJHWAT61fal4b9MFM0VdbPFKU365aswHIbVX+D7EQG4IUdFPEp
H+6v+7k5sWe2hVGFtk8GdlrdfnDtfVrfV/FjUkSTJHi871Bh7oDs0LFNwGGMzm4heADCYLKu0LNH
Q1GxQpoiNtIgseMRPAisy5rAzQgKyX2jA9OR9uDrPTUdmb+mdVI3XoZO6Pgwq136o4FgzVfFdaEq
gyILu8vKGWwOY7VAq8jF/5wETC3QlzGmlMWHPs9Ux6/XYnUglgEsbzAmk/2K1uS09sHWW5V+OpP2
yTGn8ptBF+VHtfJsAHbBau8zvcTpbk6rbR1BGKIMO8OokSYkKTCBvsIM/qO9UvhT3hc/+rWDNhEY
P0BWqseQSSpaAJEsms9fJ3WIp4Cl1og2TZ2UPst0dOtUfWMzP4eQ+rfMnge8yMxKuS9B5wWOMBRI
TX+BjqBzP7e4u7+ColzHIphmZDCAAF9+tuXUMW8uY5PdrYh1X4duKEAij7aNKCdF0fh1G5cBmMcm
0AsOTjGDIqtXolXVE4hHIcPWBRbGJg8mc51+WhbtSr8rRxRfBk2r3L2ymkbyo3RrRBx1MKtml1YG
+DWXshr1pwWSr9ESA6EmyfUL+xzoHyySMyFKYUUWhVUsQFRmUW2/ldroO8Xor8/2DDZW5PtQAff/
agf8xx4XueDBFeHtMrAu3YwcnGZDQDx/AnMHwunRAWB0cB6u2xEiyh87iGBIXgJFAGq8SztJ2sWJ
s0AiVjHeqOIE6Ejxek0J/4UVNBqC7xp1LCiiC1aMfOrHnkFDtQMB4PCaZPYuWV+vGxFOvj+unBkR
tvPSlE0zrHUeYQ35S/OmVlDHul/BJzm1wXVT/HvPIscHUzx+nV07FNTP526GP6gMBU40QHbiugHh
IvXBgDAtDC/VQc2qPLIm/SuhqldaQzi3xg2QkD5VjRsnnsM0k2r5CoH3g12+Dc4ci+fKnRMGx5Iu
/t3buWem8+8VRAnYnzICdDHx9ccYF9UApAQkx+Iab1UwdSYOjI19aNAHdfZV656VO2f8xJIfDjhy
nfVk29SrrVOifkvQjVtBW34u/rL68eFDhDyEWbvaZEz4kDoFykR70qzcq9f99SndXDOcWdWyTWCU
3uGGZ0Pr5nU1JSOWJ0mSwC6pRwtLsmo2Z+/MhDB7CxRILGXEqkk6egckVGC33Y7axu8SQnXXvdmM
G2em+AI+8yZuKmMauTdp96bW4E2nr9LXxLYNpIcAf0MRXsRRm7VBJnXq86hVme8or60DKn4ZJ7vM
iDD3hduX9YD9FjnrgwINcnU8jYstGa3N0AS8zf96IpweE9BmBhq+80gr0SYKQn/lC6nAPg9mpyr5
/m9m5p3ZE8V2aGNdzoymjksCATqMGsFjpH2qbcNrZc1om6OG5wWUCIE9RV7p0gi6T6eRclFsu4vx
zjKn8eDMVbzrAT2RLGqZKf73s5U2VQUhcYWxi9kzG8pgah6WXFYn3NycYO8GNhGad5DxuzSycCKA
WJ/yqGvtp2l1XpUulqwBMVfxJ8q477SgBP0y740nZ46UNrWMEjQqEbKeA1jRxjtilLesLIKkH3Zp
2d/32KbamJ2UOvebMbRYkoZdSoNcT6LJiiW5ys2BPfseYQ41ko8xtWbuMzRQJrByvNb58/XFuBGR
uFQW8iJAaiMxJJxjLRvh54B1woYBd2Un21taXQW0sBdvUmWd2eKbhQ/xhTkhANYamHOTGdOIFgiQ
VCBcTD/Jqj456vSVtRBbKG5y+0bpdPSllyGrWZDK2B02Lop4KwHphB4XKBmLTFjKHBsWW0ZcdbLW
UzvIySgDoDxrSLX8Ppsf6Pz358qFQWEac4uqi9uuedQDFeLNDcRAoR/uSKxsRLALK8IG6fDqMJgB
t5bqDa+NGn2G+8lKvDoPr68YMaXzZw7PBlCIX7hnDFlfYQ6X4ZFaD3U6BYN+Ap+AeZ9jrxiVF7en
HgJVg+x1/X+YRmUFhVyOY9Mvo4ChFo6aA+UYpdbnHKdzUu+Q21GhxkzS0DEX36zwsF8eZ0u7ww3w
7x73/3EcHRsantyuLuYykadQFwZyy2gdyyDv8boDC0zxeH14Ny6WyL3bJuo6NnjmRZJ3py7Ah+IM
WZS+AezZPsTGbQHNvmKNkLDELfP1ujmR6+SPU//YM4R3TNNVSatCLjmi5W5iNzTKDxTJomCYPqlt
7hUUNduXTvuysALChWFivLbdb2J+igufmRBx9+o5JJ+UPSGSB530y4SDH3JvpM9NjISFcrrm6d/j
PY6y9EAj93P9JcF7c+88EBoqoMlsfDQgIZGqqve80fMAao3v7s31odo4gkA9i4UPMSAVXDTC98x2
1iOVteCFabzN1kvlSKZicwcb+AepH4DwRQyqkg0qQazIImMmt3R6TkdPo0FivjmuJsmsiPWJP7OO
WpMNSQNkokRSy1pLSK+leC0T4uXK16kMiPGs9SBvAh5OL79oOkF/oR0hbQXihh2bP1Fz17RDoOD6
b1kvsySftP1BeN2CdgalAvD9XO7sFB9KZxcfNKhHdwRTV5DfAZ6/S7SXgT0WxW1ju97oBKzep8aT
FtTDy2ocKCoJLtoi/8VEc9U6zAS0s0Q5QRuNQeuSrlnENTtN87ubSg7dzT1+ZkA4BVd04wNvjJUU
d8/oethPzXyjO0ez+dUazvdZfwZ5qsQnHv6FBzGqxP/4xD/p7G5DMqyDeoRJVjwZ6THJkDAr9OD6
wImV9j/LiqtQQ1QKDAhiwg4xsyJZ6cBKnVVhgYJjmEMOZaepFGet2/c76HOCOFWd8yA1lHg/knSU
HISbg4tyKvotkGT/ULMuramZKFUQQOsf+lesohDvVqbmQMevvmM/XHd58zaBfYT8pAX1VRGCOKp6
nJQQ1owWw/yEaBXMSCl208Ec2TG/n1XIE183uBmFzgwKGyVWK9rqM/JBY39KVjwgIOF73cLmAIKH
kdfILQdM25dLJU9rYuZOmgNhkoO490c5+KTz2U8rD2NW+4opu9tvGzTRHINkmoWdfmkwq8GxAjhF
FtkmRRw3omxeQyMrwqSERq8ZGGpIDRkJslgN/LNW8TwCRgOOGiLcoOmBlMoSmke0nwpQMKBHH4LW
VjBoRbwvh9n1IPK0BkoB7IvpgjfDXtrHxU1SyXrd2pkEAFaAO9HQ/kHOUWdun+YDvqP0OCOUr329
Pp0i9PHd0XMD/APOtn6iKxOZ0WQABhQ9KH8k4bQn38qDvaO/etXbf6n8bA2XyNzTR0DnQWIc5nfZ
DYrQ3ScZQ+lmgDj/FuHuCDR7V2QU38JliPekUkOiv43mtCvbh3Z4IXFEC0mw3bw0ntvk5+6Z//M6
KiwmGODTUnj1t9PaBssasjSY8J5DWID62l92Yf5nyC3+9EYuCfiES5NT7PbGrBbIWeS2R5s3zfp+
fVJFUq0PFoRNWrWKbuV8INGvvJtvhqDPfRLp6S49pgewuh662Evl5Cpb0Qeghv84BpzTpWP9og6t
0+VIxI1eZrAf2hTOt+owfmfVeDP3nCU/mZ8T9pSAy3FVwa9mSQLu9nTyfg+dA0jxUL/8BAMVnqxE
GiOy+vo1H1nt2QvZFVkFPMH8qbCLfQICVNR3leTQJdpRY9pBMvj8piceppzmAs0ZGAp09V1+wpIV
c510yP0rhD6jXwcKJYiNq+KXgJdoLXoaNJT1WesPmbKbjX8TL8/NC6urGFUMgIMjwIR+qBHXfmOC
j/43oYav6r7aBrr9l5ieP8vtzGNhuZEsM5u55ofq8AMdtcDQ5jjFZVzrWwcBB82918ZB7CFEqpT1
lbqQGEDrtfB6dQQ0OGynb3ryolZRaTY73WglOZbNiAR4ABTEQMiBay1f8WfRIc/d3KSdiogEBECn
f+tnMP9l39IyDlYGcfj2FE9gjx0nSbZpayehmcAA4YOD1nDRrk1HrVlsG6ng3PKcGbda2XOVx1Jx
lRqc7wUqQrxGJWyUcSJLlysIQrV70hVQz6TPw9x4c/J2fTvw1X7NjvAuKqnWUyVBcp4Zc1D0cerr
BfjeTG3AsYITFu+JfJLcUbauXee+aZez1q91qzo1cqhrvnOa5/m3U70MgcY5ZEcZe9bWTOF6gCI7
WrCRNhLGMWlLHc1YLUJt9abEjWeZf0ek8b658O7Bf5y9XBXVJN0Z6HN7RRp9/Zx1J2UGBXwvA4KI
aJg/Rly0jjgImuiVE4JGprIkcQskL/q01w4pemWCJa36AB3Jit8pOjksUwKeW5a6vj4WQ2BPAKq1
ZmOilbetX4oxB2jICaokjn1qT/y2tLThXLWOH3dK6btFokv2yNbVCJci3Anx1Zyr5XKW80GnWaoq
uBr1s593N47jWaMlWUqbRtDPisIP9gg6TS+NKK6J6nTeFBFYkOsST90Xo7+/vkO2VhAncuV5Vt46
LOyQdIgNB80bRYQmAY+Mb6ySYWe39gNe8YgkaErGEhVOpLnraoOqcAK5Il/B26MEm3NnnRCuBw21
skkSNjcH7cyesJqgoOXODlJCUaI9tKWxG6vJl+amt5zCzR9LF2UZgCiFjUfN0WSa3aFNT7O8JUdI
IWtoqnPogghiqDJwW8j0cbZm6tykMFPmqHQVZGeLqE5+IE8dqM7fUjC+b8RzE8KidtXC7Nt4KqKh
QbsTaI80P1XpdOs2TbJneNmBd79f97VqV0clrZF80bFcSlqQh6Z3VZnskMxj4T1ZrIUy2CY8pnjt
5Q4gHjIEw9apDpoqMC0AdwrQm3Cqm86EnryqL6K+esDxEwckO4GBL0LHcyyh1tlalrgSgtcfPeog
2hKeF72FrtJyrIvIHG81wFwHdJUqT9c389axCgILG7UDcPx90G7Oqdm2MeHzV7n+yCbgjG4G4gbS
PbY5bjh0uCImihVi9BtavV5GBrgMtoi/zuveUF8y84Uy8xhTMAUtdkil3X+b12scE4Ds4d4A9R6+
Xs7uQ6APUpSa2EWkdcDvTOZDxSZAJY1jpX+ZxjXUl6+lnft2hjopnYLYBRv19QHeuk8A0Q28C55P
wKoKARnH0IjOzpj7TQFmwzaE/gTL/H52jovNQqX7y6Y7viU5HRPIhMAFD8C6EM1WY6oqbS5RkVVW
YLNvbVAuGJ+WNfet4gWsBn/tH+eQ4AzqmFv0v12OcMyGhk4F5pVqkZZ/ZfOv9kdd3a2y0t7GOELe
CXSP6HjkOHTBq5zlNsrAFnB57NaI0cRmflq67skcVg9knT+uO7WVTuHsJqBzfMfbitLGuZs69sit
dXapeesI2oq6A8dJ3mYgIcndL4VbjsepsHu/Quuar1IDOstF+5dNDu9zie0JXhJOs/ZhLpuatCoZ
yjJS2sYf61/rEDi4jQ4yEvON3WmB+wi1Gs4fQyxhlfbQkmbzXJdRayDJOUEi3blpbnTXBwDTMF5Z
LrvOb07nPwbFd+9UdayhhBtsgrQKUWFfv6r9kcgktbZS8RZWDUIcsXmJVDgDsdehABxjBLvsAIC+
Bu3o2Ah66juaVzwmSDV8Xffzm5V6pn+AQKysFrARYC/sCwdknaXlnEKtKIIejKern5U6DYgLWs9s
lUSajQsGEpy4dKMEgp6g95E4i3V6QiabjQA+VnGoqNkuzzTg0S26myr3wECDiJy1Jtso/EAVnksW
DkF0iOCqhj4EIcBCdBUdoHFfRjaZsru5U7+T2AJ4wo2p601FVftOjc6EuHDMuyFZ673mzOxpzhkF
3HVaQ8gM4fF9ffdunJsQwwEsnTeroL4oTLkxxUxz4ryMWDKWIJYpBj+lCEj2qMngPFvLGJfU9+AH
KIeIsmpzcC7RzC0ie3212uU4qqCCxmNuPyoyYMoWfg1nCJr10WeBS4FIRVATPSVjysqItO10N1I7
DmN0CgJ7SJPQ1EgKbkt07KZABPgLmYD5wCkRztNQh8XUdiGZ2AgohDrdziubd2rXVJKB3xwN3lzn
AuHMdVQvz4JeZ6W6LG2J6mtV7fOq1vcmo+4ur6wCrchGem/EMbu5PttbGwxATw7sQ6P3h5RH16f6
2gONGa32cJfY+v2yfGsh3emp4EG9bmrjdslVJCCBq783agl3P1IAFw2gehnV7dG0HopKtoU3fLHB
o8h7mt6Zy/jfz7Yw+gucfk0wxbX5OKaPSuxNBP1VxuG6Hxvz9N6aCN4yXpQXkZB9miCRQhbME8V5
6twVaCcz0TC1aBCMmX9dN7YxaGCHxa2Oqyei11fYjYSVbmJRgt3IPmX9qWQyLpstAzriHafMQK1V
RKDNHYN4ZgZvOlBVh7lO0AXU9fb+uhtbU4P+VE4ThTcvqiyXU5NbIEQfY1h5AZLOLcEz6RVGcN3G
1ryc2xCm32J1mjQz9wRoIc6uHJbM74AD+Et5W36t4M22/3VG2KgLljH402FoQMlAn1efzE9IYEq2
i8wd4cqmduNSxhWsKMN+ro8t9Bucm7Xy0+rvmpA+uCPcXmLNapTJgKFp2a/oQXyrX6YlsGS7c3Oh
AcqC0jOxkJbgfz/bnWisAwc5c8rINVCpb/FIDFFFk3HEbi00TrWug+IHqD2xv7tDM0eFcn0VqV38
w43vY2pDiso5gK5DsqQ3zknAcpBNxTMBbSmi8Huvt6nerAbmp27s29boOs+mRnlIjUQPr6/sDadQ
rYcJjvpHXkp4lzetM1OmuGXkKEWwNE91+aZ3GfhKJa+RrQcfir0aBG2h58TF8C7nyCxZbee1VkY8
7/ioGM+D9bNdI2aq3qTcOv6q+xM07nvJzt1KvKM9WEfwRksqfBSiHJ1jfrvQy0iteoiwQTpsfHTZ
dDuBSsGak1Nltshg3dqQIPz7kQW+G+B1hD90QWuXDieDG6OEhUXJX7i9oXtJ9X2ePVV7+hd2oFtq
gvsV7DPi+6tWWmtuCGYwaSA1N3tVdxzaE5Ph8bbW5HtXL5pQEKPEoynpAM2uh5RFhfbWTCd3fiEy
SultE8A4QE8ByQiR9m9YcV9V7ZJFs/LC7BcKXNhUPFwfrY1Q4UAmAgceb03H0XQ5K7ScHZpZ4BqH
GybKiF35b6bjzIAQwatanVsLpPxR656A8F7X3Gvak7QasrVveQULewogFJBOXPpRJ6RGn1bNooac
gNnV7QAvtFgWiLasIIcAfi0duIEPwmhMXcbWIhmLyHhbOxBcz3+Oybe0+nZ9UjbNIM2LHDyyysCK
XTqjLBpUMoeBRUAP78uwQwdYo/W+lNNfpHLm5xGY0f9r6D1YnB0Ui53nrVKNWGGDC+bFPoTBXZGn
D7g0duMtf/ekE1TYzC9ZEaS7NbEip3OP6wxSilfV/fLXbgPO8349Bo4JF7FLt8EAVC89ReWMsRdj
/B5bj4p1n5p/f5hcWBEO+6QepoowFLILdzq6oZkvYKGScbRuhVmu6WxAip2vSpFrEp1lWmobqF4B
cVFBW2zaYywbVfXjAjI8kH60PE2XaVZvBAzODu3wyAdUlCasm6ysSZNpACOn6p7yVkzlnvSSg2tj
baKLGv2GuGZZKJrxgHK2ZFCutW02LGjxMpZgnBJ/qapdjoarGIwO19cD/1zhyX5hirt7ZsptAU9v
HJha1JOVjbdp0eMyc4OcF/o5X2nHDgkJr5vkS+yaSe79mclYZ2o398D+O/NTg97wWzDKe525BmSp
JZdOmXfCaqftqmqKDVO1GcbPS1PdZ9YtG15a677Jv8duLRnNrVQhuBjRZ8GFgaDBIBzA2BRxu4C7
L1o7EAFoXqtQb6mbcDX0YKHUM1KIEfuajQdD2Th/XyK4MC7cq0AmUhKtxlxq7G3SwPmvP1hSgQnu
gTh75x4Ka9PuqUkdh3uI/FkWWD8U4tvQ2lM98Fy6qrcoHiv2jSmT+uO/e82usFDxSE6WicE5An6x
sR6CxGok48ej0jUTwsJc+jVO1Bh4iY760x4ARMvvgu5GVuCXeSIsSqhbACeWkDyajjsZA8P2b1vv
L2Dw14sFBnRQdlXsYpSQo9Ui2eGxdZZhhf3350UpnKqzRhLzSntxszwZ+/K1PLp+8RkIlk9teKwU
fwndmx7isNcjhsQrV7h4QJG5qycDmUSlb7u7LoHEQ0wU++a6lc3z5Nw7YfOWbldAaQHeASfu9cHs
FV7lG14Rymjvt8ISx+9yCTfk4sTGZ4WpPUlyE5nREwo+yi1VAAEIUP5H9kUydDJTwkmMMo0O1j6Y
mrTK093JT6gTkBZpZ+1b19/kwyMDU871gZTZ5H8/C/CKuoDWvoHNCrXsdtoB1Oa12a5boFHl3g7q
q6vcXLe4uUD+GdAPDwWNKgjKBrwk+7zfo1H3+u9vpVsBg8ZFAw8RqLCJDx6INHQxi9GdY+u+Gz3W
t/lRCe2f1b7zfumN1z9C8m6XBtetbl01zo0K4+iwSRlGG0bbIAkfZQqQW8cwOGTAMQUaEy7wdTlL
WoqXs2K4ABtq3wkkJlX1YJVPePwUmQQjsnWdObckrMHYpoTQDFgXuwmqdPZ+NoitRrm7Plqbq+7M
H2G08MAacTTE/GCa/Wmq/dm8XbvbJH/SGEHfFsdZyJJaH9cdp9/D/R7vO7xFTcEzpiWpo5hAv3QA
POwImcC/pMqWwcalgltBblaFuMRHPWxrKZpZL4oC5THoORXKLhv9Rjf32ki8Lvm1DOiCndPb8Tk2
Jfvq48zBMtLo78lUQNiFMcX92hocBuzNSFxvByp5UHoFMjVoiZF3eNdZuLC6OsV9GsgGQztNINfE
07XTn2JDguvZ6IG9cEYs/hVzqharBmBP0aiHKvmWDTUel3mYA1ba9l+15okga+LOEbQKy/3IbOAf
CAiTlFrS/rW5apDRQ01eRa/Vhz44pdUtSPgUkVXe6Sg+muvT9a0gMSA2vuml29ZNUQHHYTdezF4y
Wd/nxlGJseTkIBziycvil8Ejd/ShbG2MpUaNQ96Zu7q7Z+ppZPfZMnhgfClm1UuWTHKyfLyhwSzH
nSPtzvmlhP22mC6/gcwwW4R4grW/NdDDpGXYq04gxS5ujiI0DDhkhG8/4dYxg4AnH2dujNqerdzj
MS1x52OAhzu8+IJGNTwp30WCzlZ+FpsaXSks5NTCDXrxBvRBVpVMVlBmhjt6ZgYJNMA8uZkSECtO
mNCx02IO/8oZjlx1oKSBFOSllaxFf/QQr6ghleAbmx7QTqkkktz+RpM1ZBix5ED1hnwdemUFIwXK
noYKevvyzig9ND24HZ6Nd9mwN7QXs9P9JIbczpKDnyQBVF2yrzZDyLl5YSTBsUfSuMTGchYfb/S7
0vqsQXLTUU9KQbxyDBQw7ZXDi5OZYa81B7sCDZnCSQ+llB4fj28uSImMPTJY4D8Tpc+crnLi0sAO
NPZN+ytJW7STv2boLJcPOgcjXr6LLk0Ju25OClPJGnidtWwfNzua3C1pvqumxS/ToIJuA5l89uvv
Y9i5f0KEqWOrH5elLHhi1jaeqlF2dvMf+OiVgy4H3H5whgteNa1aqeoKdKCqYgbtsEkfk+QpMQ7W
fn5SFMnu2IpcOrSLoK+DtjO0P18u3GJVa2YssJYmI92RGuwb8aIsMNzlN9ZgF944oEEf4jvB9XGU
GBaxNXarM9NJYLjk9Y5DMgUFJNTNvZl/pkCBXjfG1/+HMf3HSzFkOq1WZ1YOY1P62ylP8SL5/a2r
wtkoinDyrACQtCv5faRyPNN4SswEBMHMI0xymdwONFzDhqf6OKv+5XzZYK+xVQjmRAuyiFP/Vib9
XU1P3a9KOWqQMtf3mh6HKljTRv1oybC6m5MGdRTwOCATjqzRpXWO2iuHARFbRy9rcoNkCnmECqzf
TK/XJ2wzipwZEtwcM8WocxOIz3Z+HQ3fijIWdoNXoAX9/2dI2G1ZuczD2sOj7DuFWI63BCmaUCTP
tK2DDmAMpE1RyAQXL1+eZwed1thZrdfwZi5f0MaedidG3677sbkCUbTkkHocQCJNg1PRuYaSDG78
oeKVPvFlV5zNGTkzIPgwAiyTzxoM1DckgJyjD1VFyf3zvT3mwzY9syEc1YpqF3Olw0Z1tLwnw8uP
AGof792wPryC4d2PPRC2hq3/m+F16/uO/03fNeGbcVAkX7I5YWcfIqxzdc2KTF/wIbp5k/V36rRT
m8/XJ+z9jXLNWWGJg/qqzboKNtoIirHdbXOb/6C/9Ldu9uYQtKi70Tdbr35UPjuHJhgkdASipDPW
Ig7PMxeFhc9JFkuywvwQ2juse3/1yiNICUqQ1N4anuLZfrUDYi7xsuc6bL0UG6MNyKd0R/bsx/qs
/Sx/kpDcaPjL9ZHZDDKA4HAaAEAYRC6Aocz1bFB0BOsfemAC8hiRg3Vjp4f/nxlhAKxMTbSkgZm8
OJb0pE9vLahi2EFvfgNV+28iwJlPwjG7zq2zxhxYbs6JB3JqsF76ky4pz2yuWkjlQKYPTNPgMrkM
M0bsFoozwIhNn9C251nKc9fKZLI2wAtYOGdWhHVLSrRtZxrQ6jbmJh2CIT7oRjSZ30f7BaXXpnd8
0OLlgK2CxfP6lG0GOaiOoWERAGtQDVw6qEPDMoUgHS4rZJj3yaob3uK0JCBl2zCvcXQZAHij5xfO
ogSP1/D7eStEPcNJeuiAO3ibG2swNOgk8oogHwJTP0314OH26be47JsPeYLiTQ4UhSFZOZu74ewL
hJhIQJIGQlN8gepP5tcW+rkZ2xdHgDfsTHYZ3B7ff7wVFpBr0QkviRghaQVHCX2d889KDA6Q7Pn6
PG5dcUH0QTipD8eDiLvBNoHt67MyMr9RCMDbQWd/ZelybyafNKiDa41MH2KjIR+U3zgVeZoKtP+i
qsKsmeBJKigAKG5rHLsJpK693mdhCl0Z0InlJfihrHWHJ356MywVDdG8pxzcvhs+TXmt+1ws4Dj1
sfKlcuMfzC4HlMuRsTYh4uMz9JV6DMQO4VgO6C9ig3PMaWsAozS7J4ek7i1grMnN9UHcmiwQ/oOu
CKBmCGUJrVoFVCI6QEiLSHG6HbKx0PNJ/V7Nw9b5eyYTjB4kit57fPDK1S73HeSUp9wC22tk4nDS
2jBhjaeou+v+bOZuODKSd/mAK14kweBNgXFHEVjmX8MLeuurPQqUM26Y4JTtJKFyc/D+sSXySlV9
ZqS5hl2FxDxrjmZ1NMmNaspSe1svVPAK4U6G9xya1oWFrhqrZSccV78mWuyv05IEtTN+N9ia+m41
/cjyodiRtvANowQh5biEkjHlEVG8ZJx9wAc/67FHXwhQ5nWANA76X75ovvt1/JmMnjIF47/J6IDa
CLKhELUCTkAIVhqE/6oEYttRWRyAQF12pivzaHNIgaEGHwvaalEWu1yLqWHVXTMpiFFtAEa3Ffpv
u8I4Uf3B+Zozb/x+fQS3rr0csv2/5oTTLpuLFHhuhEQU6X+3xROJx32i1aFVZkHfSy5lfDl8mC2s
fFTeLOgriSQHM0SAWhcaCaCBgUboTvlVdPNd5tyYTvYJKNWvM/jq/4V7XJgC65NDhoUgssR2M3Z0
LKO87IOkubUGtJehBQTVP5pLTjI++R+8A+AIrUag5/hALd4OubaQHBj4qml3jVKHauUeq1p2Zm/O
2JkZYYHYK7JSZTZwM+gQquh+BM8JkEWBFq/HFILekhfkZhmEI5Z406DNS1aXK1KlMbg+bXQJadXz
3B8yEFi2rD0YUJo0Vb9l1R7FK9p86ztDYnrrbnBuWdxuBUUJ1arKaEwCkIkHUFozk3nfd8oRE+O7
08P11bI1g+Bj01AdxoUIYjOXnpJCybTGQOsE6R6YlfosPUGTTLJMtubv3IgwnNYMXQU7xjIp7AOt
iJdlVTANvpvvh1KG6dt0CMcndNvQuQpon+CQ1VbGQE0gfq3S8EeyMH9VQH8JWQ2ZW5umILTEezzh
gUj/Zq8dsYdxwrLUR+s2I+sSVKpzowGwL9nTfIGL+wxtDLwDES8BFGovnar0xVqXOgbK16mhmjYH
A31WQUGWy9TPt1zCoocvWAuIWsJyqFkBAXmw5EdLfqxAqAsR8n/jypkFYS30A+udRQdQmnanKg9H
aNTHN0yWvd/aRud+cD/P0jNZro6ghoQfqblTVrDsj4+q4TVPTsxCZxi/XN9Em9Nz5hP/+5k1Ckb4
weaAdjwF53BNdTRKDrY/1zbdGTYeVNfNbTiHdQCtVoLmXsg6COasbDKhfYIzpaOzt6zHyfoJkkut
P7LmrswlAWLDNyT9gd/8I7YikjC51VDV08ADUnNYugj94NSK/dEJr/u0sfBQycHpD3zlezS6HMIc
7Q8JA6osUtENbTp+MxxNRbZhN+LQhRFh4FBcmE2ddwPkLBxafxlPoNpmDShXJFF8yxDqbNDv5fR9
iA6X3uiLuS5ujv2KyiFNjFCZXyyl8AbrBWhjyWrYmiCAbAH4RnEPgGlhqWvaUipZrKAJhezjPMyq
IwgeV5nim8yKMHR2beakW2GlJEeTgVbI05qHTHbZ3AC/oH8UzJVA+iNPhAf65cANSgOulDZnUamh
qKt/cRxkrAYDp75dRW5nRHr3pgBwpqKWnRjOW64ae7qPUdKg5FZnsiLAVmYEXDLAW4BciJMuCM+k
ni09M9DAiHpUSGfqOQ5gpEp7IlXi0eTeKHzdDYbxW+IyKFeS1+ub4p1ORoj7MA9cLnDA0Ko0hWBp
KP0yJx0A3SxPIQF9nKabRrltqYKS3/iAU2eXdAvyM53fzoPqm+xpUhuoB5xmC6QKt6byGtu7Id9P
wx0DpneCWov+ypDUULTbVNuXPZSrJWf9BkUO6Bw42ACdkSowxcKQtaWqDHTtAN2HaE6K2omVHArX
8NHgQ337d2l6dbKECll9Wxk9fNWoelV6l08nMmdeB+0XPFc/TZ3sxcvH6sNYajrq+WjLBlWUsLTU
2Rrx5gVIW9GqJJxxSd7XRtNLysYbO99Rka9HK7vOGz3438+OgmQ2WurWKQBpxVEFsbH+A+8l176X
lcA3+suB80fijL9jOP+2YOh/SLuu5chxJftFjKA3r6ApL6mMWup+QaiN6L3n1++h7u5MFYpbiJkb
MxH90B2VBJBIJBInz2klWqtaBbYF6xz02y74ZWTfMxDj5EpkJ6JT9dNuqP1n6yOq/kCcDKLH5xaa
qjj7DDFeozWds+4LAWJ+CEFLMsBDaOtivqeHKxiAks98/LHdJO1nO8mrKTJOfcEL40umwPA4q5Ci
ewyTcDvHHQ0nWs5aBmkYO2awkbWI5ENkWxkPNbFsCRcbNOxgSe9Iq9QpNNUCsP/3xlr15VOhv488
4NPSqwEYO/82wiR3eMIVsr4tAfOXTchMWbaQ/BTMzNZ87ckYfterSEM1Yew8U2nOAa2dAOJKSuf5
qAdjOYEEE/bNPwfSQXZy7mrF09bctsIsZySYOvReAQicqneJemG/1YvvA699bWFP3lhh9mQmFlqD
HkG0BKyKNcch5y9k9jskE4GlQTseCk1si7wmdfXUUEBsm3qLRtB0q1m7ytx9Pg7RC3kLwhy6v3FJ
RHcuW78eQa+Et30Q0OEd0JwKAiwXoad/YQPHoYXHHRNIayYp1ysg/aFXgxq5fNGmfeqjC5jXTrDk
6XN36f/ZYE6aUUxSWlawgeIuAJOqHcUe9jrYLy3n8WiW1hxuhewViC7gqhjPQqDoCj0AGDTMn9QQ
/OM+j3p3IT82ry0wXkUt4PfTFBbGaS0OAFRZHlig0DaAxghN4wxnceLQlg2lCzS1oo/mNhhBFhkT
1wEmFJ600B1VFFO3gft4ypZcGSwD+P252g2C31sbQPVU8khhQ3o3zJ9Q/GtfSx8dn5ysdXHersww
pU0jw9XTaGek3Q8BaE/oDIINXryIxqnmZQkLZTHkCBA+mnE3wHwy7pbLmW9OGXDbWVI/G2p9tnzx
KdHx/mJG+kUSxBV699HAkg6c/bqwXDeGmWxZADNIEhaIOLI/OLUqo75fE1C1ElWsOAFoaYxIY+VZ
gwBQbrZS7EPGzhc68JtOyBknaWP1v4vnWcLuVRFrO9Fl77GXLKUEeDX4yyB760AtpY2TBikBzUvp
RTMaSMYrWfzkD03qplUbeVUiN9DNk9A9QaEBpQB1YltDNdohiMBI34WdN6Jgf0n7JNTRoKhluSeD
JNKD6NjAeZBfKrLdfC67c0C+qpg+CFjNVNkH1mtQhi8RJGUVugstUuPtJkp9px1GYmr//FJrzaEH
Dg1Q1p08RIzOxFgOMFMaboKNNJJO+mmKeF7VBU7slufgzBxDs3oQUiLTRHiwmE1Fs6w0ChnJilKD
Yrh0zaghg2Y6IEuFbulOSXc+tOjwJmjXZraKAiIZXlb+ysJ1Qy1HLFaWbucDyscgKR8bElnFu9Ly
dv7SPefqK+/YOZux9hOat+hHSd2u/o6KGRnH505pPQEkuQCCvwX99J5Vm7p7Utr45bHnLgQeYNq/
5CnBP4Ar+m18k6dCKIMYaVYyM4cddZrZAnRGu5H4VHEAa/0v7TGelxR9LEw91qQJ9+gxIkqvbnxr
UzQp6fD4J/wrc0DjgSEdb/hfl96rO0EoBOYQG5hcUJQSwXwVlJroRk8EiH4I8qX1a86Z9IUvv3O6
L+KTuT0f5/rthBYIZpk2QlxG6/Hq28VoSYxCEijNthJ0pwDdnpKtx+y1iqp10oteSA3bLKfXdKQb
Kp3SaV8oCkiRo+cm93LL8xXz2+MlX4rDCspKSATwSAFtrdsvNPXSN6oQbTRy1wGfIaCxXzYar5BH
V5+UkdNutxSKMfXz9CPVBgbl1lpQGK2cQy5hH+e5qyYKpLyw2dFTpvgvZa2Rupb/TJm+fjzGhdxw
XnMAlGfCRqzDrdWmycDGBIQwiJMugpGRaVgb0/tjG4vziLbdub8L2Hi2YJKLJfrxS+SfRvTRNPrc
0TBTlYY8hYYlO7gIgBJuxokALHg7Fpr61X9IZOVoW1gjgY6pnbWe7vPKWfMPsa57bYiJl4JcK5mv
IxGtg9ZLS/8ymEcomHRqsxoq6iq1v3o8gwvJFTitAJ5Cr/oMwGd8A+CWvGu+0L/0dfDVQ6YexM4u
TGObyjy6u0VbYGHFiziIlkBedjuL0KXv/EZCO4YZquB471s3B11pYT01cbiGchePr3jxjEUR4i+D
jAtWtEnGVAeeOkx/T4KXBOqrJP6EYoOTt/bgH6dIdSi2OdiI/8Ws6niCnOkoIGLC3FmyxOpqyOqi
rzxzEqIq9hg4Ke8qsQSdtXD7QjEHPXfgK2XWDlTMWh2pgHpWhuWvO2GGxdfl5BhTq+J5yRRWmU6T
XRaX/k7Xy8GNzO4YSL51DktZO0jgRuCE3qU9r4nozwL/Briu2YJhbXSBVSY9sPI1eiysT7M6Dj4v
s1xcVjzXzcUs/IGGt1s/KhtD71pFAoJI7Z96CBLmg+FoXbqVfB1/Nis5tJxaULdae4ybyXu8tsvT
Djaduf8C0ZRtKs0mJTOG3sBFwU+g/EblzinHMHHFIsDlsS87G6GvsdU4o07UDiZ6nobMbnRcXLu2
EPbiBGnhx9+0OO/AsKHGpKMGzt4qxXTIk1CbcWQQTI4jg0zjj7jlsVwv7V+srCmBcHAW+2P2r2ll
dZv3M+loXToTwB+uGBUWoWEbrco2farT4+NhLRlEkQt+NNO44iS/XWhLB1lx16Efr470Q9p/l0S0
Ph/UqdrqYbx5bGv+eDbyXttinGqydDpMc6NVHczCsDIVXH9UDc6huOi70IUElhH3f9ya55PmKhvK
VTPpfQt7NrLKwgNhTeQGgUk9cMJByXXsh7UmtqOrDFLm6slkSSTLaLUfzVRfPR7w0lEzt0RBPwCv
TljP2y9R8mrUO/Rh79WpAA9vB8ChD2Jsr/PjwU6UoIGEgXXpw6bjBImlwxRpIAiw0Atr4BZyazjz
y0CNKGa6Uz4rFOwt9VC3kWP+C8wz6l8WzKA2od8pQRRyXA8qxQABGUKSY6rxGu8EpdOMPu9Cvzgk
VNp0QA1FsEQy8X7scAjUBU42TQG8t2oOsQLp3/gT139O9Fna6SiWAoo0y1Mh6t9OnlqotK/nhoW0
OqFJn4RQ+ZLT8V/EEwg3KWD+hWeg1nxrBS3lIIrt8MaaI0s/4Lrw2iiBsZ4sn3KqLkszhxwRtWz5
C5LHbHE5DyxfM/HAGs3hvCRG/jQkv7SAc91enLYrM8zuHqesCxMTFI94wZXDT7/XiMV7dV8cyvwK
gMcfCA2wnUcA+sfNF37Rqo4BLRzQ7hnQlQvSj8cbd3Esf9th74t4rMsqM8PxF9bVLGQdQPyjiDnR
YSkc4sqOZ9yZBl1jWeoQmIoYBwnCoaSAKil1KJzt8TiW5+tvE/PfX4XCfhQyockAwizoKqOmo8ov
aCQU/wWIHBeDv80wvmwi/6vkCiNJgLSQXltrU9E/j0fCmywmlA5V1eY+Osr2UmASoSxtXzQ4QXN5
0f8eBbPvKZApglrO1NiSAS7HKnBMNJuBN/7fBBgLyQ2OXB0tj6zGB9Dnlm9QGGrV2FPkDyVGf4z5
+XjClpYez4PgNwOjI7qu5gm9WvpcDzI/7gGJwna0jB+1JhC0+zhD1HDceJ4W9lSfWcdw+bWAlGbD
ZagXI50sEATqyAyTY9h9oL8+h9JIILxVg+9Kwz9OWYADByIKwDn8f4dHKGOgPIwemzMe0OIxvkxm
TUQfWH453vTV9386jWhcQ9PLF2UlgAOM38VDCcKRDHiBOoPQ5eeY74v+hw+urMdm7jMFUDqjVDHz
C0tYLSZ4Cok8TXKFApW8Cl04t1u4kp1w9tD9SsEI0nm0QUDDRmXR32JupJZVATHSg99DFx1TTL2q
K3DAjaA90m2cIFBZHtePh7aQj8101WByBC2rgeoxs680pR/7NEApHtS1UbjSlE+lpxEBuM0WQIET
qzEZwtyOp3Ev0n+8p2EbhUfsakwturZvd0GYiKgCJXipweG6KRTQRPcDWkd5e+B+s92aYeKsmoeN
ahbzZbSsSZR6DWr+unTSTe/xXM6B9Hav3dphAq2ulVI2oQl7b/apG5eA3/aHXmnsYbz0Ik8m9D4e
zsZmtUM4DHIHJuOSyimKhD5AxpU9J8mzVDdgQdg/HhBjw0RbDlpS8XwBv8RTKtsDL6lyHchpFJ5w
r3yJzND14w+QnP1+bGWOdVfTNltBvMXvg39OB8MDkwGlWlpaMR4CThDFfBNo82T26IR9bINxgf/Y
MHFh/YLpwc6tp1FF6nx1EKJTlUZ2F+zSfmtag1P9Qyjgf+wAlgFSyfmdia2TCQptQEaYxKcGFIuD
H3hmCNmIEr1unHxucdKuDDHbdhj8TKJFFJ/E5ifNXqfq9fGEcX6fJfbooJkDzGken4Be/2mJArH0
ltOxwbZisZPFYnULbczRTZTGp5iYh6qzA/wH0WZP721xA/4ZbaYg53Xusk0pd1aZYE5LLREUASOD
ALM3/qEv6gaqZHv6NnEOp4XdAx/4yxdUZof6utDptQpfGNDOA9H1iTRh6w0WcEGP14o5Of53RLjE
QvV5ZvdgNhAI69QGahPxKUps2TYjIvekSom6z4DA4dhiiSnujDHT1wUAn04QcjsV5nP60T8JPkEx
JLEciD5sEesO2WokTss5ppbn8u8hsnMZqqPcC2V8atUC7/rlukjRoRW3dPN4KpmT/mt0wG5ZMlij
sXRsvwYtgU0oqGEeEyq/TKik00IjraJvx+bYpN9DiScasbTPZKRLKqo7CkItM7AwCjOatL51VPqz
BGke8LM+HtGiAQwEAQnttwCN3UY+WexqXfY761hbe9V8nsAH+djA0pShyjsr/qDcq7Gtf62GXvvK
oPSYN7JNoWI/jSSsU69FJWB4VUuR14LFHLNfawTQDfDwaMKaU4fbEYEaeFLkMhCOKPWlI9HBh9+G
36r+G6S5N2lLBvRWt2cr98zxmxiSHPQt1PK0srCjnBMl791yPoABY8D6oefmK9Zcp/F5F+dlMQhH
9OLYSjW4KdRirYjzfMUWXDFiFIugazFrO+so+s5LcGUmEUqjpFnkn3Y/x1P0runbaaUNbr4Jf6nU
rgvsuMdreh9Rvhp6VCCCIOkpsn0AhjpmaqAl4UlvVCdGLCmnVfaSfAah5PmZF/K0FBaCMgotKIKg
oDw3ObA5gCGIw5DFyDRyRYP0QLpSrTcLVRBHk+xWSraTERwgssYZ5pJZaIOhCgnKvZlKlUkLIkPJ
c72F5EWNN3FHN6fUS63OcKlS9acoLbONYYF03Cr6YBOHpfRqxRkva7z3IQPfgP5IFPMBVWMfJ4Uu
RVtOPYWnIhzRaC0Y2D5NLmwKjZbO42W93zkAv85pFrj48NLF4hmNbuw7SYyyk3H2awJK0OhUc1LG
e8+5NcGcRUqr0STrZhMSMYFTbomBB9bMPE5Tskv8NbpL3MeDWrKI0PnF1gWtKvYO2PlhaoJvLTtV
smP6ZLLQuLv3rfmFq1NVvLRznIZnb/77q80IKQZJiTXYU00nFScSFK6suVO8xdlgJhf59Hh4Cwcu
Cmp/j48lraNJMYVxCHugvzWbD70iWrsLJgBXinWa2x26McJNg7Z1pVLt4IiW4ZTXFsSCuhGA5hqY
jDMKCTq4amYfvhpzWidiFxs0O+FBAuwN1fjUCR/UP0jtJc13bfGrLn5CnMT8HKRjAzGgLJfsOkyg
8RHu8OYOlpd0OwFHxJmaBX/GZ2HpER/Rnioyn9VWeMDD+YDPSh3B3+vmPv0ufShQViXiT/9cgwx0
pR36Te3J+4kXPBb8YEYPzRsX0wOE1+2cRE0ilYYe5ScJbOsNuAQQ/KE3gpQh3pfJweBsrPsbDJbg
i9EJZRzA5piNlbVtpFeKkJ0CNbvEJ9lEGpS++ty6J8u8+7XW6MOBTjWufrPC1u246rpqxkhO8lPf
fKhqTyy66x3sq9T9/lm61mdID4l5qbW9EeaQEwPLyeNVZdErYKdDIARIA/IFM76d5SQfW0UM9VpU
T6Vb7POnZKMe9aO8jTb+FjouR+tHcOov2op6qlPZ1kbnxBO2InJnn/EqzRyGMkWTyinTa9LVeCsO
id850HPEHy9GKEOp/NkaM8joUo7tr3vozV2YGTtzIFWFnw2I4OpJtrNN4cXbdNXssjV6UL1hN6zD
lb/RvWjtP2sb+ai8gBrNg1j6KlnxAMH3R+P8JTNMYX7DB7SE8be+FCcIUmMWdOmgFh+qvMWlCdSB
G01YKfmp0bx+4FE3sTi0r6kH7TMez9FEgYIUk6yWelEMZVhqJ+glfxZoznLSg7+H+McLJflzsnrs
afcrjUQDeSQSHGQ5cx3l1tXF0dTrVhb003vy7P9QM0jNE/25OOCqNkWOyEnj7qLVjJtBXQ8EGYC5
Abhway1G+S32k9g6yZbbdptE2JWqPaJHhMc3d7+FZ0uQbUQnzpy+sTuo7soaBfnEOnXrbte9Zefy
IH+nXr831/FztKrdYJ/9UXlok8XxXVll9k08JiipU1gdg096FPpPIB9IszKCihf351+62SXM+Jhd
kraVXw81ZrKoHJq/QXFbW5c6aU+VuAddizV+k4MfgabCXdfQrIzByvvYc+7uPLhqzy+q6LLXoP3A
3rhpIUbGqAz01GokXCu72Pb91ZP++tjKwjBvrMi3DiMltEj7qaenlHhv9uPfvt/fzBCYi6fZ5oIo
jvjx9mnUiPF86V9oSwoiY8k4puafYpYLCCuEcqjeQIqJbQkrk0gehF6hJ/EIkK3wy/KyM/0ubuD4
UWjTN+tl4kAu2UZCSD7hHgF+FlBoAvAHUprbqaOj6KutJvlnYe3vws4ZdpblDtvUO7dr8Wd1MJ/y
N83hNQMsTSp6zlHFBLoYt3oWmKP1pTYFahCcoeaN20pt9xFRoMCkkMotvZpzUi54IZBGeJVAwERv
yFfmeJWVQd3KKvssDM7Zvl0ZKekVUj9T6G1yCnV3qQdWDmnW3HhuACytMRmvDpHWcBLiGJcGPAb8
zrvzKDQE4i6cXXV/zwW/CB6OgK6Zj30E5ttVq3IKXGgdJGf0hJgr/U8lkuAteBNwGuxDL/ij/R44
/Bx3U8hYZLbYIFMf2sl+cpZ+ZejeeZvAtopuS9LxpBjugiNjiHFItR9KX/QxtNAnA9FORg3FmPXj
jXYXLxgbTOY2yp2RSDhizt1MsMerVHFXZzZ/5W4DHlHKSMHPB5f8qbYjx3iK9XX77oCjAtqHQLHz
iOPvK8TMiJhA31GF+vUEk737s39NZBuPmEfXbLbU/n2kCidQ3WX0jLV5Da8GaIndBBJTWCvhfgmh
L1HrIdubDtaLyntlXrKFB2DkuXgixZsiM5mS3FqlVMtYq5ygmVhAiQX06ra5FnoCrPBjx7irASIa
IRf4wpGhsMOyPQWDEk893pvPphBEz23U1w4YLHkqSfcujtCApxXVmm2hYfp2+gKxEco+yNRznDqd
5mq4FO6a/GVSj49Hc+/msIPrHk4TZG0gFrm1o2pjkkRCq54Be5YadJAJdmh+f2zjPjVUb40w65Om
k1qW/aCe3+MPuEN4CrzkLfum/+o+4rfHtu4vPF+2wLI0swUgN2RsZaIMjWNpUs+NN8Q/1B9ZR3Cx
tpRfKX2J440GQp0k3vWpraPmLR1l2ScVeAA3lkZ00GfuE5569eJKQs75/z6I2XY9tLuiMZHUc/kt
Hd28iEgEPsBE9kRlwxn77BQ3ucE8dkCE5y6FGcM7B+irPacUU4tWGE0973r73SL++ofqThBDCZzQ
Huzv9eXj43Mk55YonD1xH/lvDc8b9MqwX+pZ3ASKejZfAR8ynejD3wScgHx/n7kZHcjdb42IoAUz
jEmGkUNxLjY/6SZeWVthY61AVOc9nsr7QhFjjDk98QKA8iyy3nNXrUUUhp6Nk+KTFWm24V4n/kv3
pFNH4M3j8k75awXvtj3UiK1JjDCR8TcFXGSqHbrS0TgIBxRU3cdDvEtEmBEyh6gFqQEpQlQ4O+Vx
030TOCWW+6yR+X0mshjS0MYNhd/Lx7S0I9kJXsbUaSfbJ4ZbY1emDiiYf02jC3Wtx0NbmkYcBpA6
RBEcUAhW56BQhB5vuoF2rvZgat3RfePSZ/jJqt6Nq//O1lcae+X7kZWnpa5R9Syuhn3kkF8vml25
+Z4nQs+2JALGghLZ34P6GvSVoToIJ1UIDYTqc3XxlIY0O/G7+pLtaqd1TKLY1WvgWuA0ekG/KWeQ
d7cOxvYcea5sd1AyGdXUUs9V4Po7+vJCppXwA2J9n+DuD+YG18cGFwLKzVgZ5yyB44T+IiZVI5Mn
ut3aWlUkdh4bWciIbmeUcdG0gLBxOQjqubejTfZSHnzobjgVJlSxu9dg277VnCC2cBjcjIs5ndDY
VGW0hGOaq5zsB5ezp+cPvjkAtLl6ixxIBEoZSpzztF4tkxo3gzJEqn4OoEghFW9+wtvV80LfWQDQ
e5bJA40D25MRWkk63xCNc/EufhpeFGEzCzUZvQSpuBs7AS9TvvMETcEjCzAgMzYNIGJmSFWYa2mo
SP6lBqPXpcpRKqywue0sMCLPrIB0gIqweuqsgBeM7wLkbBm5Hnr/wBsBre3byQwUcP5P6eBfjHxj
4qZbInXtucJ886l1O6GzFZSGwVGKay6bTlLqB0UUYXxaGXhKCHrSENLnAB6s1Hra6EbsJCup4TVq
Lc0q4JJ4kUQtQQXV7O3YFABrGh25zwWAIXvSD3g1s6ESS8AHKEW/lGTi7Oc7v8djOeo7c/0T4Ria
zrf2GkUJKjCGB5dxK7r+1t9Ibs+5wN/XC2Yb8H4UIGfZKvbtLxWG0Ao7NbgEG3U77Iedvqn3qhe5
XJjfgmfcWGJmjyol5GFVLbhUnrAW1ui63paHah3bhUvX0jHcSNtoW/GwAfcJEDNAZhJjMQrbfoLZ
fhu8hGvVzl6k4/foqdyYHk+ajTubjPdnQTsJAqC1l/jpApFd9TzZmMtDueaJJnCHxcTEUhZ9GlMM
S1ibK8Pzt/Q3LjxbyRXXwYFHdbzoiFdOMi/tVYTsU1MJkgzDCp+epbfsAy2568enyt1l9GuVQNuE
nQUcHktVkClopItFJbiAkdrVt/56WCsr+ow6yGM79/kADOGlDPCaLwls1t9R9M/1WK/CS+5OnmxP
TuJou26nO/FmshUoHOTQJe5Ju/7GMXwfslRwNOIBTZ+ZbBG8buewzSG/QQs5+nJ//6ThJSX5NFbq
LrL/S0vMaqmDBBqVDpYap9tMhHqF+6a49S7nnJv3mQA6SK+HNLvNlVsEfR7SaR6SgmvT04/u5ZcH
9urD6AUn/zsexnjHKG8KmVOtGKNJKBrYGxGpBNtwW691UFGVOFfChW2MgYFUE1RS6BFDB/XtwMIk
VUu00kcXlDXxvO5IT+az5AakPKunx4v1BTC+PcluTTGXwDycjASQm+hSutU+8Uo7cX50XkrSdegO
674g44v8bD6XG80W18ZmPA2/fqNNjNcty/sOnbknRinO27LBd/TbZCNhZzR7tD3nRITMaeb5rr8K
N73Xvseb5Fv0ZK0Uu7FB0LPhOtX9MXEzITpzhwzM0kSGiQ8pnMapgQK3hVPz9ut7RKpDtQo96lI3
+seALniygt78GQUMvXed2TJxKkNzqYdndR7QDSADgV7FRG3TEZ/LffOxtaNjcSjfJJ5m831gvbXL
7KA0yeZiFuz6H+pW2skS3pNFjovdh9ZbG4wzD0UQmugtmHeNQCbyU3foOfV4R8Qcvlg/hmAo9Hs0
gLKRzd5uGUEOQeHRqNgyGlpFX0btNx15wZulMoFaAoZyZYQ5XgsqFVU7woi4Urd0JW77rzf52gsB
sGhXdFWvqrW0nVwQ5nu5k3v9mlcuur8sqOjyUFDzA80cVPkYTxmtxlfCpE4uejaSQelIzKO0nteD
nclrC4xPJG0UQXS9Si6dGUNP+ykFExtI3IWYKN1JabjMK0v2gOsDE41siKLOvhhBdiNqa02NL7Vy
HFq7EQC1c/3+JChonZdcDRAEmoqbvJVXleZF6CrP1NbJ0VZe7PUgJ0XuPY6JS66EG8TMJYEOS11k
XKmS0xZbUcYUU0hfo746OWmSQLuyqz4eW7ovecCh8Aw+X8xAGAnnuvXafgK9p94X6aX9rJ+kXWrv
/U35S3qNDjzGl8XDEuhXkHDgaRBs00z6W8RRAzGFMr1MyTTKULn3iz9q34aC3QZC/sdoGmhWBEYz
7dFiXr+P8jDqduLT/qBLTS4DymZFuOjUQvKr1vS2XHGmYh4q63bX38dMRahHo++XTXqJ892QjXuL
oiFsAi0NNF7l5HeOM0EF7+rol47yGgwAYvScqvrS1rJ0MGAAIgwKSxYnrImh0KdTkl4KU9taQ3cW
apX3wLdgw0L2BVSPgseIO4GLIk1bH3Xg9GJCG3IFlJEPzYTO4njw0mJb6NydIUQIWuibv/WruUFV
1aY0u1RO50yOhHTW3OiOCoi6tcWD91rnIDvun8YQekECqKoKHp1lNMzcWsykVBVkKcsuNSlR//Rd
y35xP4rV2njhJZhLcwiOJPCJASCFA3P++6u0TzO6smhoDgyY/cKrry7P3NWPM+Ow6GBkY1VkF1q3
/bMlVPK7NkbVUSja1g7mlSXSTK1N5MEo4JNFLQVEBjBWsQcdNYFVY6ZSYtdFMmPBAwucV483yv1b
CbiCAIpAuQYwMWD0mS9sqDH6IGfpLmJhz/2fQRX2djkdS/9PE3k94FDWqe82kRyehcAiZRs4Y33x
2wB0zyufOorgWgpwDiV06Dib+AvAc7uJ8W2oYuG1HFhEdLTdLo04iWWiC1V/Ecp16UteQX+2YOkr
Iggn9TadQLlUu7FWktTwQiHc0A64LfAbpNBeye30fbDeG2EP2EqeeLrmBuk6CT5b0OCZzxCBcvGv
2+oQgZSxA8gcZJPBYOvgBMsLV0BFS8SjXvEuqF6tHcqidkT6KxNzN3gK/6Tdqop/6tG71ZMacPjH
a3J/hIFGTcVqoI8QbQBsbEUQbSL0//eXFGgEkumd7optInpqFH7WKlhXOtn83bVC7D62+3XaM/ON
YqiCxgOUg1DXY85qCKTqIfR4AQYc3qg2bAbRgyZPnp3G/CSGL4pBQvrNGr6FAvLlgBSW5BbPyk99
IwtbMI2fI8OJTNOOnobRLnxbk56DGkjOjbpTTU/THekwhoaDDlljRMdn+CKDSBL0bUVFhkOur7rQ
LpVX64/M47W5h9vOTIsYFnifwfdvspDmTKt7g1ZCfxHjAABfyByrz5a6rnXbAN/1dGhL6LyGjnHU
bH2n+WfdOJTVQIxoZT6lM+8CD+uqzCGTnerrL2Jce6jUIR4D2l+6EBqYXl96cfkSW3btNzZUClej
vocSDl5F8r2+0YMPKIQHpBJeIJeRNu9C56Bnm5prOONhDNzJcOQUTEs4Vh0JwGW6jhPoLen22Ox8
pwleHjvKfaIBeL0ko2QISmYQb7DvHTEEn4ZJHuKLRhw6uuOAm6t7Hon2EnDuMnP4uZknxhJzf4pl
I1TBrxZfQMmubQZNkuxqAgNOD5J9zra7u1nMpoCr+lJxwkHHHAQlNbuknKb4EhPwpkBbEDCZaiS8
O/LdeTObgQgyKst4mwL7121Qq802SoDAhhloAdjIkFpbNhveqfZVM2YnDqEDy2TgXdZgbzCSJRep
Idf5pa4GYZ35ai7bhRjSeCWVeq7Z+Wiglydp1Go1JS3Y+xMV7OJ2H48xKMRLEdgnAWzNhZ3Jpjba
GR3BJk4Dowf2qwjraBW1bec/hYIQBGRAy45EFIXK57JQLLimBoC7neojZNmLdoJoiBjEPaJsRS0U
pAK9/0gs0Ox77ZQFCpR8hO5HmEelYIvVaAicwHZ/DGPOlVmzHW1OwJaz3BOiWmV9aknJZfCaTfmk
OPUq8EI80UVPH+o6GSCaydkhd/knY5FZZdBJdVPnI+sHB9/+ECrbtLfDDQLc5DW24NATF1+8YBGD
hGoB6vlQ/2PRIu1YQYUNgCjcM54ar689oIt7lP68unOb7Ju6q38HaGVAHswZ6l0dC2c0WpnRzQB1
GPDIMBmEVJh0lMI0vdSuQdTtIbD1TeOOF+exnfnwYRz6xgwzo4kRjGnTIp9u7fT1+/mTByi7L5Mx
42BOv9oqgsQvYICujF1D9k+KGxH7n0MaGTNMAUM0uqko6nkcbkkihBmTPAUAZNiPp+s+hWbsMCeM
BlL32kqxLADBeBiS5/lE3ZiQpTW2EeE1uC0dCeCnAJk2boMz0p2Jnl0lmlWozOac3m028p/aId03
sEK+/X48sLvsaB7XlSHG3YJhisa+CNPLe0mmHbQe3dTjuNr9c8RsY9YdAAgUJSv2mR05Eh53xhw2
vGdM22Yf789Hbl12acdeW5FvT4LILEv0lMEKyg4S8aQ1+jsBLXl9LexPzmV0adJmTgi0qYEbCW8S
t6YGyYwTKfSzixCQ93ywQU3hk/X68cosHKCo7qHFRcSDKbiGmfHklaWUqtLiJkXoD+U523REbFZ2
zZGEWNyo13bmeb26sbVIfQUhg533iRLrQPxLk5Dt2eS1gS9N2rUdxqXzRBkUK4QdepTt2taf8aDi
clztLg+Ep13bYLxZLYO2LfQmu+yoRtDX9XvIOLeoxZ15bYKJawKkXjqrrTFdyUZeibbgCj8U+8x7
ep1ng43P12bm2bxaFXFqFC2UMJJoo2+9aj83KW6M6qRm5By88oqnS6fBtTXGoSWpk6yxxqDQjfAR
h8T+5CzMPPEPhsOKYiQoFuqVjpt7s1GdaMv59cXofPX9bDdQkakmCmv4eX07s8K7Onmq7PXv0VZI
+fZ4W/IcgC2JGpXud1VQZpfRRsIJDWvBLh0o1KFXhlsXXEoGrsfF7E1rELsu76p5XZAIeHJEYi/0
BIfjbZytyRZtol4fhGqCszXOcO4Qzio7dHzeIvF8gNmceTKM/Rhj4srPyFM3f6zdBk2Zmhufx7W8
k3G1+vZ4qXjDYnKcPhI0vxhh0AlPf9L9ds0bEmfbWEwsyGkiUkWEgXfVltbqL+gtbR4PgWeBCQN9
UQrtJGJjmofd5A0El23e3uecM+xhFkA2Mok1LH4Pdo5yVblbXNEJ58RczAH+9mR00N3Gs7FNBNmA
VhQ8ebS7fUnG3723XZu2sPn9eMo4weCOsKfyoXVXKdg0TmBH1nHvvooi6Yn6Vgcks3ldLpzz8/6m
AM5nSRTm0OY5mglscPGROsm2sHlTuJTgXE8hEwwgHi9Rv/gKBhrpHNOuvMnR1tVORYOvbSc2Zx7n
YsD/H7PRxXO7ZH5tqnmlzNsnJj+UXeTozv41fuZtosdnNtp6b800tIz6ZsT8oWyobv6HtO9abhxZ
tv2hgwh4EK9VAAhaOYqt1gtCaknwnrBffxd0T2xBJWxWnO6XmZjoHiayKl2lWVlvROJyGLluRVV2
g6/Yib0cVpA9PFQvD6vbYEdtujL+5uU2vx/GGmRFfekEwH+cxA9CamekNMDDgGdFr1sEQNh9P642
U6Rs0BFGdRRlzhVFB/BNQEOqkvYlw/vU+Gj2AJa2eQ+6ZbpTNyQyVRgCYIxp7AOOD9kJWG+7sg41
SUPCMdfLhuiLAnN+KZZ+i2KeZCfpIb8X6GWroFAbra8LA48N5vikUusqERgQiKqfkYp3XOX23wgw
oZSo9yGyJiCQjiQhGVn9iR6vU/gvFuc/B8W2Y5gNxmWGASQO3crS6Xi0lcze0uH/3DL8GU1/0ZkM
xCwG9YIWcRXgC5EjEM8AAL55TGyObnLunIUuhKyt1PICqeqoSQRMuPX2tjhwiPyXkO2LEcZyRkWr
DZURwcQ4q3WK/meBxOvaio6Jy1PP6VX202h+kWKMZtJVqZJe8DSM9rvG1rAVjbT093jIqMvLii0b
zi9SjOGUykvbRVqIqt72KST6A4eVn10/zPUzGp+ZdShVDe5GqrcGkWRL0oh0FI6o3RBgPxIb2LnW
/X38HlKjJzKiK45BWBZ0rNz8xFRCJy9jEWSt1YqgmYqJRKb9RiKGi2YjoIdRnq+bJODHtc0oMWYB
055NUmioycrvpU8rpHQCYlq7/lBQlxNsL6VPp3Lsf7hiLISRZkkatuBqwNiLT7v9C7UTd/txVhCl
yBzZn4TgCmMsZAFyYx3SwSAWbIIHWjrXTdGiNf1iRWUsxKo0cw8GIjudn8eA3Kd/Hq7//qJ5QCp0
glyYku/MtZToCgYCBMJfq7es1B0eo5QgsrpOZPqRH0c0I8LcR1GUVSH1iHNWazjS9SNmPv6NArv0
vhIwghT4CLGDp5GoEK3LWnQ54eHiRX9xoTBXoRTN/0a99+s7jsQu3vLsp5lMlDyE6OOscUDyuVtr
W5moLueeeRQUXNHM0xSXwowx3ApTht66i/3g3f8jC4xZ9tDlhh4ZEEhuW9pZNvcJvWyrZofEWGMg
pHVDYEBUAbRz/5rT284S9xXl8MGRVbbclZgVoJhUUBnunl7NF0SYb/+kDKzJDUzhIjUyCASn0Y3X
+9yp1tcpLLqt2UExOj0MlzTXUEI6JRv/USQhN908SfoVfVYYfV7l2NeVTO8kdX2uLGW3CiabEVq8
oiCHEda0Gmo3RnEJtSiPPolPGeW9zBcuG+1GmqagaQOIM2ydLS09PCguSo6wBS/znA4OyXyeRC0F
R9+oTGzOdQ8j5WZRgUptK86rRDbxBpto8HI5X7/3BR3/Rmf68xkdKS+zXpy4wft/Mx3YwJPdhQvB
AjM0uaA/EE8Utos+VpUsQItdjpe4IydoZ+15u31/DrFi5mZOgjmscSiAtiKAhPfc2N35pnDqx8IW
LelM47eAcLR9wf19o8YcmVnk0ngp9Pz05B0csaQqEDRaRD/V+/Wr4dFhVLKSV90lqSc66DHviXKk
3pH38OLRYLQSPkTQ9BYnN1B97d0h02ihdx5rA0/XeVnwg/MzYzPN8cXojHiiA/RkkrfcZMKCdcGa
NjyA0RiKdjp2LYt56SRJGHFW4bmza7LahBuiIF7kq/9SIusbKebIPKEDfpsMUhqmYA08WpyAphQS
ENhYcfaLl/BZvKEvzj493ExB6wirE6OJM+zecATa0mPsfHDcy7K1mRFhwhRZ9fum6UEkJtFmN9jj
EXmSx7vrMsClwkQsg3YxjUAEldJW14d4B1D8R+njcfjFIcQ7MiZu6YsxRpvE55E1L5KrP9jZ88d1
Xn52W007PvT/v6IT+IZsKTjvpK7qDHV6InuH+Fhshm169NYnzwoP4QGtEPvf/XnY5xb6IOzrtD9/
m3Gl32gzQQ02v6ywmR6004Amb5UVWnVht1YVrFPbV92m2uUlJvkrrHi30Ape91arUNEeKDBD+t95
OmGFhDuMaagf6dawy63iJDlZVSQ9rA7yNlaJ/17GpIpI+lopRB1I9NTtM9/yPbfxU6ocktQkkiu+
eKu1gE1tv1YxDfoXdB2G1ekyrtvMjpINNgu2vG0xC84XqBYaZisxtoCeHyZh3WYZAMArCa9fySp2
WFD0GFrW9ePlkWB0oTXwtFXMbsqJy9TR9y8PvMGLpaj0GxeMIiiCrA/yRcxOeUWeSlumio/tkjjH
O95s75K1+kaK0YXmoubYyg5uajvaFAl9AhpiRcuETnUXY5NyfOOCnf9GTv0eTpiBDMz8FOR24jta
oaTf1+9myYR8+31G9LG1KrmM6Bg9jTeo8hvo6ApoRtxz7sr310ktBEbfKDExRYnOBcWXQGlYy/RQ
r1d/3H8jwIQRaqxVkaKPUxFJpK/6bcVhYMEKfmOACR96qc6zLIKqIDW8Ue0qIS/uB+e6eboyfcPM
OZVdKHdNDEEOMXPnDI09KC4v33T9ItA1+J1GFXuVnhug0Xwc8rVqFWeP04l//aQAzv2dQqyMl5Un
4ia8x5y0p84kNLcox8fy2GB03iv1VlqVYGPXIlH/2P1fMckm1Iz/GMYfEziJVPdKKaKakpNDSCLr
3rRj3iQGjwVGuYGin/l9PSDvI6IomVil1XI6YRfeCt+4YNTbEzIdW4Am8xFu0SfsyLy2c44B0dmq
Ux+Htex5oCDsxO1hqpoASqt3Hn2LN/t6XTd0kdFvETn6Eas9oX8lWRHqoxOhdLn2faGK9u3EGC0v
csBAxxfcyRPeVjK8vEHLvXHeckKq63ZdZ4FmMIKWK5kKZk4b7BNfX7eEnJNiQ1xItWpGCX5cbC1n
JOl7eLiU3GQy56Q+JWNmq/I0VesugD3sqOI8T3OVOsHyeN5zl2NMPkvuMzKeagSal0PANOI44gN9
y22O0V2kIANcG8sMsKLhx1tHXwEfoVWgJAa6qfKRaHeke+NEQUu91ZjL+KLCmPY6U8bQN2UoimsQ
q07cEtkH5wJ0XQBm58RDcbtdi2gqzhFYxEd97V4wit/8+rBfxJstL4+6aHq+voYVEcTioSKI4Dkm
+XNp/UZ/NedUF4VwRoFxArmc537pgcLlQkysc991UNfrcr5o3WYkGBeAYcgikzOQOOPadFDJeXsh
eUww0V6E4pCgXiDjSWU5IVntAyw5pBzR4MjfZyVlJuFJE5Ry14GIRoKW1Hh5mDcOxmLy0/Xj4tFh
nIHarOqwvOC4BvpcjY6JoQhqa4/XifBOjAnzqn4V1jpu5bSr9g56E63qzNu8zJNdxhGEbdfHeQcS
xo3T7iKXZ9l4YjWxOLuPWjdys6xxHxg07q0LwIUfrp8RjwBjCsxsRF0b9v80Pjxp943D7ateNM1f
ivH52J5xoEZ9EKcTRD2w9zcmeYqPPUFZM9n6znVOOFfxOSg4I9T0CgZ6BRDK/uTkBpoevnF0XOJI
rcwoeS00jd5IuO3SvliSI1INdaWMCig0h5gpbStq3NkVeXjjNcNzJJndnq6pQTPNQE6HKFl1RH5t
O6K9XT8/HnPqd1HDDqViKErQiDadvTr/kdbGenz/N/vyWQGfXVK/aswiM0Cko1oO2C1Lor+r4z8S
YfRe8cohAewK9L48w4Ad0w2GriivPWepqjz3ouy0IRzsZWgngbN6c41x2JZuLqfyKXbU153q8sj9
RFuYXgEzRWJMQVR7bdfWEL6ndi/pdrg/nDCFeBv3mC7ut8qZ0r63wKcU2x+YHv3LzMbsAxhTETV+
ogEIYBLCg+/6W/VhRR4Ma/U3L7YvMmzpVm37LgsmZ/0krnfDZ5MKJgnz1+vSvpynmZFhYoIxMLKi
9HB7PVwD+uDeXjyarTk6tVS9mF/aZyQ2k3cRxmIwApwZekk7G+uLsNUXaUQUlgL5EJEC1oOHHcPl
jAkUQi80MByHA7QuGckj8oI8Wui4WH7yj0fIWIygi8pBDXGEeJWmj+H610tGjVteRo1j+9iaXCIK
npFK2mfLb0/8TWuL9//ICGMwDGzgS7UeJA6p6zjRW1Y7NHm6TmSRDQwyTp01KyzEZtR3FZplX+Ur
RAoAdf6dAzxOd8O/MXwzGoyGFnGoCxKWep+w+SgGWq60VZ+GHS+Juugovqj88OilpqFgrU+xW/Rb
uUMf/tTsa3B4WX7Nz8gwCqpjZ+poIH47WQMNbk2i0guRtpeje/1ePjtamIw7hsb/czGsU8fmhpV/
yUEnLtaGbTx7ZEIdI9QGhuZme6xPu2gjOKttTQy8iAoA9WKimvMEX07lzj6C0dlp57tehBOzcr7z
77BASH+AD/kVEGGdWjxfsmwiZuQYzR2xjL0XBgjK7iBjWtaS2qlJRl7z2FoM/mZ0mDA/TPMuzWtj
etqhMkGeWsvfjh8f12+Qo1nsKtcqbZMQ68XRQJGT8ryTO4KXEYZRrlOZbMA1MWEj/d4MPIA3oyUH
QEOkwyqav4r1Z4fFWIghS4OhbCdB1IlqYbj57d84YKxDKF8w3tTh93vMghwzblvDFP1eOSHWcWMI
fBhiDSf0WaZ1Xn073NCXyOahISxNNsw1lm28CjoZWTEBjEx9DTK9GQm6frHujdv/z5Es1nu3ve7l
ng+OUgLgZ9qQ4O7cYEhYuAlui00lrltUhTG2Y5yu3xTHwrKz78Kqy6Yy9PQKNx+Em/YEvABHDyyO
SC+yB5COqdcPTebsOWL+rIJ9NWF0mvNlF28eY4trxRctwIzGJDSzAGjowljoOtDY6etsL24lqyeD
Ql/+7p25wvwu8CoBHcWiHwA2Kw79MMxxV+fkBMDls09CYKbANV2/nMV35owQY9P0Nm3qUowmQgb2
uWA6kNdmvCzgMxJMPIJNzqOUjPHUhiQhOh3smr73FL7cCggvy7woazNajF3rL/2AHVs4tzamR6D6
4QURWiYvZlj2ODMyjHEzx9VYGBHIPI3WuL/Vb5r9Xc5J8y2fG7Z2Yoof0ox1Bd+FrW7HAYsgsqnV
oXXyl+4FcSmtrSEnqiNbXJGbIpAfBu+LnDHJ/ky26wjrwgSxyPGYHZ3hDJRCcjtS70myOR5u+fRm
lJhYqDQzs400UBKxEfsmsFTsZUrBEE8YFmV7RofRVqxcbQQFqyNPFlYvCPBzwl/MPpsGOjSwEGQa
UWeL/E2ntnGXVhA3oEnqdIo7pnQzv5N9yV/PCTFHlnler6feZVLT+BhiY1ZbWZf9a09KS/4Diaj3
5elC/+ai5lSZAxSFi6eOAw5QIeNTinflBSDzLXJCPELTD7GyNyfEBIy91Ar9kDb5yUBeMPmt0prc
Z2S0q2Ox5aQIF9VqTouJFpNI9LNLiTu7OIjgBluatMqprQLWgre0YskczWkx1lUbGgihjmtrJ7Rc
F5McuQW4fuu6DZd40jH9+Ux1jVoxsdgbZArUOyfUYeCa3mBTBUS+pRcbW8h8mEEuLByPLGNs0SMr
GRezngzU6FQbgBxa6otqo3f5YifH/lk66/z99ktKPT9SxvTGCdqXY+AZQhPGnDTnwTYcwzGfupeA
+iiUGSsqanZ6yx014goOY4/DVulXWgV2K5wyBthosQOEDLBjizUXjGISwv+uED82qyhposuJOgmO
I0/I6XtH2us01WwyPPCkZymo+TpRoGR/lx48syPhgjEZCGnyJts++dNZzcbb3XGkdPqdazwx1qTr
iu6iJ6ADFKLX1A6c94udHWUskeDG1DyWGHtijnHhdzlIjY6K8j8WDKGwnaHrkRvcTL90jSnGmmiC
KotBiYsyVhHRutZRlPdBvTNRfMxEq0JcXVl663aXtdm8lEX7f4atRh4VC1PVTxw1gBszQpkYYVgF
9TA1XRqoCSlwpnaBF39Gr9/estr9h86nT5+ZGETcmuA3n3Tq586R7Gz9F/2jgM0EQhYA1FcYcGJY
EVaqcEmMfpJDzD5OdyYctBf+FsMlOcTOVwO1elE2ZbYq7XemUPvAugVagUidDNJxq60fY+ft+okt
2os5HYYfTaqHoDVABzj6f7Bql4SbwTHXEorPvsXr9f+8AFYQZ9TYC+pDVU09GdSwVJi89rs/43nL
Q0uSl8zSnAhjKkavq8pgMksdVtSlRPmD55ylDwRYRtbN/Wg5eL3e+htVtfuPyN2aG962lsUyxfwL
GCOShKKctiK+YGy3Wr573N35x4aI5NhtEHatOFK/5OHm1Bg74o1NbAgjqGlAHUAio3m6vFyXkiW9
mlNg7EevDj2EFE7Ff0FvXRtQY3OdwM+dy7AQcwpMDGLIg3jRavBQWfIEajNaGfrADaJtUvJ08O9C
mpDOuVV9q3+0rZdtRj94VnLpaT7/BCY+aQTDHH1tCrmANxAjkSuTDx62O48GE4wYYYpdLlOo1Zw3
hX2xX3yLx8ZiXnPOBxN7lHV2GVbapzgY2H56Qhex7Vktuk0exZ15e/3ieAwx5iNIRClPJ/Oh3DgT
mZ4OKHxcpzH9xhWjwSa/L37u1cMFfhKJIPlFJSlWt2G3gnWdCkfG2Vq2PIxy2Ieg0kHsAO48BvT4
cZ0EjxHGLGRqX68EAYdlhQh2SUxHGqNjitdXuGgPgBe50gFdqGrsk9yMCinPWzE/PSvOuIlvVfc6
Gz9XW0/K+kWAfYQXApY5h+UIPrLAdvStTnuAQEREzkkFr37MKspdl7Zo1Gc0GaMeKYkfGSX8LhDh
aU50DGtP0a1utVR0aHnzrzwydyWXeVHFKQ4R8btKBSxFlB8TJ6b6qaUvgS1sxGnAtV1zpHDZQwJc
X5ahw4rCCnvbFQrANiWkHdatFf2uaSCS/LSNem79Yyn8BLTtfygxJyqoMEaDAkqaDIm/OBo59Lk1
rhuZO07EI8UcZmfoeS8F8uShnMiKD/stIPT5VdjpZ34YihlHjCMEnG+4ShXcWR27SBdj97NK1D+S
TbvR4ckHjxbjEhHQZkWUgKXRaYE4HgWAlFNofXMXYkSFlyNarGnP74pxj3WnZSmQNDHqAwQmxU73
ZoVEwGU9vUrQMrjLXZTLaLC+ruiL9mp2noxHBCprn4stqCqrdV2fi+Z2dVlrj2LyKDZOKpLr1Bar
j0hXYt8XMJeRHGeONC4MURBjBa+Um42DdrvusO/RPfY3Fds5GeYssQKvALShOr3NTdKoRNoVz/or
T48n7fkpi1/MMGcXXwAdL/lgBj19JQmepmHQvUeMM9ANr5/b8i19UWJiigYrf8faxKNHtFP7PSH7
6QnJizG5lzMFArOnVWUWjV9Ol2Ml+0NmAWEfnl6xeWq17Lu+mJmYnZEJPEMV9ABkslvL6a3Grh/L
jfjQv3QkopXVcNLX01dfuSW2fiYkWDmRe9DipzEjxbFAd2fGxZj6tNk/qKjYYQ4Q0mnN9GQeZ0xJ
AsBHgxISN0HpSc5TaNFzE9LYVdzAkU/ozN+094nt8YRwUTJmdBkLj/YHVS8S0K1Q0XguH2/L27vr
srd4fjMKjGEv0MUYaTUo7LwDhg8p7Drnhng8MDZ9wNJ7lMtAAVtXUtc/9h7g4W662vW7v5neRYr8
654YA6RllT+UImhhgM+S7kWSre9404aTdfkuCwDxxng1ANA1rMdgk/Gq6l+S3FSbk7Xhudnp8679
9Pfrvn6xP6Ph75/JXKw2NkPgj0oDRJXaSQ+dQ3kFV95BMBfbAQK681UcxOv9La8vlffbzEXq/SXV
GwO/nVLunrCF99X3o2H9h28KDcC0m5Ni3dcW4HrsvQ/n+/D2cL5+BwszA98pMT6kgCUU2umIYrIB
anFHdjAYD7pFHPpwn613zxb0zbZsjB7anI7Az0L0NWFivIqHicq4aiEAB+e5ewwfV3ZK3wE+fbDa
m/vAwrr3DXXDB5s21oN7TC2P+o65ebt+Arx7ZJwOtsZGYlvhI5x75EY5fvOnq/l+uoyradrVIA4r
/HhP3nlavpBWm//4jym7VaNpte9rzekc28IxXRevCQGGe/RoCbwNatfVnh23+5cDx77L755Klryx
0uTpwG85V8n7SkbdS6H2vLCELP/zL0+UZ961HRvF9CZTBexoXmPndQHUWdjGQRDTsBvw1RohhJMV
X8hTfpcRRr2zOL2E5iQjQL+/r01bzh/vkvuLg5SytX/bN8ANHXZ75XzRqHEIXoOeRPuIB8X/2Wv3
3xX9x1xdJ3mDsZp0DMusqUJibF109lNeuyaZWzpPjwNZu/bHP4oDo9mDYWStIOJge0I5P63wRI1R
7L5A42es47fxKItLEt/l6619sx/IPbXuGrJ3X+jbQ7Oja2vCdtsqkVXy4ljOJzB57us6+XPd0uqb
nHyG5jMBDwMJ4xwj+Nk9NwQV7shyDt6mIjKx37EF4Do17Nm7Gkbon6ZtRq6TzdHoEohlSTaWSTa9
JbzG5C1GybR2BbKpHIwVpiQviapa8fGABhltI9ibwNltBqS3ZZ8orzfa8emS0UbenXqA+mNbbmof
NCL6pLT9wnZHt1k/1eublWgrf/Q7Cdvd1ipW+K7NvYJ9eiRYkRDLJ/ttCWQLsjpI90AFIX6AttRk
0yTkcqt/SOii3AB+AX9htMJdj02dWP21Tva/PpQIJfrVsbKkhzqzotvWwwqP+2xfXOz8bDg5veBz
hT+rFy367IiIMtKtFQe7RWua7z0kl9K1hH0fh9t8wkt7P4ibi7MunHeTaJhw3aBiRsVtaR86EA1j
t7eiBjVtpDS0V9Eed/1NSdqHm5UdUCSysYlMp4FVONGKPG1KggXT8GY57W/Qw+sIF7JxtDUk1Uwp
nqMUsMEKedmvXWBB3Bvr0LYNGxnpg3nn74oMZYy71Ta1Ae3ZOQVK58mrhg16IxmsXqLmu7GTN+qF
aCkqvsfbwMp7stHDqW9K3yFBd3fBes3Os940TGesSNnR/Yv4mq63v8rdsbS0843c2i15wPq0zEqB
96RsBOvO2xaPxkkrCBBXAWmMpUG2gNB4DcBhCXUN/dh21uCK9qbZPuavaU21dWDRVQPcmNAxjvB9
9oUaBZC8MNeGFg3ICJYJxCOyd97GLtyHjijAxM0+3jpLvnHfHrtfmkJIsLX07bBZ3WPgYotuWZdU
73pH1lsdwj8K5HKgJEPkQVWYrj9Y0XQyFOJUWF0RvRvU3ERHtLrcEPuhIoldWrEFpK8WO45/tbTF
HqdtbH00EmCg3IpstsqBjnfH0BGJdF89BrCAJwS+uI/2eNzgf3Y6UvQ4NGSuWnyL5VOcvqu/HTV0
BtEVfhQnIdCnwMpex7UDdPYM/ynZu5Q42LX0S0Cx/82z89cOENcJmnNV0llhYZuJfXR/0eRdXd/k
u2NDwSkAJQyUhNch9qOcirV5K0m7hDRW/PgOLzdA8vfeHuCxxeENg6JELcib6MqkdkfD2a6TbU7u
zTc/I8FHaA1PnvNo3GJldfHYoOa6zTFybEHRRNLbyNe7RFlvN0JmeT6kMrAbmh1Q8F5T7e0lpkCP
Ve4n2J9tY9U1JW5CcLR/kAkVNsfkQoabepfYVUyIu7FLgMSbFmamfVu+FRDvxDcFcQfq4Ww+YKuA
R0ouu8e3p/TmnDr9XXCIXqysd0ZXhDI0yWGrg//rBm3JzWoAMlINVVEx5MuaTz2IDEEIvRY9uIoD
1e/Jc3icGjIS65KS1Y3uTDDw5gZXtQ3R981xR1z6TEwljbVSJarZAj5SSqm0C08nJwSefuOgd+g2
3xSInJVbE2Y0O3BeEJ+8Mc79G+9M1KWnQSRmK9AuB/J8MoFiEFKPIEvpXj/kheYeTCDMDnlyiDOn
IYq+gXFwoT09WaF9AOqNciyfoCwa1vka/BrXz+zad3LMG8xfXZJRr3CnRUF+/ZbOEdlJDhSAx9ZC
/Ae2FKxUUWRFB0Tdd7bkog3k1vO7k0lQ7c9EBxYSo/T5LXrdI+BhlbdcBLmFCsDE2xdN5ijjMmpS
fwWaQHbPArhB7HYJnY+OwxsvRPnO2vXr5/0W88m9kstRWyBCse45X/kz/fM99mEuOvBrqcI6tykA
N0lsa0cNwP0dyTlkZB4dJhYHBFku1AnoPDkAVCPkcCPQ58PJt+HqiItlS+edLZKHs8vDV1yQsFk+
SP+stc0Ux4/rUkqn1wuKWbzXCy8SZgegjFVfdML0fDnvWscJrFOEPpKM/DohAHHuiWtvtPX2HBAK
qPi3gW59i9cu89kDzligb/wxwbinykl56cHfk2Ud7t9ubtyS/EZo6exyktpoonQcyHlOd+3Os7Bq
CvhvPrFGFEfpx/qup/aDvVV3D3AN5Da07j/grDfbd/f9KMJD/VLI4RAgBHNX9nWJ/pwkvfLdbB1O
MNsagA2IgiXnxrMOm4PV4VOfHc2t8WzAsFrqKGSPDYb5Da+Cz9Gmz/fATCSiUcIy6intk1KbJ27q
z1LcN4ViR6/0Lsj6cnpMWCefHDbTSa+p/XpCS0xAEKZlVmNZbyHeggNyOlO0plkUoZVO8HTi5HY/
YfyvHfJ3G/Q/SqEnQizjY7B3wdo83f/y79TN0/pgbUq6ur0Q211T8oB/Y3IGbQW6beMD6dp9wJJN
wGS4PGnlKCNbgRICY6W306UDUZHniideWF5NpP8VLEvFyMQPVxIMfnpJsTQXD5ZKQhjUPa1cjIkK
Vr3j3fKSNZvTYuyxFqCvDJB2LaxmaLfuH488THd5XUWWggusqv7iiLHNgxemca9rQHiih/j+NaXJ
C6YZuAjwCxAA8IYzOoxtNpNVnZsa6Bh48HX2s/JaYSUI0G4zAJcLaMnHllNiP35UznUGeafIpECb
OkKFN/k8RdH2nw34ngejI7ymOB6Z1fcYI4jMYQwLsGclHlFS4v1JIRQJNPA6O4uZHgzqYIeobH4u
X/xOSAuMOPf6FWK0g4ThLfiDyhXw4gzQHFThFZFavtO5xiZ5nxAWSo6yL1UU5tQZXZcKpRjCcqLe
3N/Xm8x+u87eYsp1ToAR+iGpK6lWQEBKnXSwcsOWPfrb34i1bZ4Hz8LV8RYX/ReawIc0ZEPCrnPm
7sTRi4XBhFIfTMAT6dsIifGLPdo0e/wr7r4oMX5UwLbWRonAneWdo9GqLTxeY6txRVyYwMlMLqaA
punc/2WLdX6AEM+qNgRbhaWRDjsnJeJtREwqAcLfACoR4TC35JTm9L5Xrv4nVvvRTyUwl/weXe24
pjIKscHWf7hOZ+kpBkvyxRf7FPOC2lNDPIeQSMld1VJaR7CLHVop5F2KBV3JwUNcgXf9NkINXT+W
BuEZlaXw/ts3MHoQYPtLHUwXOSBhFNsXd7WX7Ify9Z8PldEHLxIETKfjEgfs0MH8CFbpOI+r419M
8k/m+etQGTcQyXJptsMnQxOKXQqghc7Bdq01l6NJm3660C9KjCMI9ZU6JD04mvaFmoDOajGejum5
4zQ95yFWipCnCDFQyaXME1DGFWSiUJmmNOm5A+jKW90S1j4oSrfXBXTZFXwxyJiTSA0yIfDx9Esx
MxKvE2Auv4TcbiJ5ErFr58jYkkZZmVi5hBtT7zpkVLHzlwJAGAXGAoGtST0nBNTouoX13CYHYePf
1C6vn49zlWzjRSLUqeyp8K0DrR+bBpgxul9YemC33sf/+UyBb6ursozACyC3zNWl3VBUuQBmW+ep
BkhYhcmDB55vXc5/zKgwN6c35jj62AZ+OpskoHFPeiC2+qS2ZDTJJHbo+A/DK5fqwkV+4425SDVN
FDVVIZat8xlT4q0q2chFOlvu5o2FC5uR+jHrU3ty6JeT7qVExGysZsvWA68FV+ERYfyApOul7wPk
EcMV5i77nSFPdnFVu7wz78e7ZDWNMKPfjRYIVHL3o7qT3T2sd0a2j8iRWhZGUC2g11iia3Kb7Jei
0G8HwPqOPB2ybLphnLW4oiU10cvz6u1v34vdrwIdgER3ByJsBg9VtOsivOQzNAnNoKaK4Rmsf2do
Z5rox1EEuzBQzAJ6+/1LwQ0PPyfcGavwjQjjmNIu6tAPCiKlnR7No3rTPPpbfVOuNTu8izHTO/nE
Y2a7ux6p8I8GDVkf2Z2AFDoZMGjBS14sPS++fQ/jv8xY68vawPdUzkG2RZWse7s9XtCgxRsv554v
48JSwSgavQYpy5vqMDEwkB8fzN+8F9OCef/GEeO/RPTbJloAModXf3u7gsh0RLevy8qiCs1EhTF3
clOKpTqARnHr7Stbde7whueE8jw+GGMX61LkixdkXw/RbWj/EdYVnmB/43O/nRZj3DDGI0eVCE5K
u7Zzu7HRhA33nvIXKi+F8XNSbEN74ku9BsfbnTCjTIydsvNRcjvmzuWxOPD4Wkp6fCPGGDlzRC+0
KuD0pBvpSYQhOWwMVD8ly8Gw4bO6HQ7+NrF02BPrd7Oh2Yvm5lSge1tRCUybR2i52QYHBXUoFMFs
zzlu3fb3dSlaSn99+0jW4gStXCTTiax6DCv8ChUUvzDrbHRO3rqBvm4UkitWWK2BGR9JN+FARo0G
I61EmqS2F6F4hMb5obCjwIrGbVXc1eVaLB44nzl9xhWbZTA2K8JJ6pcLyg4i9bbaL3/Xf1Y+17a4
A0CwGxGKA3p9KwGIEjpnDvFlVdMNBUMWKrbXMBfZ6/qg5QEucqDdyxNqlR25oGCeWeG2OyQr1PdG
WozEDk/qDTxXgz+NSbczrcLifMlE6ccxYAesjjBnJf9YlynKguIL2CyJwDhqkSiXUAZH9fa93Nz2
bohRpt+ovT1ERN1hCs7iDTUtW+qv4o/IWOpMqTwzaPGsUhoav2PxaLqBkj5wuFy0OjMqjJH240KX
Mh/HLdLqTaDxb2Tlebi4y55gRoQx0QkgoeRVBCKIJM46hnRCvAa7k0jurl/ZQjZkXi9j0awbsRQr
tQAdYA7fyw8KXoDudQrLRm3GCmOlxypdpZdJPOHU2pv334mbW5zYmntcjI1WNIz2VhloDNicIbnF
rt3WbzRa8/YgLKraFy+f3zFLiftBi5rZp4RBuvuNcK87LXJU109s2ehphqLqSJCpyNFCzWZUQlUM
s6aIO6RNgS3inc2YKjv0iiCsXjmJS39P7zEZ3VkqsgTauVq/cUR8OcicfQEj42qQ+JdRCbrTU58R
QAn623ZnonNhGquLiLjLDqsjcCixeTlbc18Ti8Z0RpyR/cFUVKGPQbxvMKS9yYi3t0lr2xyjvdTW
iv5nQ9dULD41TZVhMoyCRgm0qoOOqehUaEPcKcA0aJ9hF9shdNVtSbTRuvxqIlKfsEVwV5QwW2IE
sEj9V/yAf7oFr2ts0brMPophHqUeY9STFnETdjYlMVVPjwD8r39dF7FlhVlJCgZcJFWRPnfRzEQM
u2ayMMECkdOwHVFJ+k0fuYWG6fh+OIMV3IAo6pg2YFede1iK0AdeP3GSPenPO/UuudE3/X2fkgy7
ep/veI20S/kEDSPxCq4TeSDVYC40x/y6JnhJdwo/4vO0d3bKLId07/z6c0QVxyfGQbob0Xfz8P9I
u7LmuG1m+4tYBZIgAL6SnFWUbFmSY/uF5UUiCe778uvvoVNfPAPzDitOpZIXVabZQKPR6D59OjqU
0tlY0uWOV/UFqSjqEMJglmkqEe9UkGKUJBvgSif0V9TPyQ6clT7B8Nbx8LTVqawvTuCWOMWtxoVe
xiKpBtDNYDZE9bAfQeEfAH3lagdriw7tZ63vN2kG5ipYnOO4qO0CYV4PVS5gL7U37uVzm7khdxmk
pced63/+PCMYLD4TdET/2FjWNTMyLiQr0U0bzEER983wNy0+EFX+ktnACNwfxt5wKmT4Nq7EtRN4
KVAJOcPJDAqtg6pR4NybfupYqUP27ZaTX/NyMFXb5HyxGqaYS5/Mc1qDQBxoNuGYGAdY5W5DH7MS
M4zJ11HsmWa7aLVzbXA9FQ9B+jnTjhP/KiPD6ctzoQPemPe9w4qjHqGZn2x84EqvnwWI9a8PVAys
MYrYLJfThKPE98k5dML71wCUGZ9DlxzTapv2cy0YuZSo3OJM5r0pQqy8Cea76pw28MqNuaAQteAT
Y6eH+d5GQShye8T44KPYZLVdi18N+ERiM2ZbjCsfEMWaySeJD7DAV+l/sNFUMLoP2mYed91T/RIk
ljzvhfsVQz3N7WJjH8HsjqaoT4lDd/Y+f9LBXX6msATv4atxV7pd7siz/b6938pxrVXhsL3/6Kq+
Gsze6BNS4RPuFj7z/jS8VvflX/ndfMhOX9FFivH2x53cHeUheNhKJK2FUQZlDN2VOjd+I8Sd08BI
03LCk7pasmbA+m3iWVaaw2G+FzKUvaQiBQavgIz79n2euEsu5YzA5fCCvKQDCI3mbaU81k/ML5Fq
uSrQq3KYhnlAIdq6y/AKW8Cyu/cgbI/uNU8/Vd82C3+rl86FSMU7BkFSToHEJestY82aR0zsBucY
Wo1hNdtkMKvSLBNDUi1GbSqUNSVz2mNKCcWVftrHxM090B+xd4PffpHnaSO5s/qaQ678f8LUKyfo
MvCnNBD2kSPXgtqwjvFNBoiJ0q1IcDVrfilKWUUWpwm4ao3hOTi0P0AgFT0Y/NQUe/xT7SKU48YX
6zAj7Th0G5WWtRInxvP+0lK5bewundiQQXS75847aeza1gFOIn1sgckAKnwrSFqN/C4FLnt84Xqy
vMoSzCtZckxSR4oRDg40a44G6OKf3NwWWwb6mYIbTAllE7zJpsy2lgAQVCaAUy1viNH9bnjHaLeN
K1h9aCJQoAbeYPjXUqzTTJimgYEGXmU0AQQWndbPDqmT+R3LMAPZ6bvCbr0y4yAh7YMqrpw2rfUa
gxBFx3ZBZ7Rvpsb177eX4ecE5N9CJ7TcimUMs238hPxdLDiZE63Qh2R8TvFko67efZqMc2o6Yzc4
dlTsBThl0i8EBKw6OmvEBzl/7xKnMh9TlIjST9ZXOwWm3aq+pfqjkTvG9BdSd7umvi/Mt8yo3BSw
TONbUjoJATDcSXKX1YepOYGqgbONivyq4wZBDqJscELZqi6FJQkfTDk+Y+SgZK/9U16AlvRr8mS+
3F619c38JUktzFVcD2vDgCR5skH/jU6M8Ns0nhPMwsLufYmjg0RWazhtiF0psFqozv1PwZ/tiBeb
tURrIcjJRrQ66sDYoU5nuud2M9O/FuksY5MB1bAxn5UrsZUczZloqCE/xxhkOj8077dyYT9fG6rV
XUpQDoMwtSJB+8z4zAvgVbXAYdNu2tU52kHi8+yPttOf8nclda1PRnRKo0NQoq8Fw1lipxuPoGdr
XMP0iInRosM9QT5NwlpndypPIjxoZwyB7NlDKryuPNqbT6m12Bg+0SQm1YGoslSnaA4kyUpcpLWX
vd33mstOJeat7Nzytb/fDvvWrPpSnOIS55wOtUaHxQcvL7f75xyUYHz311IXEbu3JyRNN5McaxZw
KVPJ8UyBNTZAqg+Ym4484juwgRWY78JOGcg7/MQrPMR+R2uLkmc18LwUqzyR87LL4nmG2AJc1uCD
eAcKBbgihw6I7qm3REbkOADQWN0Vd7Un74sdqpwb6aXF9lTbXJIuwIAxjvHhim0WVhdkoiELvOBb
6vHd7H5ND1v9Fqs5rAspaq4ul3jEhZU54ChXzrd3moMSiotRfa3TPiW+vOPVVovFagB4KVKJI4rW
SEERBcWmHX2dn739F6/3qRe+7w/0mHyPdhveai0eu5SnnJNRywmQnJB3X2K+Uly6r/NDgkHfKMgs
77MfW+nPtbe4BSYnXcfBJBjMfR07tFpSZlOPkIz2QepFHC/UMW5TV5tB33hbt3Ub+SVKeR4PU0AM
vRNIeR/MT43lVNzjaNLSQOZr7Ge6IW31urFAcUg5yKMFIDTXmoUti4OIQjMPoW3zoTgHHq6XD+xO
buID1xfxlyjF93f9pOmDRFg0YdrmeJoqJ/CALkAJLd95zZN2Amhgy1DWHraX6iknjlTzGAPgvDxs
ids9hLvvnTcDOpFvlu/pYgO/H+5/1FMfQXU1NKZmQlSawS5aV6eRlzJXBw5rPiedV+bpLv0xZvdF
Ebtd57W7Yf4kxewM4CDLzya9twdvCJAhPMfNyQpDmLJbd/ugc+0vnf2cFncB2/Xp9zb61JT3dvRj
BoFJfpySfQSOsXBX4OVVB5Y/0HekeZDjMUg3xpmuvi2BtOQ6ty1qgiXo2lqQOBYiBQvz86e7L4S5
BRCdO/fR9t5KtM95myCln1GHuqaX8pTtC4hZNL0ZjODmnoCCtME98hGlPe/04fSBu+93f33mk+Na
bno8twfwk2B0cvgOvQg/bp/Jn0HXb98B7AdgdoZpcap8R5Fg3G0uhun50yfkLGYQqILXbz4CqjCi
bcTxnd1XCTRBf3gq3fLwhsniqEXePd7+CsUzgOEdUwuWdD2hCPVtS1n8LEhHIsMo9WnxYMyunTna
V6lh293pmXLntjDlsP4mTNF4IvVcCj1M/VKSD2ZlO6Kt7o2h2fA/GzoxJR+U1aIQtIBOAUgnZ2cm
zjQ4QeqGwLoW7hD+N62Yck9VvRZkaJVLfYYW5rS5L/VHxjeMRfEDP1cOpG5CMIyno0QNcTvGyRDN
WeoTiYnyzRe7C51ier29PVtClO1pG3DKp+B/9jMTmdDhg56BGY8m7rSVLlvbIIZuBRv3A7dw6K9P
fAV1yj4tUn/IwF2fnEbhWP3roFtnrln7MgPiNMs2jGJNObwQLLLk6fCf5e8XbxG9Znyc+zL1uSRO
GpxKEe7jXnoN2/Bna0Z+KUi5/Ew2GIORNakvmtRNyLmIfxBmbmizKoTBWwKdjqhPKLGKbc2gIVqE
GFGExXptjYMdbowYWJGhA5dmWAs6zSSWYtdA3XeSNCTzOZX7vDpPNoYPARnyr41ON3QKIBxZSltq
ebYe4nSybJr5+aA9MnAVika43Posx8NtQfT6Kl2OEARxiy04WEptxeiCXnQ52GAzv+3GRZ2KlxsS
lp29cOh/SzB0AodKhWGrNToRtLUcSj3z9eYxGUoX2Xc3je8rO9w31pfb2qxtDt7Vf8talu7anMeJ
Jb0k2Jw8tXeD3LUUQ9+Hf2/KS2qC0iXTgjB1+YiLMxOmkd4HpZn5DeOtn5tFutfqnvi06f8ludPf
a4dbCHUChlHWavlY5iTXjD7N/Zgc2jbzOvsU1/WGra0tGt7BxnLTmWDpUhYtFpYw21zmfhg/Yg6D
oyM9yHXT/fdbY6ExHSvHwCiuDh2iYcYiXGy572nN8ZuenP7g5/FOAWxUJ5SpmdzeHuquLIrcr6Od
bt3z/ECLPzj5cMv/iFBOfsslnRIJDYZ5R+dPeXoW3dsfaIGnD2Omhcq5CpVJpEZIiSqdH5ezC4JI
J6MM0xM2DHjF6etIroPyyASpOxNKdCNzHQFODymNzrwhRunLeLSsz5if8yd7DkJ3jDBAtRMV+uuT
wtK65E2o5/5U7Gy6bEqff729YmvexfolQn0K8L6paJoYuW+HHyz60phIosfMIQT4ZK3c3Ra2tnDL
qqGiBTMDRuRanxTkQTqv7dwf4/wkQcSB86gXuRfN/f62pDW3fClJ8TGdrpVz2LHc153PWxDgLS2W
v1/4r5iBYCcqee5b8U6j9020a7L7sd5Yq5WNAUYCJszZUuk2FSlSBxdDVGqpP6dfprE76flxJvEx
SxcQ5UYZYEWjK1nLt1xoRCYmtEiDrOFMp9hrQY7jp/qWNa9Jwd1iAcyjo2ZtKRrVRqMVWp9nPmlz
cPtoIcbvVN9n5LE9TrItWrWflqvcm8tV9o84Ral5klECMmGI+9JEjdM0H5qs3tMQ84zqA62erfGH
VTsmnmJyL0KfHhjaawffNkMXbsQj01HbWoGVm+LqkxTHkYWFzKSNFYj6uy735+FdxI7/2vAhAvwl
gP7jHreVEA54BRPDvMrMNyZMVgo/6PXLbQHrOvwSoAQ8RdpbQ7QI4ByNDOYpr98P9v6/yVD8RMVr
c2q0OvM78dSHL4MAD0m24cRVcM4SG1yt1KLohdHrHe0laCuxUhbrXEOP2yfR2MJj1hi6Y1G178wy
LPZAsEe7OU0Kx9CIvo9pm5za0U5B42xYqP33yYfbyq+4rqvvUo5JCEIPniwLLMRTPv3Q+m//7feV
cxGTdqJBiMVl6byzreaui5KNEtSqjQBVhlEkzET4o+zfrDUJ6wgiohG050+afn78AxVQk0HUjbcK
sZSt68eEh1qC39fBeG5E57HZOqmrm3AhQdmE3oxzHkxx7hdd7Waoo/Oth8PqGiGaJ38/g9Qo2MT1
FDJtznxNfo3HM8m/NPmGL1g+8jcPeCFCUWIyR5ZPNUR0QNJlKFYYe/I0iWYj/l1bK5SBTBQKCLOB
V7w+SJQ0vaw6PFDi7itpvzTmuCFgbakuBPzkqbg4qVPQDTqJ8ZizaXnQhu4+Y+RehsnbbavaEqPE
pw1LQjkwiKE9OO6BQ4y0TSKEjbWixvVaTQM1tXE2oErYObp4NsSP20qs7bmpm4zilYBhm2oEnPed
RfplrfLBOGIO4yvTHkoezk47b7USrOpi4AWPvATDSVfePXpOeRRheo3flB/HnjmFtUV3sNyHqgFj
rME/EpQd0UrLHnkEZYK5est5gpaI4VRUzTOnn8bkfubRlsQtnZT9wbDiuePGolOaOCCvT7uta2f5
5t91Mm0gDTAZQ9jKoewyqaPgxTO/D9Peq/Xo1TZqb04AojOZmyBNTQTaYKxPBZlOJBD72/axFlaa
BjcFoA4m5pwvC3BxlvKpnKeRigxhZYn0ZRSdq56eef5xHuihJuMWUH59QX/JU1x1OJd4PzHcsr31
IlEa7jeuglV7v9BHWc7G6OaCafj9vfFGP33e+PVVl4AFR7YCdBGAK1+vltW11ETGKvNHbW+J2JnI
XVps2dzqlizZCZTSCZLlis2ZIR5cBQ9zP5vktypFajkcd6w5pgb1tjK+P1kmfjM/DOAFqQck/oZ0
0ZMuHNoYGZEh7QEoQPuf00/hfJzF1Ls6oNkuSSz2JFrgmsCtL/eyqR5LKT/3Qmvdupyp24dh6Om2
tI9J0KLTtioxosbuxq033OriA3iBrBdbAnll8TNW1l3VJnhn9ZbTvErSYWX+fdoDZG1AN1IUS3BV
KhH5mBaU11mOSCIMXH223QKyRvnx9qFbNdILKcoNabedmRkUUsrQa4dDTB/m+kV8vy1kfbn+VgUk
0moaSgLAPKV4Tfu8Pbf2Ph6eWrkh4pYeiwjFHxMmhyRcVivJd2N5zul9WbqbKYktRdTzgDyoFkaQ
UnXfpvKlrx+6+vDf1kp5xFgSIOJhWBQxHlHLsfXzPO/+QAQG/5lggjY4GB+uXQfNi0KKqM79QACc
O1mgVdUwBwj5L++2oNVNsfHYE9gRipj7WlAYmBXmHuA5OdB6r4+xk0e6wxjYQ8eNsH4xU9V3LE93
dG4wpL3U2ILI1iB6C9/BQdergch+8ETwQ5u+D0Ieo+zrxIMN3dZuj0uJyvFMBaC6ZZPlviCak9gf
g6pwbq/elk7K0RR9OdSZBgnaMB7r/n1VEqdl50qAIbX2abtL5OfbEtfc/U9vY3HMdUFm+nq/MJuK
5ImNczoSvF+cqXAB0cq/0OD5tpw1u0CSHRl2kFHqvxmgORQzLysY4CyOpXyX3nXzPkk2hKxtELLS
hk0w5wu9O8ryTVkms26m8Gz81ZTAb8o/OEZIgKFHCZc8wxzN69VqOp1JXuJyHKM8+8zTqnYZzyJf
9qAxvr1gKuz2Z0aAWcRcuqEoeGoUZbjZBpiPA69gzXbkFI8NSDxDGe+I4ZcEXUmgsK2t1wxg0NuC
1xzewtTAbOTe0ei1/P0iJqtkwcsmGnCuqmlXysi141c0Qv9rISYK8qi8GQTBuhqt80gOoxGNic+t
lD3VZQiK29Ecz2XbB1sx7krcjgAXMN8lb01R4rlWqIzrbgjFlPhFHOyrKH5nRuO+N1pvrg4jPwfF
iFCDAHxvvhgjyJXt/pH1HThthQ3Ab6IDJ2/HKEVjesvtRVg5E1cftpjzxUqzoW9JYveJjxH1nyMb
E0zRLshieZR8w1eqoPHFmK5EKZvaTjmPrK5L/KSb9jlxqugczy+dsB3TfKebx6D02Yje/Xg3JhLX
T+z9iarANDN0yhg4PdeqFlZP0gCZEtzVjTOFbwagx4V1MtJPt+WsGC/0/CVHOaCoF052w6zEB3tO
8K4dsuxkxdNz0+ftxvlclYR2W90gOKFcHXMrrFmzhnJOfDPMPcv6EkWYIDiy/W191EaDvzfuQozi
BfqKBWlpGInP0IbI7dhFtsGZ82A/6/23pKfwAdUuaev7PkRvbzHsud0eqDGWTkbmnQg7lwxbnYSr
quPowo3bS+lJ+aaasbniAw5UDBor44SWEkdulH5XriW4PMaAyUdnJOKWa3uZU62YUOnGmSUiPtZ5
7aXW+MLq6jEj3cdRjFvowVWBGFSH4Gip1NnKWRyDoYrwckv8UPsrKiyPzE7xuUsGLxnfbm/pqju6
kKQcRdNCbMwqSJqmZ0N/1iSA4+ilYALJ/mmPZoTb4tYyyyYSe/gXSREOr3u9lDKxZVRJLfEHSWaX
VJncWeUAiJ1JQrcdQd04Vgk6utB56yRdCpB3H1ZHWuY6Jokm34KyHb2oRsvh7e9aNSJ0vqI0alIL
06uuP0sMxthbBJ/V5GfUmZ1qrh2je/pvQtS1nrou0kF16IMcBY2I/qBvXJYrLpwi0OUojCEmsCwl
3M0B6iulzoEOnmrbo9Njt2TSwvIRbHnT7rYyy4ooAS9kUXhyADwQYCs+NA8gfizh26zc/FLX7THq
mve3Rag4xcXdQAZHMIgoCpem8k6QRd8TnmPB2rk65QKcnj0e3cyxG7TDGcD6VB8LdEpnhVOx9LMx
SDccR4+jADGg8TSfULZqt75pxVKuvsm4tpTKsFCoEyLx7cT8NMfzMQVogmaxCxz6MD5lGLuc673X
tw913cCYyVdpFF8ofGVC441gYsVNXH2L4pfaQGLecwgcHOCE9MT6lDskmcoz70q0YM0aZgNk83C4
vSurG4/uGWRj4HB/o2vJ46gc2gGbUlmyccuowetDJ/PptpTVZb6QoiwzCTF+pgtthGTRwZbvGJhO
g4+3RazFtBTQlH80UZZviBtw4pZYvgyTuRBTGYi9SP0mwrcAzGT1hKGx3Dxq1RYl1+oxNcTSGgLS
GxAMXJtQ0hl13gGF5VNyYNk56r+2L6TZ8AVrnhba/ZKiHJ6yiKp5pnPqa7GFzi1jbHdpihkrddnq
qRf3+nzHmV3/JQdZn8pu1B6Q3UKrjVaFrq6BekjIBjNRZRBshH/rBvTrw5StTZsiyodCpn6z699r
G/fZut38+nFlT1nXTAGcIGCbJHcaq/Km8TXmj7ctZ2sDldtioInZ1AKG04VoWA25001vTQRqfbHV
8LIlaVH3IigneWsvXJZAOoz70Lifj/18rM1///y5spTlIy6EtE0ydDKEPY7duVroI4OTAHXH7TVb
9VV4wJmY6YfSpNp7m3QVct0LZreVmO7T7eEuZfPNBgNL8fW2pFX7+iVJhWsZWTtj83GX63w4z90H
GbM/cU4XEpSjxULk7ScDzsnLyYPevy/Yy20Vlpj1t8v1QoByRMKsl7KVWCx9sOBdz1kVORl/L8nz
EpiEaAadtl4Q6/tjEcYtA6hQNdPOCj2Q0QR869xnzWFugvCxyYJDCLB+BmeFKL6TG1qunlULr2CU
QH72LF7bXQE3CIPAa6KinxP7rmHSsbQtBKLaMvZ3EHEhRVnLmYlpzEaGm2SIfDq6hfQGELiMFO2m
BuiBZto4mPz71CEAHUSNsRhJgy5UvFl65HHtDNQWFtibLUxHqkfPBCSrtby8C5Br6Z64nm9l3VYi
cpQ6lvI9JqUwS02O9mO/oIHwvXEZOayZvCH6bprnlHxq7xnfegqv7gFb2o1N5CJAwXa9B3EroUq3
xOOivie4lg5tZ7gVHewNHNWWoOXvF06m5yNpswJxE6ADrsUfeYuXRjg5tw/O6tm/UEdxZZiNrvUp
gzoJOQJK323EPmpT/9/GhE3BQ1ug9GooWmgNkGeyhhZVftbBeKLnpyTv3DZDCeY5j5kXtrsnvtlN
tq6WTQEbAYgW9bbrxSvSrGwQdya+YTxSHt7z3t64lFetDkm2/0lQUhUp5yN6EXAHdHbhjCZ3jJh8
icM7rawwMjTyR7oVSC9O8jcfdyFRebdPeRCX09KakkbasWQROuP6He9yRPYg/I3sIxtOUifeHKV/
NdVWBvj2ilq/VYQwT4UkHPrWLD8ZbXYsqo1bdfXq/kc/Sy0I1bJB6DdCv2ownW4O34uYvmspc6jc
6k3YUkZxcV3UjXayLGWMes391rN169eVkKrTWhBnjFiq6jwejrfP6/qBQjsFwzQPNFWoq9THWjHM
CT69qDq3lv2hL5gXTfMpn/VPcWEOLgqpT7XdPUV15EfdFqp/VTkb0By0Y9mMq3ltMWhc05fGmAaD
DxwD7Sof8qoev91Wcw1wifw10BFgxEOO7mfn7YX3s40oM1OZpz4yn+6MavmY6d5s4dUYGm5R3gFC
104gljyj8TBu513Sk32QRsc2wShRHu4nvTrVUt+PVewPEfuDiOny6xSvWbZ5JuMRX0ea1Akb4ZTJ
x9sLsBbQ4DVPbGrrAoGe4sDMjptJWaEXKEtPYd3sZFzt+2FCszaiA7zn+2NOpXdb5lpEcylTcWkJ
E3mh8WXNw6+yp26YdG5WPgdYzqR5uy1r1Y71pSOcoK6Ja0I5JD1Na8l1hE/c/JgBQJhV9qkIx88J
uJ7mnN1TsNrU4W6MrC9xgsmBG+LX1/eX+MXML+xLFDLKRDilPvrIQOWRHFC6R7tadegrct+2H0It
8kYG4G59V6FClA8RZpUgeeB1kRd19R4gzr2N2GsOZpfmW4Mw1u5+fWnMEGIBlqpFHD1qhyizsDj6
tC/ih+w5aTaii9W3vG5CCLQTQIqob+qEmXVh47VbYOZjGoBjq/mgW4WbheRDI3S3DoKdaNCA3W8t
/bKz6j12KVl5DOgpON17g8D5DrMTNxijMzzk7etYvlbjq2mCwiUHwqy60xBW6gHdNVvO5f/RfZlF
xNEHgVr39eYTIxRFz2vc3aR0efVYCNCsaMTtp9mdDWDW7ewctnd13G9479UThgwQBXkvcG5qXrzN
rKHvwwGLHhh+ZqEvpjHdrqgdLppDFW81Ma6a0YU4xcgB4EjrOBoRMYQfkqE6aNGjvdlXsqWTEuHN
cc30gnZIm5i1U1U2BgJ81bNzZpcnPcl2t8/tqjD0YKGlEHlnyhSvIYqhQpccbMeobTcedrWF4Rvk
S4lE3hxv3EFbspTVK/pK5PWSD4rznWzwnmu+TZrT4fXDaLU1TH0t+NEvFFNWsUxG3CmLsCjDbBh+
FrqxB9zXTXEWbi/huue9EKVcXmbck5BoBhIL7FtWF3eJcRdY2i6UhTvxbwhdewmsfOWXZb8R4a3a
IxVgrQbK0/itwXXWWM3sHE5XF5HbDm91XLlDuSFk1bPjdWagLA2CBxUTCRq4Qm87rKQeiYMIz43M
vKSHMw/2bf+MVKLT6lvciau7dyFzMaWL24QDXcaSATLt+pQZX3KKLmszOwiLf7i9eauCsHTAFHDU
wn96tgtBaHoTed9WuKLTcToUE/ggW6AwvYaEttN2xcabY3XDBHKif5efhXLcojasq3bAPZSGmaMb
L31cO2wrOfgzlvvtQgB4FTEtRUz7W2cakX3RlvCKA5ivWtF0p4CjHGuVupt1wmlY+lJLUjjzd9mk
hxJwil7fR1lynMEpPomt0tbqGtu4Gg20fmONlc2sW5J2nQ0rrbuHqsH4VVF0DqXzzpQIAm7v59oC
Gzr6a8CMCHooteU7tIKiCwyKKAiIU4jq+5d+88Qvjkpd30shikLUIG0Tjxa6/6PSq/NzBkzXbTXW
XOWlBCVyBL3JYLQRww4WqWt0P/T+wCLTaVHnNdD8d1vY2v4YmEcCUgrUHQGlvT5sk42XdojwDeCT
wq1yeS7H6dRED2aH03Bb1Or2LENxFz47E6+Ra1ElICQIAkTqJ0y6NehTGqCrtloAt4Qohyzj7ZRF
DItn2S953zhxvEuz9D9qolxmNNAHHpscvBb9WWi6y/J7rd46OauGdrFcys7kCZqByhrLRQZXHKst
utbFin6zYwDdwTBIEbdZig5zJ6Vlz+gs7Fn1jPSqW88JZjjR82iQQ1OU38PI3li2VcMGVptYeGoT
IOyuDQCcqVpi4i3qx3HlWwzQGvMUl6gcAumMJOdta1tdPgb4MGhm0OlkKYZQmjSomjZBcz5pcReD
ee8gpFm6t6WsmhsDUgLNoOh3Um26z8w80sYMfYMJyHWlUVGXsk7HfTzkh9uiVk8qE+hPx2WFbm0l
YzVq0rZqghZFe6D7kn6so3A/guuQy4fbgtZ1+keQWsdvgVjlQYE2t7Kznbofd/bwknRsY3821FHZ
Jqq2wZtprjLf4oEzZOJbLd5HKaYWsXB3W581SwBNGiB2yC+CUVN5oCRTkTaUhZkPVn4grhjtku/o
TNgyuDXrxgARUEGArwWtMYqYtDdp1zHcPsPU300artgyLF+jTv9Aa1TGs+DptlprCwiPbdpLqztQ
xoqBiyELw4qgi7aqazcXr9JA9kRr9vnweFvQai33UpLiKkD5Gc4DaTJfgmjHNaYIiGm7sR4bKtg+
JCJxy6luTzRMevRh2K8dC0K3M4kG7h3bl1rF3CYzwz84D5dfpXgTLZZxP444D6X5kYsfOgHV5znK
tpjw1k6DsBBMIMJGawZVlDeGPIsAToQfScoda8/LbTK0W5xCa94YFBXA6QLntWC4r10jS4UwRwMN
gUbRhCBf9cKu+MLb6twY2k52yEnH+saxWLMfnAl0C1gCUCiVrLO2wjZHHTFDI+VsOlH/HgOPwa+a
EnCrbrnJLVnGtXoAlLUC84yXKIN/yuNdl0ovREIgCGbvtrGunUKk+dCVD8COAYbsa0mInApwg1qZ
bxqjLy3dxwTNnd60B8wA3pdpsoGBWXsfAUsmgN3FxBGgAK/FUb2mZdYCBA2u3sxhHXtoxk9mZ99F
1p0JCBD+r7M9sg0PrRLu/SwEAcdmMPQ/cdCOKGcfE0bYqEVos7UiZJWi9jGIm3c5kgSZMA+mhYzt
nLtZIe9JNdyxOXDiofkD92OD0RWMwWgBslV3Z0wyngyOPlx7qs5Dxf/KpOmWSX/k1VZ1aNV6kLkG
aBlbC8jX9SLDJpNCt9DdkM8TuFeHBw5wYD9Z92Iz9l4RhWoM+IIw2YPhWa/sZ97mzLYxItAX+UdR
YxJWN3pVzoEXeLltp6uC8BJEIASKL3SxXetk6KWVVxw7WOn3lrDe59lbPp01xv/9o9Mi6DQAkYiu
I8+h3EpWIxKkxdBFQTVyCgFrzEhz+JOW6Sspyqmr6Bg1okfnRIm0leSPsRU6sviDkPVKiuJFzLmN
ymjpAuh77V0PTCbTngwNg32QUm5jL+BbYybWzhkkLrQ+9s87QNklkOwPVlwuHTycYZwOS107eWTW
x4nhRi93RV04Rdg7FfkrBM0cGnROt61k5fIBGzfCloVlBuddsfzCzrV+KAjOOR2dMnvDQ+NPyH+u
ZCjPzYahMmJ0kJHR0kFp3BTUsbKvf6AIavyYlsNx56j4jjhNUYssQWYjjTeeIxVRP0p7C2yxdqYM
AgITgdI4SuTKanVzRfqqSAt/jmlx6CZWOkFmvpakegdGrXrjplmVBh5XsByggghx1ye4k3S07ESg
NyScT7WBCTlV9YSZSF6eb00bXLnUMJpncbVAx6BDVDF8YoG0MaZh4Uf2Sx04c3aS7I4PR3OLO3rN
3gzcY8jWIIVkq60oFTHKkgVa7rOq2OVBe0Z++D7pzQ//3houxSjuYpTMRkE2KfxmxkvpwDPHHjb6
SZaTqTxv0Ub9SxNlyQzRjLllysIf+tTR+7cOwzL+RAmwlwkgZfACXOzjInvYNREpeAclWPURApj9
Qvq32yJWooulF/wfEYpB87EVc4xOWF9HA7ITT33t2O0MeMIuicGxPVJPq8o7LWMfb8tdi/iR80WP
kI7SioXU0LVuZY7gsOUWSDaK2jzYZVYeytjsnDjAOLOMCLheBFqHcTSsj4PJ0YJccjfJpbkTktMT
Sp/SJeUE0srbH7Z25tCKzYH6RqcjwObKd9VDNNjI2vpGNR0sm+MxMu8n876Yt/Jia+hvEGyDA28J
63BFL0flYntHvW/wIMBR0KV1mkS1n5OTWYkdH2xXtC5BKXWI7SOYftzwvd1a+4AP3lTE7wcxukb9
xOgWWGrNpEFMgMEBUB+ZVOXU1BPYI8K4KPy8sipH1DR0Ixr07u0lXnMBl1KUg1MPg1H0JmxuHJsa
/rO2XCMCE6QIpnJ/W9Tq9Yr79f9Iu7LduJVd+0UCNA+vVZJ6bk9tx/aL4MSx5nnW198ln3N3uquF
LuwcZD8EyEZTZLFIFodFDBEqgMVFpuZSxkqey6E0ZTmSQV9GKdEebWZFOBcpexEIRrtCWg/ybszQ
6G0ZG70c/sKEozfPnCHPMGjyPZJ/dsaFn0Z6mlU5SpdbrJVI3+uiIJw7vCRPvOsMPEUUCyElc2pj
j5UhTVvi1GrBDpPVVHl2MHCeITwizKFpQwroCAOM5GhvQ/xlAhdb5oHrLRJBsgGuCLCdeINcnpYl
erWSGAOIBA/ICdCyOmRd/xdHgn4YNIGi2gR5MZbH6tMpR8hTYCC/zomRHIou+i1rmEhM/iZcQIfU
vG0VvQEoGFzyU0eAoWuasthHVb2KMuHnKP+S0nCHy3tbzxfcNzyEquBaoYpmsPttx0gMgbvU5EDJ
aTxiFYIrNP7WNPC0iHpbS3/cJrdwThfkZjtyptVG46XIg9X53mxH4uUfUow6U17+ezuBidzvQpOJ
wO57590ZFW9ISzHwROg1eoKzpl7561CLOV58aVZTNzHDOJ+PionJmddzKmIAjR6KYl8L5qq31PvA
fy7a8ADAeXeqCzvPP9BKS7OoIrWXrtA8QuOk4dyuBcOLchpQZL9RRNHgcfkRGKTIkrCti72ZF5u8
qrYZD3p3QUMw4IecOFo7Z2vEXC1ULdqkjZJiX81g/d4xUFc+dogpaUC8gefaFthBshphBepkimGy
AyCG7memkYwFUiOSMtnQ/vJdCwI82W7r4RJTqKpjfRHms9B0xhilXm29aRpl2AurSdy0lLON3meR
22WqRLwCc37mFKgctVxgDrE4KkzgDsDZ7JKFFHW/vgNI215LCieeWqwkjeS/GH2H6FQc1TweCdCe
S4VoJFMTrMEqMIFhmaumEOJtGFjCVs2HmnMDFoQ4n5Iuz8M0BtZHXJLKKrFFUhf1khD/gztonbJV
yzYk+qQrbpaFFjHyRuEkDZaECILIohkoDgFP9ZLo0FitkHpZuU+86kMI5hZ1y1vd1o4FK4UpQQy8
I1OHyUcWDjH0NLEaArXcB/XBBPRGZRVAruAhYS1RQY7M/G6wRH8Wc3VjzYuy3IiqvQL0XGN6Rkm4
Epx/z8k5DebyRv4g10oUV/skV+iqxPyfFHPaMJYOBJ0DeNUiWrJ0NgPWdKNcm31YwStGa3OqfqfR
3wxxA3oKM2Fok8OZsI9MpZG0qlWKCpPM+so3sHKv9J229da3pTXrzuXDDEyIc5ZbxdMCgMaXupXl
VT0ByROPdN3fV+q7LlWkShssEOYBbvIosbc0KhJ49yDH6MWTEb2lHmbs9LtYeLvN0PXZgCHYARwN
HmtXZ1NHht6MSgfv/lMaScN7kvN+nkkzFMB18ltERHtsZ7M1w85i3f7fGGBCLrXUQz9owUDv1LTd
3P7x6wuIpwrw7hFewekALffyuNGwMDaFjs+vvJVhYR1282IGHBu5SAO5WmQNFCgW28UtlhkSw76B
E6gezPAF0MWi/HybjaVTgA35hwTjyzS5qv1y0KG15kiy7gUAdLcJXCsrUKhgcOdrAYfJXgs1E4Mx
wcLafVwPFQl0sd1XUoGqfFFEdBD6ieMnv0OKy3t4SZC5HcXQYywJUDT7qqPmuCoKu37uSqfyXWEb
Zgep4ygCj0FGj/0sUwcR9cq9nnsKNdXS2wyp8JaJaExVqrTiWMxZaa/ZAwoEZrgNhPjzgZ4Fjqkn
BFmrTGBPUHo7azBqpSIOkPrKkbvPUmnsQcoF4o09x75dO+xZrvNiLoRXGsbHLwl33hQaWDaDnE23
Sgs3zXwbOwG8OqBh/HBbZ5Z4nOsHM6Y6BqhYtHOMjkVtJiPAsoxqnwL9zsDmJexuMFNX9iKSmwbR
eUHd9UXAdCEgheAl4LR1g5FrHucKghyx3ivK72aG2Oa0Ui+I7+L3GfFlcmT0sYLf74cQiYejRyL/
Lg9JbHKEt6CPcHQQGyIQ9IqxUBAzRKelTHKNoP6zT47QBQ0zeSk3kbTI0EwG4NqIc9jdJ2laYyf9
4NX7QNfWhQFclFMr5HQqu22iceqCs3AYpYcLByEECngrsZ0O2NebTrIYNvCtIckBa6MGeE283da6
RSLYQzLnPWesFyakqnJh8k0VRHzIK49eutZN6pfbNBY02zTPaDAhlSABU6r1kwaAMiI1k2iLfaN0
wJqIMRSdoPit9DEZGjnkvFgWlds0EPIi1sLNYpSv6lRPH8e0AfrIY5Y99D0vZ7yodHjNYsk9qhTA
rbw0DomZY5gur5u9WN4ng4cczWDDIg2y7NwW4AInqA9jwRYgWpHDveIkK0Vl7Id2HwLCwVH6stvU
TWjxnMjsvRmFQ18N3qyofKMDivVajdAEntWq7X7MJppYyUsemIdOktw+boie9o9jmz6qU7bVwpUe
byXzRe/eb3N6rSpou0J7z4xGi3cfa+jhH1HZ1JUO2Cle5gToLHAjQUZWWO49Uslx4gQ+SvNYbbLR
hjHd3KZ+faCgjsShhqUWyCWxt7spEBY2pdntMXBHO2siCTbumZjt1TlPsmszckmIsbtSZ2ae7xnd
Po7WWeL2hdtjtMc/CDrvTOf7e3mmqLTDcaHaCKxiBOmXOlqHXmXWeoe91H1UxgDxTsqtqGSmkwE4
l4YTECwtK/Uous8rUgy+5Apina9uy/XayOAjME2DBy9eI6gbXn5EKKV61ECD9+nk2YMPBAks5BUq
lXPhF44PeVl09+CioGjIJqAHz8tGrQcco9k70X3tz6OS+6DIOGSudXR+uwMAFFsj8PjR5s84C0Zq
1E4SI66AKqiV4q5Q2ukQCJh1UrrkozGAyq2PYr1Wk/EJjegKJyD5zsRdHihgWjGdA4g5NIVj7d4l
9WLqJnPIDWmvAbhoVLEMa8IG4kPy2Ud2vLOmx1GOiIj1kK2rxdvmET+0Gr1T95WpT7G3EfWQ8jDY
ruVuzmPMQFnEXCIy/7PAzgSSypmGieJA3odDXThjJVbGg5VFXUm1QMsxmFegosMxiQuDSgDXA5DP
PDCBo2bLw10rJ12TTFhnZHREwehZarUYbzQJQE2JWlp2nhjOOEVOpf97c4yiLXaGYPQQiTBM6V3y
60tRkteJJO2VVMAWvFjX9nXYlKfbl2ZBqmgGQicXng/ANmVzRWVSdeh/9yHVLJQ2YqdXAskxjkda
BQ/tHlAEHKN0fUvhwxAPoolsxh5l82BlNA2mUYzyHtOVMiD7dGBp/UwqrUoP0ZCHJkeTF94sqH5Z
33hhqPBflf/yCnWNKK+lvajbaUlVA9vcSKHYgM/HgjfrmGIMZ/jXFv6SJhOKiJGnVb2ZS99gGEV/
39q5hrXhPKjpBRMBlFhoJXrxgFJiMg/MuMSjApk+aW+kalfRSWuklCZ5leHdksRlTtGvi70hZtFM
th9MGEFLBUA33lagayeD2Fv6zukDA+IK1xmLy0xhEDp8hCDJK+SYTHsA5pkrRZWx0abQ7Vs15FzL
JZpzDA5QNuRPUI27vBoAyp8GwOtJ+2E096MeHEZUAEmuWBVWfYh734o4TC5JGt0aKPgZaJ8DxN0l
wURQarUBluE+y/pfQYBhRaBNyilaLAE7uc6imAp5Tcq44mjvwmWBF8D1h3dFGwzbrytVgVyFA2we
ugQFxxz65iOXU4s2Ud2NHCe+YAkA4AEnjvkf9Miy6OhWmiLQxDYDYDz5j02HMfa4dFodWESITW7r
zHWkCa+G+inSLpgjuALNjXuhqDoAwmETgBp8lHrVubJQiRzhLVNBohhNnbj3bF+er4X5JMEC7dFX
HZJ0LNp1XPS8TvGlI8LrHT8EtUBhcBbrmVvq+ybvEyNS9maSTntRab/UwG9oiU5KjlVZpjSPCqP1
FqUR1ifjpsVRnCh7L9F+Dr32NGrNUei837cPZ5EMvD6CD4TowEy7ZAjlaJRPk1RBo40MAJ/Bt1Zz
tmRdlOLEScLNLoyJMsCLDveKMByOfX4qnMluCkRNqH1dBiZ8skVjFFXKH2Ul0rS7VwRhhf/+NWuo
yMFqSJhawjJdhrXSMOSgRSP+vh3esikhFobbZB5szLXaoQoNjUMHJnKXhskQEdUk1AAQrgNEWcWI
ejG+RfoQcwzSIhF0XKHQMq8yMBmDlIcV9HnwQUStW9Euyxxlv94szPBvCAEcHJdcQzWJHYmx2rjI
M63UZ3DNkspZirjHn7Lm89+eDI4f9VKsOoFZx9zfpSaIU6VGWPKpYyFqnYpObRldue5GhECkzUop
evz35KB3ImpxqIzgYX1Jrm28CphugbFPjKolndE9qYG51v89VAf6bv4TfMzTogpDZmrLHiDUobEP
hHI/UwEI279O31jo9URmDdt60JTAwvtYSarnieAb+64Jn/Fo8VDlMz7LxORN4l27h5kQUGu/k5Qw
2pciUyOUfz0zNlBUfK9j4ZRjxVGquqHESxAsEdJQz4ZnULFtit2QWvWt6BUBIJz13KJ+D4ReH2Pt
IpCdecdzm9LVqs8eLZpiK+J4AJvlyM27YhZ23wIN0+T51uuABYHKPzxhAeSl8IKmtPAgBSXFO0h5
dQQWUyHUR8kv8UjlZEOXuYJRwKo9wHWzb/G+xDWeSshPjsKAZr4cuFUR3udpnu0ys+Zc3AVDhOYy
9FmgyxRtPixnLYDb21TsETUEqMwTQfJfDHQ6/7p9XxepzJUyxJmIwNip6zCWNS+TSxnIRFFRkkyR
q5WE4O/3bTKzab70R4CJ/27bhvgQWzI6XhZS4xcpAOIbI0nsyMLYTiKICi11aXBuk1rkCCMggF7B
HAh67S81Ig9lKevrBpGdGnYUGMEd8D8Mk1PRWKYyL3+GeYABn//9zMECdncyzaAD1EWUWo+YsIxc
PQtM+zYvV9oN5F4YbQywGSISiGyHpdADiM8H6NG+TX1SeeojFsbZtQJ3bqhPSl5zRMc2+KCKgIAB
zEB8c8aXdRZa3Zq5FXn9aScCjYi0x8BFNO6itdGpHobV123uvveYnmnFFTnGigNLSsz0EuR6mhN9
IAc9IWlFK0eh0ou4d+S3Y0WF+4rQvUGd59D96knqxvaWh8LKrvu5+hImXsqx0VfrR0BcH0zDfjd/
xw+Wi4zwo1Hs6PNX8zHuaUB4jeRcqowSWUnbdGkBqrb/6KakXmtkpLKDV1D3RZSI4hWfrYIDL9/D
wiBecTvf1jPl7RKtKkUTch+flYA0wkbfCnNRhw7YPC++5vdDScO35qX5KkefonoRutZpUn9ER8xc
ZIDm+nlbEZhH4NX3MNYBLimI6xpySImSkZXoYhMHLSjHfH9P8dxSNybMry1Rr7sKZDo7nmi2EQGO
TPzjS0Q+Ooc8tUS7AwyV/yjTYTMRgxrv4So9yK9H0V29WR/ojFh5hNLuS3R7+/gmugp90Dg3ns2L
/VcWgHqEkcRGTXaYzEvSOAYU5nCKSWcHNKC+09Fy41MeVj6XEqN9odeneTGC0uTawymyExLfNzR2
OWJn80RXHDHaZqiDGXrAFDu1FXnvNsVOJXVItrG95qVtuCwxioRtqG2hJWBJP8TH9tgepqO1KmqS
rHh3l0Vxu+KKUaZK11OgP4KrwhY0xzNE0mH2aJA3kkGyr6chWGclKbZpStFBUJpAJd8An6ja+pFr
5O7t+8Mmlf/7MRhZnT05Kt3Mx1gZdn3LBjS72B9MbPQmALwKSHy4N0aSu1/mmk5OvYl21aFf8xR2
No3Xt+oP7fkpemZM9AnvPrWEIIbKNj+GdlfdVyrakWnj6Kf8QXObwFXl7q/IzqNgaHYVESExLA8A
+erq2OxPcbyufUCIPkWfqY95y9TJupSIGMb8pSQUb+4NbwSbeVz/R9pnpBmOzSILK3Wc3ZZ1FFpg
Y5NhtC1tNxa2xAOuW6aFxSQG+htFLAS/lK7mIxIdOpxs47bbycZqnXKT2p+39YdHhAmiVctrhrEC
Q/LWW1m7hLxJLynvwJhK1n+l9ocTxtnHbZ7r02x95f4E3zbEtLlTx1WTbsdxb+TPJq85Yr7sV4qJ
4vH/i47x6ZNVYTFfC65Kp/hUthJVeOESjyX18nCayZKrpAEFjdjlI9Y8w4YOzrDi5SRYGKEr2TEm
1CuQJU0UEDJXmkxCZ8ywUZm+yWQbtXb7oyemY9LbOsFOHf2XpgUPJGHpApYLXjKX4tEVZx5o9tRo
qfeFzWzBW+zcJx9ZsUvtxHm6TXC+sNfH9Ycec1xjIMZeF4Beo33qRv9cvKOK3T1bTckhtBzlYp7u
/zljji1AS0CcdcFwev3pDySn96r9lqz7db0eOCUZHk/MuVlZGAVmZCHA036EOfEePVpzHiLLPu+M
G9bniWquNnPAIH7Fz0FDMgIkx51vCxwjsezHzwgxFjeNMFY5jRBb+PUKI+tusGRutGWy+ytLgdIS
qvWz4rGzfKMo5l6G5VdwrfHRX98Z9Ed6isj6tr4tO80zMgw/neKrDTA0EJdoGFqmWuKiQLfSTz/i
z8ZJX7HLQt/v+5B0K2H7BWSucudxUkyLce/ZFzCOpJsq2a80fEGE5w8dSO1KK5N8+DyBzvb76mqd
0WGexFHkF41ZFrNAAxq53r1pq5u35KFfSxyF53DEuisJeXTFq0Epd/xjQB+9dbzB3BrHNvGoMP5q
ypMoaitQUZ6Ck04ju7RFd/r6uq0gyxbwj9hYC4iBmghrtEDG+63cIV26Sn9bjml7rvCQOMVh2xMO
wdnE3TgnFpMuB7K3r6cg2LkGucsPzdpfKdvjSKzNTtrcJsaTIWMExVjspdYHLayn/QigfJqzV195
9SgeFcYAaiGq1YAvGk7yQWiJRXwiPhkHk+QcFZ9/h5UcxkJNZLrRDomlEvj3syC0l5paUcd4PDVi
pzix6FV2F4b5qit6Hm7W4qsdtRqkHZEJRIpp5vmMVqZNXSIG6XAyiL/r7os7q7AjWyXGSnJyjyBP
7AZkZ3o0eP+rB84ZbWWOSM5ooyaCJqEEtN3kLrjzgvvOaX+Ilm06Xu7cVpBF9T+nxdwyTR+xFKcA
rTbfqdM71nEloT22m8QxPTsW7/UahfdNbcu4ferqfyTORB+NZ2SJVScwJF/eYWfrtF/5eJLP8VWz
AgjWA4feUrB4ziwbfYhR0qkp6FVocHJeQ0eg4kZ7yHYJequcN59+5R7NOS5oMa6b21+AZwTMA7yh
Lo+zNL0Qg2azC3o8uABsV+mjTpC1lO2npy+Bc0cWI4VzakykECppDOwdUEvs8VjEFFOCSGhsp5EX
kizZsXNCjGetcj+KdT0bTjYm2tDiTWSyXn95jn7kPcPZoeXvKPWcFHPxCzGqpLAGT6+AfiDxUf1Q
UtskncNTEB5PzK2P9TCAlQGhnQtA6R/GLtw072vboy3hhd5LRvOMJ5W55JnvS2MxgpT/gjJGvRds
mys3Hg3mco91kIQJeu1OLz193cXHd8V2AxuFLictCH1CMuzl9g37zh1fmeg/uq4yNxptynrSdjAn
u7uaxs7PnyXZHNx3JXBOqh2NTrun4u7Jt9d0ONB1htTa5jOitz+Cd+HYDlEP0KqKJ82neCjc2Kf+
BgOddL323c91l/GozUK8xTLjY6uyUqp2AssjfTVIcqfbOpFoRAybB4fNO07GkGhe0ohlCUoxscOj
avsbk3wqnPjkG0Tlih/gigO9HS5WFRkDYvZFgsXCEu61+tHcJbLTvnU/dSLv8QB9VIjurO2n+u6J
9jskn9yR9ARy5aUTF1392UcwxqUZKik3AnzEi32o9sG95LrtR0m6zeMPJNt8Hs7D4msRpbF/mGYs
TJx3VW1EoFfYL6+dXdLy15HSBx5f889cyRYVeiAwAAcOKMiXriAdx1opUg2yRWDh9JuAUIPnABZF
d0aDEV0RAyUsx7rSk51+pIbTrS1Ht/fS87YluwNAQnjP38WMO+DY/mGKkZ3VWBWwckBQfH/HGplt
7Ls+eXx8nEhJ/W26utucArv07WJbPn2tH/KfD+vAoc/UGb46x6fPa/r0ANvHU+SZz1uyZmx5EpvY
EQmYrNOrvhp244ZjZGZLduPnv/3wWZCWYEurkRb4eQBy+yv1abtdPzw8cA5z8cb/Ee33a/2MSNoZ
UlmZIPLde2lXCSoTlOP0ZvvEMoKiIxoTsKsNtU5GTmIlKS2SdlD94FGJJbuIZY6JnLX6igJAqNCH
jZKjzmq9n8eFGgEv45T1kVu0PdXKnvr6Oqt4Hu87NL4iBSg5YCvL2FDAQuR1ctnWOop8p8NPRV8B
NLMh6e/HlAau5aj3qxV1nsQfX9V7/ItWq8j56nc9mTrnk3Nu381kt76D8bxtE3Rt2Q3j6dU+YFkp
ucO4OkGTJT4FexrIilbkCevu8ecrOfRk6Jwd51ila6nrCiCfDfS7Ae0OO9xxKme600d6gOGapj8J
AcG+gW23Tx01IsUu3DeOhfC6Wcnr8S/imkuys7qdkfXQjTj1GshqxMMBmJu9SRKH5wq/S++XAgYZ
3AwYbSTp0cJ1SUbq60rx2rE/6StNJN7WzxyLZE+TjXKARayf0X0Z2yot9pllYyKv+fB/Zaiu1+g6
P3Qv0cCLhq/NweX3MLdIaCbArk8RnjKxpXV2bmAdjNRq/VchFgB5qyWguJBKKsuTNXbmUewVIyRi
32KgylNzIyO9mmY8E/hdErqWEuZzUTBCfzo7YJ4akeyh4wC5eJIDUIDE20okylG+q+3jV0afu8NT
dMh/3DaN105uFsUfooziiYrS6Z4hoQawKp9r17t7Qii0vk3j2jACFxYNVRgYVOfnARM9WzL2OOml
MWvZ6MROYGsrnyKFwrnHC+nQSzrMPU7SJqzLAnSw8s0NXya3+iEd001BGspLDH3PCrCHdc4TEztL
8WhEVg5a/TbbnzBAdVeiY8Kwg9hRNq8wH9udTzSS0HZn0sbWtzKG85z8cbPyAzv6mBzVnagT7i0n
8mzjod+PRLMNOyLdwebmKK69xqVgmENuhxizM9BvaFayKZ3DybQNR97oZFusPMo5hiWNOpcMY1Mq
cdISIIfNp/2KG374yCiXoaULfE6DCa69qJ0sQYX053Oex/J9p1kbVDgI24L++9zmpfSYOLA0xjIA
zuV/7uVds/Ncx7d5K5KWHMA5R0wg6JV6jtZNECkP0gqdBbwuhuU7iAYi4Nahe4ntnUx8bIUeU9T6
oKn+b+fjq969/M0t/0OBEVNbD8IYYxIfSbjRiexibZLU9m2umZyV9frm/aHDSGpsdaMS5lYZzb17
TehrTlzzrXtJXW5wPtuLW5QYt+V7gVYNyTdHd+EqslOaETyD+zX3Ebx8Qf/wxDikWhQjxSpBCbvX
TiVBMN4T9UknaLmJVr5d7ni4LwuZp1mp/6HIpi3HMi20yIIUX+qHkv6e6DG98216WyUWckGXVBiL
HAVq3Fk6KmEamdyfgS2+eXuJom3MsGOOI+NyxFjkEM1+ojefVkpax0VF9vMo2O367ySH1zYc9Iw4
yiJ26KLg15r83Wby7j/APxfEJALSr4TXFbaQG4H4zkgxprTPBqOMpW9SyFa4OQ1+eHbkCkd/Q7NV
WtOS46mXXegZRcaw1rov+0WGimK0Geyf8WHYTmiz890HXvC/aI/OCDHWwvDqrFZjZHdL53UwCInt
hCqb2+o3W4Kr+3tGg7UUQleFkRUPqJe/JrhNyZYjLh4TjIHQsCPZ8ApkVXfJBsu/SbxBZch0bnOh
zL9yiw3GOACDTGuFFqLKXit3pO/B0wGz1IgSDBtdNVuRSpuUVDb2KaBHTv5U3wyKNaau6TpvOnYJ
ubU93sebrbYBBPPtT+N8GfusbiU9yMsS2nJQtxMe1qMd4hhv0/h+0t5gn31WW0PTNqkKIi9dRg7v
Hk0Qs2h2ZR/Me0+1ByqSwDluH4nlhCvxZGe/sbaJE9N8tyjf+gjGuFRG6CWx9W3ILCIeDqibxaRY
v6Wb4zPNN6GrP/Ii8wXlQtZJmnEQ5qZmi1EuKxnqSPTb/vQ6uUhwN+vazp/+feoOJRYEFnNXs4TZ
RoaveQNu6M1tLNi45SKd4HY7+AIqrAALQL48+nn7MJfkCJTAuYVaxZ4jICNA188enGWcqcKIdWIn
7BOnKZ6cBzdHVyUCUj8kowvgaztbmY/AuxIfb5NWF7z5BWmGVUHOQi1TYUzLr84WkO7CVHtkz1/w
GhwK+x0NtkQ4lgR/CWyD9q58rz4N9CN+Go7qjtJ8v7U2s+b5brIy7jnR00INEydxJhkmRpe1rtLS
udyFPm8q4ekQ42s0p49I6z6ZR+foHbUNr+S80HExU9XQeYNgAKP+jIfBmHlVZiEsmAKKrTPXa9zE
9rF9jBoUBdTtU0+yrWBrpMCLjacN868zt+qCOuNttBQP7cpDjlxcyauD7EhrRPHOsC2I8Z6t8h85
T93nM2YJ6tjlBUAydOld4XfHXoEJcBXsaqTaSHa7wruBaFthO/s43rvhe4TiihrQGYCPj8krcHqp
7FXSDl1soLSBJ5exc13FlbcGie6qHUBoj8KqcJz1A9rJiUPfsJj0mRsqz/K78QEsXDmCyjxo5tpK
g7enhMghXWGZ8SHvyXGLXlilJ6j/cez1UsynAvPdAqIDxowwznvJ9TDpaVAoJtKg8nZ0FNdFYu94
j6qm/+v2jV4ofmAx4Rkl5kYDOEiMQmBJneL1gF6QBC5wckuSUgXrYKh/ytA+PdH70HGE94j6NkaY
UxLRtXGS7rm1+TmJwcr6/GOY+6uN4pipXTWeLG8YtlmhxO9qXKqkKLtgh+3DIfXMFMMbYlqtVICy
rL0eLe8cifA+grnOGD4NO7+E7JWnyNokGW06gt3KndtqdgII7jfAEpukTWiBblIAMcauZtoijBoP
zWzR0J+Lg7naLTC6sdjQQOWktIW9OtBcWRn5Wo0p9hwP20MU0HE8Gv4mbHbY4rcS6fjTUOzb8lhK
qV1oCBNlVo2MxVyShQAFmmjrNoYK9p4NmVB9hwjigVdeWfLZ51wzEWeWYrTTzMB1Y+eIiH68dauR
8JhaiLoumGICgwz5WrwKwJQiY/EnkaWC9J0TbmqDjpjWSWOiTveS9aO1PqPO1cPHsDmJmJttHlKt
5Uw1L+TOL+8gY+PieSg4yebbPuXkkJKppe/hMdocsk20qT59x3AKww43xqq1M/KmrWTbMVNq8/Ib
C93/+BDsvpEUjGfNkDWXZkfwGtHTQn88vQyv7+bhHbVz6yNZHW2CaHiOiEOblwRcVq8zmsydL7zI
6MQINMUHDYZFejqEa9VRUnIf2M26x/FgWsqjvHTBUkh8wStzzYV+/K9aGxpK1/VasNbGk5G9N9ZK
HWwsDEfnZIcmSTeNaZnszMxVTGA9PSvSFqjCSvoDA0RB7Vo9EaedUdSkbA5NvCkq6j/dvoELTzCA
FM3z4XC3JmDeL0+lFnVUVspwPCmuSgVqbY+8LA2PAnMbpqLuhKEPxlO6jmyLJkdqfd7mYTYSV5b9
jAdGxSWxHS2xmnkgyk86rHhqtGg0/vl9dB1dysjDtlm5GcGBPUFIxV1D3qj38zYP34EcwwTgLubS
IfALgK7B2OOkRG0GD4HxVG/llepooPQY7y36W0d7XPfADT0WjuWCHmN5J7UBCp8AetbTnI1HdrxG
V6i+8Ve9a60MTJSJaIc43eZywTICaxYzuujVQaHh+76evS5iSRm1akQhr5UfMgFDRtZRrSTSNuvM
R369eL9NbuHgLsgxqlfWfm41EcgpuIaCaRA1e2hNk0ZSTqz0B5DfaBHy3gkLIewFUUYbfanUgTiG
OAPg7i/tqj2keBr+At7kc4iew9sMznaEVZozeX7b3DN5jkKTWkmMAm3gV6c4D+xqDNb/GwkmWlTb
UR7lBCTSNqRZ9TNKNn9BAHAbMyAS8p0sjrZlYGFgO+uEGSMQNXJS//tO1xkT5Q8FxguYQmiEoTeO
Jx/N6oHdc67uQhB/8fOMsU8Us1UGBQyE8rsgx7YFRwsIVXJbTEv39ZwJxj7UQlv4xnwOGlYPmi1Q
fzyMA2UWtZJfGg+0fWHM+FJkjHVIpMQIp1QaT7vd4bvkjpz3Kfl1yinZkF/7ztnHe/KGkU6aOdsn
7NGg2eETOWMO0zzRMt7JE+Qhj0J8hjh1pFZ+9Z1GmpL3Dly8RWf6wZiJOtEwUp2I4wnd0qgI+r07
6DJHSb7hNa6u6hkRxixEVtiOOd4gaKM7uP1jSPCKJ9ZxINHT46OCPc90n5EteQqxn+ju6ct8/NpZ
p8/duLqtRktZ+DNtBWTXpTMzhCbuhhTaKj4E98MmfezupHX66SNJnnNOb1Gu2O06975piPvkS1Jq
mLZAg8fpeVVGTOUzaLmB1qJDOSPBXG0tMkM9HUECIRWK8oe7aXPK3NOwQ+5vtXL2vV2gk7bBE/7J
2nx9cmz9onqeUWdufhD3pRYZOFOretXKH1nmpDXnvBYZhPSQAETHDzAnLmU4jJE2hF04nWR5/AUQ
Dbu1BuoP9Wdbio0jxRHWhvQ8hJBFvrC0RMfKH+ygMJhrp5Zo9JrCeDpV5cGLj1VzLwm85TU8Ggxj
bd5IISAFp1Nk/szbjljyVvB52PM8IsylU63ES0QrgukCSLiibLpCckqE/5w7tajo2K8COKd51xir
6JNRTK005dN3FW1nrgQiEYF6bkaEVW6PhFebWUpczQDJAPiawTgRTV1qBRITo2EOxYSI99AhjWMR
ALie5Jefd/mDS0p7b1TkrXpM7ysybp4yun64zfFSZufiAxj/oGpDU6ZJPZ12r0NIfERy96Nz+Fm4
bkofQ1raTmsXJc0+nK1sV6hQhXcoyvJyOt9F8SujeiYHRlFrdfJ1pS6n08vLodi/1+TnmFOfrAS6
wlCff3+UMYoW20CjIhGeBZzrv3g3z6gzKmxOgjC0YjWduuJB9Z+wKGsvFs+eBvyeDkGtx1t4zD12
Rp0H0fJGoPVC6mjdGJ33O8v9WR8Gsvkd0pUTIQdd0fzp6UGwH3ieWFm8Sn+YZReRaG3cprI10969
mqv36PNdfZ4QT23Iyumc3n7bfjxt+/XXViT0rXOc54jwiiGL1wzgmRJgoRUgLTLmtlF7P0gB1Hzq
5N+58Fj9H2lf1ty2rnT7i1TFeXgFB1GiJFuWB9kvrCS2Kc6kOIn89XdBZ5+YRhjhu/skladUsdVA
d6PH1crjbanmfZ/RqjDqlUXZQY3j7C0xnrQFJ7s9933A0mCDO43zAB77XWvPsVSLl0YbH3WtOMqn
89EsLtZtFuZuCUDSJt0Sj6LUH22KSTeO1UkYH4MqIuawatXnYrBv05jLqtDlir+JUD4nUceomHUc
qyO0TnU1S0gxiHk+PL5kkh3eN07vohuzzYj+yCFL3QVW2QHUiLcQaHlAo2WUXdDjTCpavPV9fFnE
FvYoDugrCs2mIEqPdQxYKwrsZyuTYYx9bTDNbRSLekoAZ6QEpI3K1K1SoDByrL8087uwFQ2I9cAC
xh5k9ndFWn/O0UIhwvovJOuEFi632mbbxxGVhMUTSq4xWZtrQKGsPa/1nr3//2NBE7AMsApgnwgA
pfp+G7IRZVkYj+KjfdwqVrSubLjkn3uOrZtrPJiSYaH5KyM5G+oILisnI+jpyd7OTvjK77ShP5e5
5W90GCUJ1PQ0ZD3oLDz4c9u7nxdAClnj0oFxI4e9x3tD5hIvaBVBGwd90IAAybiQchhWQwf02ke0
jRbkdLdawphuBNdZc3Tzz+dCh3RgBhJ94SbwNxi1MVJNqqIWA5e2W5PhdWONPHdnxrn/ToKxYIEx
5Jf+nMK5X48+cTbr3YG3fG1GEL7TYJ7+sIrGRaXTuVFUhitrRTaD7XCOaqZG9Z0Io+tSBPfi1IAR
f0GU1x1aCCwbLS68V417YMwTvhDQpAgvFEnprYw5lfyBN5nPu3RGO4OhKcr2TC+93g/Hg/bAMcac
718ZnNhi86LB4hf4fo1QMidWszxw7AuV/+8K+e0q2PaOSO7QEdCBgkroJHxknTzPe+fdBI8PamQn
fITlmFWdiotIfpg/gFrGm/2YadX6zgZlc0LgFC+yZkRXMOJv1SuWOKo1pGogex66z0wz/XdKjJ6r
cYF8tAJK49322FrH49vJ8u4K6+fd1i0xzHPBtOUdvDSOT87TGTaDLJQhli9S5RePb/cdIRvHickT
RzP/NM+UOUxBmEjhwloyCpPHWoP9CgVGQtCMAcOMAIOMr7dFbgZs7TsRRmlGs5IWtZhfLeXTwx2A
ti7ew0O4bRv7YbNPRtssSYjWVWR1OZQ57ClMduTU0Tl4CZRPm/YBPS+buiInN1o2noEjFR825MUp
VhjPfUKfqf76GY6YtTIsmasPM+Wyb2dw7ZaZyGu5AI7TWcBBPxtPz1u8GO6K3OvW5uy8ODuLJ7R/
MYS/75UdNa2N2gxPOchVFaobKMX5e/tfmaovEowGXhQNk200MW5XJCmsF8Dixbx9GDNl7e/Hxiif
2WCVRN/gAre267of0v3yfuPQMa/Yes44/jz3jpjn9qKfdH0ocWjI6Y3unSvikpZnL/c2qNmU6ADl
Ywz96eB/5495fTshPfclaiiPo9+6lvl4W/7/YiW/7oh5d9Uul/Mhq8HRMdltMXX8iNIsOXnlzub2
odCf+ufD8kWLMSUJeutiqcDp2dsL0CCw9gtdXcQ5ROgwM23eAzBTCP9+coxRKWKlDgQFkuH7GbG3
uK7V6r6zlh+N9wDvco0BYxMDHryH7S/+0m822eEaLEbBLNICbGahpb6tIYoGGsVqjyOM8w/oFxnG
by4Am61iTBuZ0IIIK+3O9npeY4NEv3HjxtiFuEM2RGcTC40fffvo1ha6WZFr0WziONahXGJikxd0
8JhiTIY6nPpkqKrhUXtSEWW6q8z6UOwlhuBeMfLKO0LuVTHGQ9bERi9UiEheAJgs3NbHNabr93vO
Vc20En4TRZWxG+JJLsOQ0oEYwmagDoDO2KVjOZ65MvGgcI6R956qjNGI9Wo0hbTEW5KhQff6ljx+
kF/IjyOmsrzQtt85duTPPqfvHDJ2xDwpSqSFoJiQrd1vaxdvyp3NIcJ5rNllZHGAVGxbQjqONnrY
HskKOX+M9GJ22Dccnh7PJN++s8TYjzqppV40wJIPcm+gd3IfyEfgLp0c/YHQ68/9+7vAgbuaNfeS
ZKgiMr1A62EkEkNUNfx7SIrekuIIKNXbRziv0ZPvM5JY9kMeqB00WibPmGB4e7tbIaGnEDQDGThK
z+OI4gw0AE5xQpARxQtQA0Qk/qFiKH8BpYwG9pZrON3rbc7owfxhqiZ0GAFMgRCudi0OTvUUu3+5
/fGZDNh3Lpinq9TOmb5Ir8cGAE+MQm/EtWytPfO+J1xXcNYITlhhBK/Vh1rrFhj4DlOkDVAk5CUm
5u3RFwW2jSDE3h7smAY7JXJIdzDrH9QcIXkASBGe7Zu1DBNazDvVyQOaILG17NF047vSQ7XzRPbv
POeCozfXnN3Ee27S/16/fIiW6vL29c9UP75d/9XeTr4e1kLXptRZfvb/09H6lnjuY7VcLZGI34xW
bzu7XWZnrocoj8faTL7xO3XGJujG0GD9D07QR9PyuEpFTKGfMfzuNpZV/wRcovfuHZ4EnzsSRHXm
hk6xI4pZem7SlgZHcWulwWtDzsNdJ7knmWP0OAJ/tcST4zXzRZ6EwFl+1O+MlYqsKUcG5/32iQwy
xuEsjoukKegJ2qhlwMu9Q2zVoJDR29Z68Hh1C565uMrThKFzB3RqQFTTlJmOcQb3P0bWdlRrbf+r
LMCEN8ZaqGau6LlB4SEwJaBb4vLVWu/3Dce8zseLX2TY8cSzquhlQo8wuhABotADsRAz8JLOich5
DwaLr9+b1T9C59uCo3rB+q46PnVvGGPivvCz7u2EJyYHdYnEQswqKhYZea5Is3HVDbwKHelgADw5
yXHNDbvpJ2+oFJt8HgCFC/hQ3BayUsSuycU/H8ytgGYX3ijYfGQ84Y4xG3UltZkaQ6sQ/dDg5wNo
ZnBeHMv79Pc8RIH5JNiEGuNYCEY8Yk0GGLNRK9i6mYPWodVDbS9f1856IAcP4Yn/zrHLNBz48zTp
7mpVoasSmbdF6i5aU4qIXmXgJt6Vh8cV4hNpRRxcn4ex4M/P/prx45Cdf2y+yDJyU57kRWlIV7LH
451mFdhC4MCpt9QddeqtT/TxlugzFzyUZXhFxZn6BX0OvqgzMVKEJv5UOjcoi1nNJn58267IxQL9
x92Oh871F3fxixYjQ7GcNKE6gpb/7Dc27QyLiPuwbFBqgO104HjfPtq/CO0XQUaMqlCphDMNnmnE
CbMJGFbNXiL/tdd2HFrzUdLkIBnXVM7MWtN0+qoLyyNm+rbUGQ7cl6Wz++HAG3Zsj8Md/eIteWXe
oc7o4vhCvW+85CSDyKB1Y/njvOSi/P/FZ/g6R8ZhrTKhLssFTNtz80snMrRjtcy9EZ7+C/aEjJbi
AjaKw95fntkvosxTpJ/qf5KptdPY/gkdKsaGLDHr2lrWu7rah/b7M68jjKMOqLPjzCdvbdOclM6k
vuzZto+CtdW9O/RR1/Zl2XL4+8uz/l/+sBnxOynppGdZRmOZN/MusFdEQc7dukbUvEYzmR7V3yUF
q42/k2qiHlAHJxp82q59R130h2zpRv4bkpzIwIC/zcbxRMs6eDZw1rzI3qdPvBTafHbwt4bo7GQ9
TLqenXX6QEL33ceIIB9DxjXyB9yznX+Lv86WsTTdQl/I+pkKLJAJMGiZewiwjR3nxdB4ZBj7Ysih
3J97kDESYp4wfXYcLPlXRho7xZZG1IM7GwNrNVnlBn7G6tdyuXldrxEXHRyHrE5uYP/69YIBliP6
Yc19sbHeAwTN67WD8LkteOH6fIJqcgGMiVpoQR0HNLttA1avXGHKeQG3Yc8xS/Mh2tfZM2YpwhTm
JaBJhwIjt9biTXCtvccD9aIW55ZEMxZJF/PCCGkIPa4qOyAU6/Q2G/MJm8lhMeanC6VGqi9gIyFI
Hu6P6FWh2HkPmDIjDVR151jRPaAlD3ufi1J72xPBOOt3fY1LNTAFGiFuQbW2TEf4Za3DhnBYnHcf
f9/UVV4mxi4x6iS+0JwUgB2pjwVvddmRDRKyZ+sAUAheCYdj0vVrDXJCsBguiHxjpNz8t4qOYsPB
erjXgOAkkc81disc4uVtFnkif40PJhTb8oJ2pmstUFsHPRH3sANqj3jD/h8JMRanOQnl0NCwulgG
r3jusd3AO3AF47avqLNF2li4JIZ8gWA8+yUwUMyd8BodUmt/9Q1vc3SNx2+o2BXTbnJ03UIKI3VB
peN5uxXx5GOxDlkmVu6hNnywPPlV5wkI5526PpkTkolq9KKZ4xD9E1p6rdoOH/c883Tba8KSl++6
FQLJvkkysLW1Iw+pj7vs+Fm9YLkGQgou/O11Kc6tQ2SsyKmR+1zMIfEX137zMTe5vXtcPUTbj8f0
7gG9SYNMPj4IsWq0mANJzNz4h+QweB7vZDmuMPbbfWc7rhGd5lT1zrZ/fLtzH++xsweP/mGvr1KL
4wzz1O4aCUwucpCjMa0o2wvPLU8k8GTHoti0nMvkvAJsnk6N4hBr0qEOgMLtbGVrlGRMbYGn2zwy
TIwUt8E/BRfXVT0U0k3rgVg/1qjhQ/d4LihHB66h8eToxvC/hsTfotId3AMw7rZi8xxPNhHXNcjy
1Bq0bFjaSCjdrWK38X/B6tNBB16vN8disdm4S1qqo3GBJETrD4yKv3N44V0N42yoZSaHFa2h22jf
ps8J2seXDr0ZVN6eOcTox24oM5uIO11SrCUewAuQCN4ekTcNNptrmcPPfvLSSX/JXP1+nFko2KE0
I7mkst1mtoBFrpoXq1562aTmQa4g65WyzJuHAQNvtXWbT86Zssm5vEtEoRPBpt9/Sq/n3SdHa2fm
m6c5hz+WXrZtlMY5dZuzH1t0nyfWcuVulaULUXwIlyg/k52DQaaefKLBiiP9XOJMLFQu0Pt8rsFd
4RxRrnh8c21f2YqV3Vtj6QTt3rizhhd7730e0m1cwGz5/6N1ZNN2TRtro4FOCZgtG6DM8JLR7pHi
L4fXv6RZf8vQdU5vYkvOuSxeaoXeZPQDbWS6JR3RtcahwhMXJghCVBcXFxrHVoVVehopHgdezzjH
JspM4DKcdCMSErStICqP1vrS41kpXtzPLrcTczNWwxoUjttsJ1hvpEROCoDgy8XqtnLxomC2Ba6V
labVKJBIb2HzxSYkyfJheb87P6ByzyEl3rZX17TA5PrDpE36Hs/Jo233GhnRQ05+IJN54jjZHAFQ
GNciXVRtE43gCMFkAVhbBCsKp6bDya4BRPm7+yIvhNJIByRJewvANvYdNraG5APxNMEU6S6+tiHU
WMvGA4mfD1lkbGQzVQzRGVfBmZyhFIqBHlIzbHrPbuI8avYHEjUOqvY0W8LvKZ51Tyf0GG0KLotT
Hee4M5X4F898Sn7eFor5XN6EAKNLDUYjUkyYQ9IxBeS+/UTQh6pjSsjrDrWyvf/vpHBCkHmic1lP
jDagJ0hWq2XgomuKBM7wcJuvWT9jQoUK6eSejDLLL0VE3frRBk4cz2TPJjUmn2f9+DBNT2ZFVUnb
R8uUXEsCHEPKkzXWR8dGiX+ChaMPlC7aHP+BcHxjnS3vgMwQj6fZLMMXT6yT3o+yceppdvy0+Ymr
0bEH2teA5WLa4mvNq8TNmvAJMebZVQUzl6T/ELO3qSv88mweP7PmbkKCcdNTLTHN6JrlVCzx4QVZ
fgSoPPf8Gvb+4QROqCjfBa1NuzqLZJxaar9hnc/HBfBXBPA8aOEJS+e2UHOJMdagCvthkA0Qs4/H
8yYjfm8p6Ax1lVfBuKtWXt26HIr0599ijzUPVS4BRg8UEyDlF0uC7DBBwcRTVzxp510XYxew7wuu
NG3oRREdgzpoiVqqKDlvUCxBWGquegy+Pt/mjieEjJFYoHkkLxqqxcqZLBLMnnBLTrzzYwyFHJll
Z1IhzFfR9uKb1gX9w5/UuYvxjyPy8zmaL2FkXfV2vGiVaYLa8xZ5fRwhMGTtBwBg4S8qTxRhAWsF
WiKgJH37KOdLtBPSzIucSMkiHkwIyhkwpRSoVEeetLfMQ3kXkuH+V+9263Etb8MELrTn3aY+P60w
oc6ak6Qquoz2q/pv2UftqpDQveE882Az5hMZEzqMTVHGIZSKEQcskwCQ9rusx/KdtXeIeMnY+QTN
hBJjVyKpMftYobK5pe2BQJJPoAtr1NU8Hu7LfMfWhBZjVpRMzlThBB/gbB9bB2UuPMwNwSoKjMmh
BMS5K47W/eG9FyEWwFLTb6P18WcIx231gEIIWgewcZ5rnzkvNevJq5oaLJoB1FprW5HQEZdYcMPR
u3knfnKAjCHRwVBb0cx5u043WHvwKftqRkIs7Nthh84n14fiMcVYlUsbCEKkg951ejq1zbfF/e1b
4vmFrBc/JjJlCiTcu8xBkqsjv9Dia5AdUr17T368TY4jE6w/bxhabsgBZWib2uIuJ9oDN4PCcQnZ
oZQ26gepoYeGLjvy8EFHERx0Kzv7M+fR5BFijEShmbWulyC0xQbbVcTB4ON9nTEMZSxLskET1r4G
PNN6dfsieJb0uglj4jinklnmtYTPt1a/ti904fmvcV2tLJ/nolOl+NO10BBJKSZdcM3Y7EhFh1QV
I4YzPlrbKmzscuBtXJzN0MlfJJibCBaaVBg5SLiiL92nROKaFx4TzG3UI+Z9swBeC1qet9v2LbZl
ADa8DCRfYhMbuqGQL+Lc0Lyj9MUUY60NI+nP8gCS0luKNcKbe+d1bXEe1PnYQ8FSKMDZAjiXnTMR
R+MkdmVL/b6MDNYW/hj6ZRqC+SfMAeIZ4vgPswZgQo9xH8Rezho66vg4/koxuCOvYTc558Yjwcib
fO6iqjM7elXAE0Ab2R1mJVbINiLfhoc14VUj5r0x7PeRTdkE2DKLRabWg1KMFB60tTIS1WT0KJwI
9creTrYR+cGv9QEzGpGbb+XY3/Ma2GZFc0KeEf5BC/KuPYH8XbiHi/IZch7y+STMhAAj+4uTZnRi
QJFJyWmzPVl3bmy3TyvyILyjE/CyPGD4Kn3ipWDms5gTsoz847D1cBi1y+PFHkn2FC3RZ1s38Go5
/M3Ky4SO9j2yy83LQsgM7M57ftZxa4Y93FUvHJmcfcgnNJigh7YYNnoFXnw7AGIR2l9Q9lZf3zlk
6E38YWonZKioTIw69rOeTwrdO1g9RFjW8nDtYUTJ6jDwGKJKdIsSPdQJJZSr+lTPwFDcAZOsqS3i
Jh/hMlRXvNDqWir6OymJ7c2SVONUaSPEz0dTqPaRSMC7VqLlOUT2vDgRbG6hKN8nV9i923s9xmy2
r3JEZN7x+32wEtu0lUdNXQ8iDta205IQNPjlJH84HLjrdjhSL7E9WyWwWBIzwLpBv+x8VM4y2A5P
X+05kjLrXUwYYoxGH6f9IgEq2GOcumEekrpLSQwY326lCEQU15Eta37QHJ8W430ju72x4vyA26L6
J66F3JzGPKa3uhWs8rWOdinwRwYdOcLA0Ute3Dpf/ZwwzFiTEQXDs2jiXJVoZQg5EROrXUq/zs+t
bAkKiSpyWa6l94s/OurpqPHivFkPZUKeMTJmrwdarwBQOfuMEhLdr0PeUz4fSU5IMDYmxEpgvY4h
o5grBsxT4uMpJ1hio69/yM7B5g5l8VhijE2i5qGgp/QG7f4HdgzT9HhvX5wz8SyOYZN4tBhz04VY
mmNEoPVs0z0PhYPdL3ax2761o2UcSLHabEqndbU79QzwgsTmJR449NnOrOisAWS7hvTkdvNz5+AZ
uq0OPAbZnqw2q8reTOgjdDwG61XkwH670gqFO5risAvP99aa61k2N9VBJe+GeWWbsy4Au44Kqhj2
tnxfXchj+xESt/QCxQK0tqc+3uZ0PvD4ElO2NctIYnQYXa70CtI7J+zFSDaamyNNxqF0+2GX2BpO
GanY20ptHPXLBgsraDel9ysltON296PAAmyb493O540mzDFWpii0olQiqHnhPCufzbpMyZo7y3Xb
4ZOu2ePJ25uaUd0qIxw+TMAvfinWZZ112At9+/Q4D8TVnk6IXDpjLGOq3e7D5+0vz7c4TA6JMRxl
26dVSdcZnO1Wt4fISh50ZXkOnK4i5bO5RVNU6xU8HDyu4DE2xKgWRd41OLbTCU4eWcJcofcLiT3e
0AxHo9h6TiufL5eE3k/yIz6MP7zbx8cxRWz5Rs61SBYGXMw2WLq6m3FMLUe42N4qQ0+qSKGnhL6/
BIX9V4Cy3WaAI1nsHKQ6LMSwLMBAsML0R83ZAsuJxgCA+t0zFbu2G/Seasdx269pN3azySO3Ti0A
SqLVdH+wLOd197AsVZ7BmY3YvwSb7bDCGiLJVBtqcNZHY49Iqeztd94s7HzIPqFCxW+imUrZYfwr
A4NAWRbdNwpwsASoMson2HdjcTsI6XndeB+uL9eEHKBDoj5K6Hmm9rkhlkRwjsgWozDJdbN5B8hY
BnERYg5rAcvQnsnxWGSH0oufx+Bw4sV8PEPNtlklC605t9S8nd16GyDZcV7ygShuR33Y7v39piSx
CEKZbksZsGjppdpWHbH2fDIclWWHHfNLLRmthFisX281y7hPrA71O8xzDTZOzpfvuf2tvHiIxa4V
EllIMwUkdQ8ZY4dgmsGzQved17bFeyvYnilTFWKxpirVq3aBNbq7w7v6joIarRP+jzER2zal9rIw
Vg2kL0FBK3rusJWvszusEhuA8XYmRrN2BPe2Lbz6IDe06wqgOtGuJEqKMEhBU24BHvKQkl8NoJoA
PcR5NThGly3GFK0sKYsYS5XMhkQBqXlG/S/xFbpIsKnFMBV2yqeKui6XTCxNAVqInbuLh2T7amHv
2/oQuTYXf3G+bAFQz/+SY6x8qxdGiw3vtJBAJwr3if9orJRfEVYVmra3jol38Pacp/Evl/VFlPHu
2lIQzYwuJRnvfHflLqzxAcvsP7kWngbffwrFFx3GwtdD1sndgp6lD3DOu1Vgo2WcIlKdsa0NOHpc
gvPZnC+C1OeYSGEDKMvyFIDgGe2QdP4NA5oUQJN6ynhX8KxgnN7miP68I/NFlDH2AmaSWtmASD77
IOlu+x67Nu+Dg2QLgNO39pXP2xz6F6v/RZJxASuhak69gAsEwExNjPsNhboDyBeHs/kn8zcZNlo8
AVFvPNPA4zndbAdrdJEvKrZDRNcMc8dBOcJy5Xlyd2a9kFUpXtDlYK77lj8qP5KEBO6PonU4fPGU
jg0Vw0RocoWuqMLcUOirrovRc29F1ug1ODzt2pUMz4DX3jPvTH+dJWV/wt6iFAPFKCAlmW4HWD99
ijhc8SwXGybqAVZP6x01Jdi1KpGjskRl97k3lpqLdLrNeWV4ssHYkMJMwh7FNxhiH6N+0ctt0bu+
9TdMBxsbdoEc5ol6NVH2UVpjizaWjP6kkFsXTJxEVoPx8k22Qm9PCvgtO11i7vP2T+CeJ2NMykYp
o+QCDstNtvuZ27Ah9WbzssFz4PHaamdDfF03sOXSwKJT1tmvsGZVKssY/aE18MuwScEFpAkywLdZ
mnWwJlSYO0svvZL1EjAyF42Vqk5VOCqWgMWruPSzhiOOs43qqibrdNsRtqyxKP1AIqhO2kCn5W3Y
qO5nYQG+DPbf3H1o9j3ak0O39UNX272HADw1HM71zenblDzz9uRqZaDOBfLYoVqgM+v0cfssZ6tJ
UwKMeIhBNABsHBVAf+v+dD+0VePRhl6UNnMI4/vzwr1NcDajPiXIvDOinuVan6EeCJwiX3FKL7r3
/OfbROYkZEqDeVgul0YxhQg0jkfXvgCfKq44UfNs+mJCgoXST5pzH8v0YvxteYhfql/ozwhr6527
FHnuXZ4SokHaxOJ2rdgZEYVrwJhCsA7sezQIpWRDfVJPczgHR8WJtVdTYtQzmRAzLu1Fji4gVjsY
13Z4r8dsoKLLqgrgfxH1bTZbIoatCNhpgbY56JjIFhtiAHjtDF72i5Jg9ILDz5wgTOkx/HQS2rj7
CPTkiMQvKTntc+Ci3ha2WRWaEmHexFA895dOApGze/ThrbXOW/4aOdJrbZJo1ahI+vfg7dMLBCte
VlxgiOsrwt7a9AfQR25ya33YRJq6GGEkEuRXtj+rJUEYKC7J6HieyGlR4t4hY37rfqGisAF2QczZ
2sB21x5p8m4AlxzrN+vi64qE2rKo6bJkMCG7LImLserp/YGxo/iPEYx3ZHjh2Yxr+P/HKU5oMYo2
YMAgC2rQevZ14r6V97oX311Qi7PPgGuzD4GDJsCDpbnACcSjxs0jzx/s5AcwwpokmKDrRfwA+/gW
AAcREYYHb1jn+TxzSj49VEZetTAr5KwEHR/YL+VLeLitD7M6N2GDkcYiWVyCyxmfTxEnCavWdrwz
F+N5Lpcz5YERwvZUFADTEHFW6PZ6W5Fo2VmKvXnJMU1rtURc9RxHcTb1MaVIT3WiZGNYFFVQgCJN
Rxxdd+HULjkcuDNQPM6YB/kSKb2EDTEU4gnz3iaoWGvl4fYVzb5eU2aYR1jRh4uYIm9NvRqMbGIh
vUKkF45hnHU9p1SYZ7gvxTFEAwGolOhOHiEOmZX7S+dp7YUuz1RQ7fhDfeGjoWnKMDAmxBDTihxz
VqoMYg1douGIKHx6MIick6OCdYMMm0Q0AzNWBFEBGdrPdLzY+k4h6C5Hbe5fHd8XR2wisb6kamCM
OuXI3eY2auFn694iJ7jU75f/Q1/+vLWdEGQMUHiSEkkNJTrehRGy40/ZVuwUnaefPNZm29b1CSXG
BGWpEJtJglOEKiHbcLqvgWowooXEvxdQuYZ9jQ6CD7rvmsNTZI6gsHnFwihrI6g0QOzbwf243BzW
3qe6Mize9dH34pakMCYKCPRmMnag4/dr08VIwMu4F629ipbF2zI574BMTpMxTVEkJXVl4jSfE+Tp
0WDnXjDPaFrL5XIHXfvce4Z1myRXVBgrVWpNcakSiIp9ttVrY9/FlW1plT9L9pp3krMmccIfY63k
kxQapwaKYHcUx0DeFceFCivPbfDmKTdjQ5RRq/LYgI0XkHToVotd6te/dp89cpcVd0sO79oUxrnp
FmIZZxecYfUmv2DuS5FJ45AnZ1nCwW8AheEZynKPRDtMTcXNEM8+01+HyvZ+l5dYicQzqD/XDlaK
hzt32y7ljGDn1Lh/FV72z7zO4/lXZ0KSsS8BIEFzAeuDaesYjObDK6zmJ9ZAPHMvkqPjCmNf0gyz
olWt4mgdCu9aNmThKC/e+20tmAvNJlZMUb67BGiJXBRBD72r5GXULBeYp1wJL2azvU1m1l9DvzYW
jmGToyow6g3H2DBGyUDn8XLcefzR0PnD+vo+o8tJI0hap+H7lWMDP5ouy2jdwcYc6m0+5h3cCSOM
HkcAoegCE4TQ5G7ZyUO4DrejYGktOW/3qPzv1McLp23/L4bqizlGpfXunMaiDJoqwLeJ4GCRM4rQ
vwyyPlXk/Z2LKjArE5oMMRZEnJvBHKaCRc5dQCXvDM/0Z36XPamYq2iQim2eSisEjDV/5JLy8MdL
o5mGgY5+5N6uAGkT11TCWEJjBtgvCjAF4H8viOqdREtaXc5YkDOQxPX2qSUJ/+oNmJBl1Pl0Hjsz
kuIRnip0TIytlyfLa31P5hpmlerrLQ4ZfZYb7OKRYpCytbeCyG5uY/mI+4AhiZcPFFjvnZfXwRWt
gDyt12t0nB5paAMXBtWv93dguVm7V8RSexgazts7L1+TQ2BsQIiEf2IU+GVb2VNh0XZYoAi4DHHF
0R36nVsnwHgTrQCYNYHeMVjbFltJJuHKKq1P+b7wNYdDbPYdnDDFWJxe6bRKSsEUPM8jth4hmbAT
cYCpxUtPz4IiYmXbb9ll9CUYT52hDZQUUHCM5VHGToowcYKNR5F9PM8CuG1DtB6D/hj1p34hFkth
vKP1EY9z81Ozpnbya1gLpZ9CNRWwNPdov42+3LqmdX3+T09KSLgTS1dX89alMsapWeiNKMkgR6u0
o31yVw+r052RW8iKRbHtwSgGliF5JVApIMaHNd04tX/mecSzrsAX12wuU+jlk5hEkC1cQe+81dgQ
FmzkJabrUd+ke7ze/10YNSFJneeJyRrr2BjSAZwHCXGrtRCTBXyQpRNhW4envrbcbgLOzeqMsQqD
E8ZtFiDoK0s4H2KGmsta8CNsoAJexTsvmzSfLpgwyFgsJcam0LGj9NAmHx+GO88DmCfH+nAMv84Y
n6SMLoWqgwgKqBkgRFGm5eafOaZXZwwPUvVS3DYhXVPsu6arCpaDhwy4rzxMDJ4p1Rmr0y7wdi5q
cPMMfxQ7VS4kBA4/HXrnHNs1zXxD79jd2Fmvd+juDWjnQG/FGx1zSbA6yNiKOwHQ3fXqc49STmBp
Dtcz5dhxnbEwatDWwuKM40ywrMOO9vIDnbvE+ImVL8j/ZsZ1xrzEihZCsSmtM/GPWym3hPcSJXas
MCWq/e9iwi+RZ5O1ZZ43ep7QR/qtXiZP4RYAjAfAN/VkseFle+bdrN/PhsHYjyg/ZWVfwGRtYbPc
nzki3twHxml08Px/6SFPOGOMB2Zyh2QBdB3axHi6GxFS4wR5g2M8+TcYk3G5mJJRhNQM28n+oqMu
ggZJG/kC3vYJLiXGbrS9ZEjtGfKPEatrmhH4RxsUC3yunacnc0PTDMZ66EmYyLFyGlFQQu8MoKko
CDf8Fl7PDM/eGozxkPIyXcQyZN0/1tuO5F5JgEckceeZZ7suJg4L6+AHSpHnWYezG5angsAZi5yF
o5tWsMkbUg52eSYaqTfwlt79U7QzO+u2Vl+b+W4dKWNBFrpZBPEAMUGyByOimiX72KSc2pEDGLVV
UFkBwI7dHo2hUuSEluHhRQ3hS9B4h4+UxJUlxsi0opQlWgWtH9auW1nmgFXxwFZerFAhwVbF28zP
p5S/NJHdYJyM4ljIAuQJCcotFkatgPC8fXgxCHaXmat3DjUqNOxRGwrWYGiygT3c14B24qVUraR2
o57CHZTtYitjUHDpRXe59R5v3xHmcKjN6cqUGiPCI5J4RWeCGqZqSG5H1ssA74Qboc7lJadkGI97
TIsOXSnZ1WlYkAR4kN7wk1djmhWLKRVGSvNTHuW9evV/0OAfAcMN4PSoZnEL5LMN2FNKjAAOVSwm
XQB+zigPNiNWvmGu3aKNjogfPhGzmFg3yruruQhpQvT6oyaSkap5MJxUeldHuxPA3+ZEcRIRIL3z
hJBHinnqVGPMAbECUjS5e7RNpC96Uh+VDNSe39Pj/yaF7MSBLiJ7caYXFyxPB3kkWoa6Lq02xDz8
jtnuqOkhMg/eGSjooVGDs2FZYYTMdzFZbGDzBXodQ6KadoUuekvwKXl9paPFOLgmfbn4MrP+4PSH
MO9hcpK6U0M1z97aTUNAHWvK8ecTOQMkYN+fOQ7obBOMoRgmojtVQzcdox2nbKFGi7KGU40Jakjr
f5GWOHdJf/ef9uuLDKMaodm0C6PLYb8w24WBe8DlPdFyDs8b49BhtUERR7ExqAoiDgn3IdYVRQA7
JDi42wzNPr6Tc7te5ETt9BMaAkIZDOHddSnS0sW7AAce2Tz65iAt4PNyvLNznFOS1GpPSJYq9lgZ
KUiisRlQNm9b2c3W6rZdCajERXhX7ds8znbFTgkyWiF33cLoe8pjelcBRtnbD0sOCd590f+f8NQP
ypi2bQmejuMmqYi5j+Et0b5R+523RUicf0R/CyE7hpMqWiIIHWT9+QiTZWvoCAC8kQfkBQ5XVJpv
SPt1cn3ClWoIoSZFFY0fbcG6O1lFRc6e8qivPw/6K90L+3/YDMvjjnlNF6qkAccJRMe7Z+xzoCnm
2C79ZJM8AleF1/o4ixk1FQ7GcIRNEeWpSKXx6HaHOLDh5mFlF2rCL++fn1zg/nmX5OvuGAMi1CEq
0ArIUTySow1f09Ot/pFrQGZ9EkOWgIhuwt8SGIEc6uyinRUDqWSgl/V71VHXViy56ZIbf89yNKHE
BCStlCihAaZwgOpLjAEqDE8tVsAp4JiquWKXig5YUcGiF9HAqsrvOiadsrwJGgVqrCwfy5/mQ/96
rtA25Ic/b8v9XB3xGyXGQbictcUiN1RQ8o937s/H5uXBdD5+EUT6ALFPrZ6oXM94Rtcw8yYKomFq
tLjCXFggnIqqCM3xUUOu5nlBCqvqLQNguk5lPx3Kbbn8Z5bznWe85vw91MAADiDpsiKgkfD7wUbD
kImJUggwyG6wfqTrrcnrYO9+YAsIF9vvOtHEGJVv1BjzH5b5Of1/rH3XcuNKEuUXIQLevBYcrSiR
lFrSC6LVasF7j6/fA87ONFSNYcXe2af70HGVzELWyaw0J8eh5W8p2hwryXDDfxpOTT58Ejln8Ngk
t52Dbz+rB93ByF9hgn9ls8dT6/5nXnv6qCIUF8FCIWjqzQwW8BZ2StFmfcCjerY/inYpoxCOqJqH
xM2XsZ0XMTEkzmBC6f5NIvWRG34MhwGrO67JIwrDmga+VaSD0fM0/nhCXP3CTrSsxLrfJFK3c+y4
yJ+8iJ9LkUfJ8q4z8xnSLczlxmuRxDdJM64vTjNL0gkkvzGsqEN+9jRNlvj5Y2O2G+P6CT8ozgSD
JrpFWV5KXnEYqiiIBqrDoHiCCX8XXOWihGdeAoNSyOB0MOLpADodG6vuNQIPGZlzdRRZGUwKlK7+
pqMr4CP5YbhmNJj9foNlN6DENoOX4mymp4vVsdKGay3v334h9RG6IO0rrMTCL2x3KExgVcUR9jZV
bmODKxBHYxJTP6QyUeZdm/oHGBk7Vt/7Gnx++xHU9yljOU4DHscEOmuFYHgXNQlHJxEz3JrP+y8j
X3wPyoFHkW/klZFBW7y6u4v4ll7t56/yg/W8X6t0fdOIct39NCG0C6BRu7OsjdGAeBzVWu/puFeI
RAIMNhZOfDQwVYCI1sUK5yP2lMAguBct3pjMqvHao+fb76F8uxjDE6vd/Jkt60N+mz5UCzwsYLts
SIeRxzlntPcMRgJn7c23lEo3vXC1J9aJMEvdH8eH8EksQQsYWI/y1vUPA9IE2MwV2CPB4gi079X7
T98a9+0HC9pWgebPV6e7XyLNDwZDx88YUUREFsStNp4zYMuqgdVrDBidA/Y7FkYz7vV+nhhqUvLw
z7juXmR15w0SE8xBt3VMWyhFvRzENpArrr0JcpAWTyQi+EiLDyaHcQ4MdJhQzs+Yu8Zuh3VPQQrS
YpAx8XlXQMGcjHa8y81p45OPkxMUREHrzUOSkNxCkFq4l93gmg/gbDLbEHRYM8LOj3qU7HUz/vFP
ilffrI2CsqLOJyNQceeAp6+oXmHGC7v12H6LASI30F94Ey2KfbBM4OS9p1EoSOr5RPe+UsuPnCD/
2XvEnywuIlinYexG+Z1hYCsx7TctKQjLC0PueA/nj2QUb3KhI3/KIbpEp9xh3RuG95IpEMPAYZIJ
2vyprXlxqO1jWv8wP+faTeCyIHP+3X/ZlSSpvKELoqLRjU9cy7V1r+FUk9ExSNI/qN5Pfq9p9j85
v4Uc6vy0QfBwepDz4lheRJAl4dE7PNslQ9AqEiwEUafXS0NvBHU1n97s4ONd67wF8Ab3xax11yI8
/HNuFLIjY9gongcxrdlYzvgg7T2QOx7Iry08S0Y2zfGWuUiOzGTJqiX+kUyP2kay7nddC8kD1qL9
+O05/mdEpsFMAEDMNWyrl24hjHoItCq4MARjhjvRrs0QfssDzGB50oVZzV95ny5P9BatLO53UnQB
1qtAL4kc9wIa2RX7rXJZCQzW6VH4rWieosgFpHAnRFdvmIZGvwvaL8z79rGW0vqmDY3XRgUG2Nne
Vc20xN+eBT5tucCUcrvlrM3n3OoSnp6eGFJXXe7ic1FYrItZmfThfIadmZz0Q+uIr82DVTx/cdZn
4DLXV6+VIL6pSYWQqZ4KVaFBIEgJBKs+ti25fLUfwCrm2nFhFRcXylEQUtcZr6fKLAtLqd5L4mx9
koDr7cLMD64RMH5TiwIRfoowhJBCVGE1zrzlNCxNDBYbRDVjmzun4X4yq6ev6XlzydwvbW4dYniB
WcIdXL7Z1+I2YMtQYBiz/czv0NxUf72wOtDWHvlLJW//vhChg4UjLRuIaM3bBmC8trkJo+1fG/Bn
mp8sqpv10Al5Jx0va14QdOpKpLHC1T1mVa7qripIf8x/x8f0+Vew2TWxdWlPePPu54Im4yTXWmJV
cSGXuhSD1kZC0UBucNi/VlckpKQdEhnmBU2EjAu4krL5Joq6Drw/VGHNQVRMkqvwgHL/5ZNxxVcR
eaENdQtiz68KXYeIwjqeuh+ajVG5yyZxWfnC9SfqQhB1B/SST5RWHhEZVBskJlMSf6EqhLm9uYdQ
tCudCOfKbq34atsFZtAd7qnHM588s3qa166CJKg81qehgITUDK7Kwk5DLeA9RZ3mZFQRm1JJLFYQ
tJr3kUQRrzEB/5FpKv06jv2ab/T5tjlnr7M9NPVWrvn11KMJBSPAjG+4FnQtxVFHKyl5NI45xMXE
en+fyMkF+3RCHp43zI6h1SfoUhYVqHAjBydez6rhDXx8PV0d0F273kYGwwmS58z4a/Vr/TlK+vGZ
IPGrK8m/jlI1hxTBEF7aV98dbFCsfj4FrFzK7W1HQ+VCQ/qdmUjehLeBhvsdEukjnnacYIfY1b7T
9zvbxXjfb3LwyMOOzCxDqrp7spDK+1TPoEX76YOdxGJ83TUQWP6eOQRZ2KuoV1wpzCfOp3ZV7133
HIC/99ebOaIV8stsROcfDfGqS5lUWMONUqQkNc5g//oaIElMfjzsxI33wAifWKpREK5LXFqVCcTg
9rcCVluFw1Mj/vQ5k69cQzvcP0mW7dKM/Zqk+j467HDzrz6ZF6HZRmRuXZegBRxPvcyMfgPDSyZP
z1qkIYloSBGEORmsUqfZoRaJvSEeHiscmJXJK0jnMO2YD2QoTZRmWAazFpMuxVGnmnbwTnUNcQii
usMQmdHGfPIwxra9f57rV/OPWpQj9LQ87+rZMLXzBQ2KmBi9//dXPe1SEcr9iV4SgnCLgyLWIJrB
RXDV1538gb33G//EHO5ajbGX4ihX6DeiGukz1GApbmJZhbwZHd+0R+et3O6a9w1zfHyNaRHX7M8J
UsCdRr2OEQkoiEJ1ZmH9D3YQzZSR7uO8O8Ccq+M90e2WqDbrbNeeR0vRFI6PYuyLehII15fRhTvG
8sa4JyrL9BkmQrepV7leS3mBI20uvQVyCjQYMCBk9eW8UESbFV3AY1n3xThhzQsCmJmqEgTn5jxM
edYPII/Abr6fF6xq/mR+u7Wa//Lb0d3pUheOQ677OECrtTl8OWTtXFbYvlY8/iaFgo5sEpWqy2Ah
L9Z7EhHsafYfefLME/RO+Na8HYsV3s5/8W/39x+bpMuEgz4UUmXgPNuKCMTbTuncq4EKAmquX4yP
t1oykLA3A3UVGZ01NFVPNFVqOSipcG1H0+Kfhble9ZA/mrrDou9b6zZVl6IoMOmaRuxUIxFml2bx
/jbE0KTdnnajYDNbzVYReKEWhSS6mDTYn5HBNl6t2K42kmmBt4zxOFiN+hZCKPBQ+6EX6xZCLL0k
/C91c0l/MAB49hR/2cJCBAUSnVxMSVzh8/SwhY1vX2tSmvpWexfMXaMyqV/Wrf2PPBouyoIXq17H
N0I9TdoLm+KxSM2iLGzOsIJ0P0x215PKMWILxPpigclNKbLz9vG+2rfw/I7aNKRkGXZmSEiaXve1
jVH3ogOqzBPTrU9ePBczDiT7OJ9RTLYiRwG9lHoNXzFDtt3Z5VbNSbtFlM/syVkF7MXZUGGgmmZF
q4yRcC10EvebaTKRahrJl5oy3DrrpmgU5hilgqvC4StkohUYGCvdBE+b3fOuLAiTe2+2oHtHTcUq
StJqaTjiqOe8yPG4jUB21hH3cHjb7ZgsjWs9fEsMoAdjQm5KkcqFtOMQEuy6jEz51fvBopBbzUxI
iiYhNwFuC5Ved662fiO1UY5rY/oPklW63lY6Z5vhLM9Ldys8alEvQ/1E+oyJ+nzfeNf94UI4dWfD
qFM9OSsFRDGgNz6eVPOEaPfcILdV2YM5V+c3lnz+R27jj1iaZKNIhLLBNizhqhSbbPNgDr4p79FW
MS8X+UcF4MUB3yqWC58/eEIjeQIOGI0sx87JCdZvGZ2F/P+eSX62aqGqjCQT+PHQtEOdpyKBfMIb
q9lvOKKtmnjwnn8RrBPbXb5AlHr/6607xD/S6GMMRa9o07EWkFyai3L+bviYR1TjwkIfAUPWqgNZ
yKIiJyM1ikmRoNnxGPmW2tuyiCba0nlu3i8x1sK4LI+1nhdZSKQwLKq8TJkqaCeRzslE87ADva09
2KKB4o31OV3ua8j4dBIFZFFVePkk9cLV6d1sIzsXnrFdm/m5KPgK03jikh4SKs4aHxvwy8bYoLPd
s6YG1zF5cXLUWysLIllqM5ychTRdaKNIjDFIdMuzydFXQ/aFJCpOampwFyj1ICCZ9GrNL9WrQK7l
c25u9YP70zTj0+aS2BdEn6w+m3XcXIimw6ZW6WOxb6Dk/v347lzHkmCTIjGTTUD4uVf/acOCLdYd
oIKoKU4LT26gLc5VEUy+JOFztp+n/y9jQy7Rrv3IP+5b5WrhAawQ/0YUert8IGiBVBiQybt4oaM9
rbfDo1GZnGvWxS4x2Um01Xj0j0Q6idZKfaYFCsz0BeQ9gYl++cktt/WHznpW3q7UX/58IYnClKj6
93kqOVgpUOFwZnR+6d7QlXTMHOOsnH+fr9gq2T4PGy5Ag1C+VXtUr1jv29lM7/0QCmrEvJGrQZht
CawO1SlxMlD6vd4+6kxxil4Oxldl3Buav0TzqypPItzQBp37znuzNUiNtP2+R6Th7NQPVOkYEldf
aouzpsAnqdrQkIZ2vqnCCQuux1sLmnydKuYrW2IdJ4U/Yh0YvD5BVmlXzrwU4jU7jKYObuacYIhO
cEHi9jbY9g9XBqUQZmuwEBelH8Oy9qyDZhkzBVCKKKtq4OP6ZIfZxj5qUz1VuLDMF+Os0z0TouBI
QAt86hnQGUT2sgvaRLCuRT8K+MjMNv9Xe6WAqPEEIZM0CIsS87h3PkrFLApXf7DQlRqZ4T9h2FYX
ICRTYU0+czeqPMx1j+gQ77qQGCY85MZDtum+nd7C3TvnSG/ILOpRVvJw9igvVr4LTnWEqa/t9pRZ
pckppHFNBIn7xAyOYNxMjp/Mrtjbho17v4BCJT/1IlVtR7hp57jH1pfjqTY/QhLvtjMpvJ1sdgUR
nbfnC3PqjBGCKBQM+emgZ50PGDpa6Metf7Ac2BrNyvI73v59EQp7nYDVrUKH79g5R/SqSU7h5M+9
YRs2Oqfwarv0H5lpdu4OLaDur858PD+mbouO1OcAHD5g6HAnlz89dDY2nifm5mXo3YHxoF7NrGIN
qzq/htDIT3cFhXWjceXIz0jFbTDAnGwHq44tJXS4hPRb42VXYd36/omVX1qtSS8FU1d46AKjEfyb
YP5JIVlIMPDxeuRHkC/s2je+PGK0npWSXI0Kl1Kpu1z6iSGUIBu6IjP4ejqm59g3hRTddDLjaq2G
hUtJ1C1Ow0YFU9IsyUCfu2xmjdnhLHeSLRy1t/v3eLUPdCGM7hQCr3Yr5zGE7TGC5JdO/B6c1Gsa
WO3WzDX4nNLeYCVYaj3YD5K5y+wNLraqEZbfmwu09G1e/g7qNvMBHt55NStdBRZ3TkZiFruZxei+
vqsv6aUc6u4KflYOqTFBX4yRnU6lecbWK1czbbKDb5vnsyOTVTpew4ulTOrJ0jZ5F5QTdBta88OJ
UAxAw/aOyZHOMtFbI84CNko5/r8mum8ukvsGysEn3WR56jkAufehqKAhjSZfxcfCARqn4zHGLDY6
dgNjbmv9ZNcs589xTxoVF0RdXqqBB2leRTBdv9t17s9i98SwvrUwb/mBKEQxwq7JGl8QrmK85c6o
R0+B6XGsie+1ASF1KYaCEKU1xC7TZ9t7QWvSCa1J2zN5/GGDWgmMQns2ITXrW1FIMg1CVEfJ/K32
jWUpIH54Rn/1qXQCBf23zKzKWuy60I9uwhj6JMEEOMSBRclwsj1GJLBvBs0R9+/waglRVTH1pCqy
KCh07CFMSiBIYDC85tNGm9O4kTl99IH1vEMJP0LswczgrEXKS4kUOjVCzgW5ICFq3FdoIubQsIDH
JDJhT08co6C9aosL5WiAKoKpbfvZSHCKcmYqOMSX+we4ikcLERQeVWrHYduAKFy5lpRH5QcYd1oz
xMLbf+TJFoJm+1wAUjbxSRR20KU3reQxN6uKzHO0eyYr21pUv/w+FCg1fqB1Xojvs+88gih794Dt
zvHp6TKzBzErQat2vlCLAiVO4ppo4GT4Ku1X8SZgIUQqWDFvIXnC5E1kWR4FTUHQNbJ2M4e9836a
SAlzQAUZ9AbM1wNLLQqeSj43QHCAQywssBRNVu5qz9wOMMEqEM635S9QX5wfBUs8CKJzvVHmjOGx
uwrnnWg9z573vpWvZp4WRqFSPWF5EVZ6mEEMEsqy+3p8fz9tMYaBVacHGxXJZ3MfuPdFspCJZoDs
Yi7r+BiWAQbIY4WnrGgHlRM97IuI4DH0Px6kSmFFr1etZPAQ9/LKEXmL7gJ0bNxXiQFHdJtLoJVD
I0QQEUSk/82ja8LsRJZFrHtGVIy1eaZaUwwKkfwRi2RiMP7iReW58I1bZ/v7MTRdOEaQL5lYSMrO
n61GnAuZFDhhg6PcBL6KW4zxr/fuMD5woPhnxX63oOtvY/+jGgVNQzOIQVnPYjC6CVq/iRQOlmsj
V+WZrOaaGQzuyaKAKa36Tk/xeriCjF84e2THfPStm8MfbSg4CsVKEYJSm6EPb5PXY2kfhwCkvtJR
fk1Phfu1YUcx6+D+RyaFS9hxVIG/Hloh3fhaiaQJiGYnP/2CXJCvZvjGdbz9I4zCpkls1KBJoOAs
7Bhu79+m1TSx+h+jU3kKk4a2j6JYgi6a84FW6vN5m23mbDj6/nLsdzMZ4lbD54U4Km4pdLn3JgXi
OEQTr71dXJJ99QIuF4shaA3SNRRHZ3JkGc2blF3wfZAlI7oxMMZreW+PqYXEPuYWGVLWPNRSCmUJ
A6YI4rSFFJQSDCT1ZWJLNvbhMbRZ7SlcyqGMIErKXhpLyLntkQHZyHWLfljM+/78iUXqrGbQ1ebU
hTjaUcXiBBr+FOLAvWM5PuKJq3PSSIseluP4hGYFjZzmUQZyrt/Gx0Ihj/Z4qLA0FSPBm+z4VP4A
39H9o15Nsix/E2U5KVZCl0E9f9DBOl4xYU+wDhZNQ0BkkJF+GgfGvZPXsGspkPJlyqDFEmrsIqIP
0Y1HIr8jOki/UGHo7eOJhMdzbibOdXs+g05/MKMX5PgUEwztqYFGVluw7Yw8mKidsVj61hBh+cMo
31QoAydWOX7YS4U2EIPNN7iGb0sBlCMaszZvh2I+audYmwlPJPdfzIbCG8sbraY/lrIob9QZQ1bz
8z1F0yoGB5EByaztFYS3/Nuv6IdK8m2BcfuX0mO1oLFOcf73xVNAbvpB6WYbl7Bz3nhI7Pv2upqN
XCpGAZCYJkE93r7S/vU9wPLns2YfYK0RNs0z0xJrXlDTDEM0sI0O7AHUKWqNwI8DQpZr1e7A5yQ6
zfzR9Piga4wgdjWiXIqizq3j22bMMBJz3YNj8P09s8BqYxtuamFymQGvLK2oIwT1cDAoGUTx7svx
Q77GDgNXV1t1lspQ+D0pDcbOE0goLp2NyYKZUIJhB+su4s+noaDbmAn6NR8irBk3sLB1iwYddg/s
6uNioQrd1TZMhSxFRjfbs+OMx2tw+k1+zR1OmFn9GjebyGV9nv8Cyf9Rje5gm8ABNPBTC6/0enTA
uQgsdB8RIs+De6yMx2p9Z6kfBceeqHfqIEA/EGNc8yef+LskQHM9QS3QxbpF81KU5AvE59zj3M38
ybDF1VzmUj6FuvOUTzSJkD+66FgAKKJZFa8Alu+dzYGOmJdiKOzVlEbzpgbmgrmXmvjHZq6XMGzy
v4Dunw9HwUWig20iKqEL0iDYmk3iFqSSEUkdq3Abc/eFMbqnrxDbARh3YS36WypHYUeBWL1qc8iF
uQDj9bduw3/UHywxrDOkcGMc/g29e0t/ejXIsf3ZbOQGXWkRvhqYh925e4ah29rrbakbBSWpMASJ
GEI3LD04YtlfToKfLMVY50dhiap6cVHMzjInyaOMCshtcI1lHeuBz3+sg6ZrVqoqbnUJJgg7V5zt
R7zD1MB0QLhnmLjewflhZ7Z7eS/uMSPBOEWGhjR9s5opHBAfkLJ3hL2/M8zSCZ09qBYZcta9/x8d
KTRBqVhshQknuUclc2hIz81NFBZyWaDQ/EgbVMPZ+xhXJzEWNkITOU/GwPNGC+1m1jT0Ht2ICrH7
DOMYvx7dw5sd2LdhjJr5UGFcCXqMlS+UEaXp+VyHyXK2aC0E68aFe5z7+8FYzazGs74jhTBxP41a
LuF80ZqB/bHSBnvYaxNd/m/zrgbfQWcXdlDf/6gsf0RTPSeiViC7ASUxGwwaSPja628XlDkHGyP5
rCNdlaYLvK5IsoAXrSpTAaQRpZwXzyoeJwcpInQbkNL6obg7aIi2W8LQbu1Il/L+OtJGl5P5AQQm
vB2ShzW5ojXcGiWimA+8szMxqGigEYaVw1mLwjD9rImKNAeXivBdTzEpgm7ETmcYrdO+a2hQL1jX
fs06lyKo26hEZShItQDrtKzTR+9cGOC8GhwtBdDOezJ8UUkgADmv+ZGBtgy8nzH/ZGPmBPuMGPLW
EHQpjjINLu/KhgtxZHpFOh+95r8ZAlZ7XJcSKGNolWDA+AckoGqMyt0HSecICCSC942OKYfy2KAj
67y2gxy87F/BnBmYV1d7QugD/gKGqPkn05HPUiXKawfhmCDNdVPJAjAmjuCCNQ9XiZVRW32aLSVR
rrqtygB7ZacZnNAtKNSgaJebGfkDsgOzr8Vmu18LDpYSKceta11eIamCz1US+YqAju3RGNeUztnk
TRHESg8R7dygh9gR0Tgy1j/QI/H09XL/WzHsm64qZEUpRVo44ABHOwgdXWAvhF5Hu/+gDl1JyLm0
zlMP30hpbL56iSNXG0jAmVVolgLYJLXEEq1iuN5XjAFEdHEhr0Yj6+dDBFtHBFqq3cZkbXNYzeUt
bIH2G0mGaWTcqznj8fqqmjJoKgFFBzu8PmArM9PaV0sZS3kUVMhtHOvdDEbWq/DKf+Wk2p7QqZq6
cm9OGC/a7HKBPJcBebp8Mq8a6zNS+KHUkzz14yzc6rG7aWZsZOHGWii31I/GjaEcE5GHpWB0oj7X
5rxWLX182GCVLLqcGZbPAkSVwo5u9EYxCWYLeT0OoGZ0rrp1dsngPn8ywpnV5MRSMQo06iLD1loJ
twzs7tKm/qW8fd639tV4dCGBzhlMHVYmYLc0lDnC70qbkGA4+HKeJ0/QtoDOPffSY9nqnlXZZUA9
nTjIlGGahAiHGLpPzGZIFrzTM7OC1MUl3+Kvv1jKr32wRb4a1cjuKitmkoDuDmkeZlXtv0SD/8Er
epwtSDxd4fybT0FeDCtNQAT74dtv4Gz5aZv1luWZGRBMD9BKoB4ftGiOaKrH8PHC4pNmoRQ9xBYL
WpWgUWe28xzxRWynm5ocSegTySdyB774NkYQwLrNzHOkAKOI40ECJcRskthyPW0Ca17c/RPLhjdP
6Nz5H68zvfCJ74ZUnQrcAMQ3R0ewriX2DSvYFL4FVH2yoIrho+kdT57SK2Uk3u6b4hzfg0//KX6M
r/kWWPX/4SJQAFKoop+WwyzOQpD4enzh3VfDiQTTz4l3RkEsxNbJ+5DCunx08kCrvAkUsTc0RubF
OZ1d+erau91tQI/J9MZwL3S6oNRDacw0aNijqeb1ePRQZs7tjRHZT6z9F4zQQKfeKGXaNJMs3b6d
95gfkB5g1XVWK/MLOKbTA52eo+VgfgaBLR6PZTCqv6G2dUG5gOVbVrOpS1HUCyVOy2KUM1wz9HSB
mAxvc6RvfSxBfdQPhBzesCcF23qwq2deDMSiEmKBC738Cd3EgS8KUBSEEE5iVRvXNW10SOEFM3dW
MB4xN+bkOy8LOi/QKVGnxCPEtSYS1UiNY0P0QDBi+eiSH4fsJ+Kuy/jjkjwVMzM/c+JslcRhedhU
hJKkmjpoGuTHJEMHjmx5IfnCI4ChJytg0KnYBKwzIcdJM3aitp7aAXrtWelppo1SmDKqnIYtS7ON
4okxbST3GZ0jFtOJs0ITep+TgFRnKJSQUzmvaB7Bu/OaoBLtWedtQ2SLoLhq2uYm5kxWMoJlLgaV
8OjAOTrFEkS/zn04zscWS9DgFYbNvFnWHZ48x1XJgJ0pB/MBgw+k3nOHz6QnrIwPhTgwCBEbpjRD
USRNlvjbvq9lhTKoQQmaV80hSRyl3LyPMRiwasnsZTtkNWZQQfRNloE9VrxkiLymKNQjQcmnZhi9
pj3EPDKhgmEamWGmjuyP5n0HMQPL4i7OgtBkovEG0maKoNDTst5Qg/9GENtD03Yvvj6mjmFwEkOI
sXJ0Kq/PlPg4ORmUH99zVq04Frnf1tOhUnKuM1VpTHwzyTr5I/GSorGUiMukhwE7cJJ9FEXt2ZAC
3XDjTk20Y+7lskL0StIngsXKQWvV8qB+Sk2hFLanaOG7rkToqENjMTakDEYzkQFDCw9S36OQUnJC
eU6rDNtTmiI3XvIhkL7yMS9/gfBgOiWRHl+zWKyekmbk7MT3UvADaBIKkOLQYaWflCe5VUxtf47G
Nj316G9HNlozuNbupL78JWZ5/JGOXniNvCDJiJIV+ZMXT3JiYtBaPUogrAVPdlcFkllWYfAaxCJf
Eq/rebQmB/3oiFPdGS763hLFSbs8Dq9YXYeVdVJijMcKTNGyE4QitxuQEfxQQbrfkCBvJP4olGHy
1KXclD1kISek5sSPfmMHpSejVSjtuavPh/HrhGzHe6/V2hZcouMrAClOCB+1WW5KWaX/zKIkKe06
zTvB4rw8Ce2ka9uLX4od7wy6FAlWqghlhAnSLEciKGhqbJ9vRfW5njCJaNdZlHtEEAzjZxDmSrxp
hzHCnr124p461LWQoQzLJreMOhAaOy5Bi0mmTunfwszPp22Ls1OJ0vVSsx0HPxUYxkc3jswmrmEI
Cd3gqo4NH7dK4uLeYvN1UIvgTTmomLYbTGHs8prIudoHDj8ZfQIqYY0/t1WODEOaGOGlyRstxIFI
mUy6NsenEEqjq01pFNKfXpEMBtHiSDyI2GiWmoqQVRFORZFVSyxUvbMTJKkxw6GGqUaEWGuOeqzx
KQnx7sbqa0nrSlPmRf6oYyWNXRVT+av1pqq0DFRAfnOFn8VW1ukI7fVeMzDUE4vBvi8M76KFacpt
hDZJW0eru2pwG6NqR0tKkiEjWEWhnYe653mLGxU/sbthGnMs6Kr9qSBtKWlYLFVV+siYh1/BKk1X
RQXLEgQACZ2kicauCDJ17A+9WphN76pS4HTlby7JWC/wOS1MgRUS2zJ4Pw0dQKJTjltH8yw2fPjD
QY984Txx6kAMo1adMSp4O0MMRcJ2aCJSZjp6ojggRetpnJNrqKnyiuHbvVxGDfl/RtCZIwIkEZqC
fZMq5YEHaYjVRk6HAzrCRlPSOPAzqerXfSHU8xI2LMkYZYDzETV4BYUC0KFt67wN5emgaoqjd7kZ
aM2urVWkz8ffhhcw7syaOIXndTgH1dBE2ttPk9rJ+eTzh1zVlVPryZGjFTDetBq7xzydNFMKB96+
r+PfdgQXxMuioqsyeD5oJ5HotdbXAzcdwiIybKVt8cSt8nan1HJu5YoiMD4clfW4nanC45PJqqBh
MH+2tgUudDV2MvNiwB+CKNRM35eLo9FxnaVgu8nuvmrUQ/NfogSd5wHROjw6Fd5rvSQZlRjxBx7L
jLeKmv0UGx0jlyGoCGVvmh4yVWjMROBK575gelbwJhnbd9F5aShYE3F73y+U5Lks9LHJZDqA9d40
StHm9W7Tt8YTqGrMUY4scbh2TWxO0jbM64GE4OEnhRcxntq3j/f96kqKwCOQkXlVNsA6/P2wDV6q
DQxRCQdZkXgT2ywkkWi92pFoyEo7EATNbotKNQGVgzlOYWEaUVc7adjG+F8Gn6R997sMNdlshSbb
py3PHXl+mp6bvu4dLHGqLPCJJtusGoxNVgbFJUODJhmz0XOyNCofdD9vLvcP9+/YCTrBueDjIagx
6NwjX4RiUYstf5CG8aEQyx9NIbGGPVeMFORFioFjA6uxTpM4FGNYtYhohsPkN81RFAfPgj2HH5rY
ssim/hYl8xAlC6if4sl3SyUsTCUFuV0OjgrxkMelTAylGTd1OqWmjCIu4z6siVJhB4qBgXN4DOpl
xGdqHg2IHg6GYqu9WXtunzJu998hJ44M/h7be+BWscbnu8FpshHgWA3pUPFhuReberT5TlHPWSrV
e0QEKlFbtTGVQfVNYxq7gCGfblDCzZt/gKIgesfAgq5SzqoykkqRPEk6CIOjYGM68YzI6uMPTpYt
Y7RrvXDlqSYF3zudn5vZuL1vnes/wFB0XZINqKtRPkNPdclI1fkE5NRqB9+OWxD88+VOk6cXgX8u
hXKbadIh4vQT39ekC2v7/k9Y+cwIvWTcD03WsEGTgr2yhfyxEwB7edo9V4Kc7yIt0WUz8DyhYhz4
ygcXER0IEIPrAprn7x+8l7SoieSGP6S8hEbcSJuwpLSTZUeL6/6l50LPrsUudjItSk1pMnKGsn+7
L1nUJXS4G6IIo6MLfnowcB6siT90tWDslTHsbFh5jZhWTd6zjMsZ6PO3T4E8RRNALyvDU/OU+/IE
jp9KQ+EPYRapG03Ish0aABNH98XuMYm99IHzevmk51rJAHM6sTGbtjSfsygbIji16WhERHK9R/sf
f0hEzMHmxtMYjS85B46ztsc8ovEU5MG1jhRzkkvGV17RGqJ1Hc/J2aHRnjT05WDQOWhd8tkcFJhe
95ZHB+yuJIVWmGHt3jfh/6LrH4GzjS9QUQo9UZRbCDTKnnDlW6zHTi2lJ73ARFVU78Ig3GVlmZFe
ExiyV66PpAkqvi9iMTwIxO+ipziRApUrxYOKFQkWuFsFM047MHMifcYQ9bcrk2VNVrEkEA0lArIO
30WNYRi0UpmJBwfjR+b9I6RrCLO5LP847cPCogWzIoqChyHP8Qgn2dDu9Ew9Tl7yyYf1AxqYLS4u
t0UZnvspsMWPvu9+REZt+zxnezEWuPITmaIvsRxtv1cf7/++lYsrI3RHVDYHnXCB33XXR1UroqER
D4oUmJ2am2H5HmXIYGMa9b6kGfK/B0E4iIUkypbaCZwkWQ9JWmAXnBVphHsMkv3zfSksfSjc5/NQ
5UulFw9x3Fl8d2zUxvGUbWFo1j8QZAgKEF5AeEkHDGpRGvXgVeIhq42HvnqPmsLRe4UoAiOTuqYR
HCgmuTUJXU80taLyf0i7rh25dWX7RQIUSIp6Veju6dZEj8fhRXBUzonS19+l2fee3c0WWphzbdgb
2AamRLJYrLBqVSKExjH53c+SzC3Yj7JiB8MYPSU1N3R17R4gtEQsB8oS1ZDTYVZgmgMloeHTpCsO
oZl/hh8xHG7v28rLTHWMk0bIgavG9Hd41JlN0VKFaWGWar7RBqEz8n68w6y1cLYbpvd2GdPZY0y0
h4ab1d1U9b03wQ29H7nVfbaIOWxs7/WiKbwwWHKDcrybsh/bRQoZoiZV/bbVZxsTgNu9Xg/phrZc
WzMKP0AniO5UnaMp7/KapamJ1xMH6edDcjez4L7r+ruQbXiW1+8DHFiYSgMzapGVkPvMuilX0iUh
7qd663V5uasriizefJpU8SOo9WdDbJjOa+WkmCeBfVO5Cddb7vXIiTVaA9EQ2YBC9lmr2sFNi4Ad
OetnXxmZ+LCKIoqC60Y5xkxglZKpVpDw4eXcwK3r9OIUlaz1BxaVW7bqWimYSghicTgYcKLlgC1p
zJLEqiB+mRPqdiRt92MZfvy+mchycQwNg1JY0ItLpciUJh2iFlIiklM3FcjolH3ON7bsWvUgBdNv
keG2kFmQ+ZhmMy8C0RnE5yKofYSO2k/cfeu5blvDu323r0081BjSkOJjFE6gcbmgNtfmOMkS6itV
l+xplePFUgv1kGe6sZ+SYXqLlH7r9V5bn4EoH+8ssuz8vUh0Zk9EYAZ5UXbUjxsy5G7UJ8lkq8gw
E5u0ZUg3nrFr1TA50iYWbD6MJIKbyzWWxYSR5GNN/TkHlQIf5n7Xt90WW8jaopDetBCKIl9gyDGi
VaXDXAMF65vgnSjnRysND1qib1iltfNC9M4NEK6bGAsjFZdyUnVU73LmxzxunWEg2R3LjPHAgzLC
7E8UA2o+hBtKsrI0C/sG3x0VJapbktaXhInB6gn1U1YNLo8icUKEWNmTZnUbolb8VxOyLIy31hGe
gH3l8rCMiaYNCSzq19zM9mU+KaesSNmBaU3v92YT3hVZ1B8mhRkOGfXklItJ28Kfr7x4JtJeQHES
JDI1aOrlV8RiCIFcLZhvqQWiAnHsSOiR4hvLfFZodql1dshQubCN/JO5GTSs7Tfec76kqQ3kHZZ/
P7sfVWOpYTCr1I9SM7aTNhIuiabIhu9dbez3qijE2qgVYuQ2YpRLUaFQTKXvOfM5i7h6okYrxqdk
ijPdtpRBGBtkMNdXkcNhVTViMZ0R8z39d7ayPMuimrQG85UyCF6bzGz/VCJQN56460UtUuAdUNQK
F1qdy0W1M1NgXVXm6w1vfuiDZewyA+UuO07bfuNCrq4Ifh7mKFkwoTK8vTQVmmVKZvpWF42ggzHa
sdyNJfD+G4/CqiBmMhRzNURZMvhHqzkt2gEnhce6eMsCMz+oilrd334PZGwFgp/ldUNdgCMrgSso
GZg2QcGnZHHgU8wv/mpV6EbmSas8NmMzHPuRqqdQzNqxEMrkJeBn3KWJmu/bPO9fai27IwmoIdU0
yDwzqYM9VwbyXe3S7ktSTdWjGY3MHZou/W2itLhh5ldO3eCEcIKjUFXNWkznmW6ZY4PQP24D38zD
wClDpFNZTj/RbNo48hUbhcsJ7cLbBf+eyiyqvSlQgaV64Hd4vjRbU6PoK8NbnXnIm8S/6pLVryTq
68E12BAVOw5+mLchBdPExpLlbtrltOCgwh2GRqAkLhdzygwNF2oScT/gCRppE1WA5Bl0gi4P012d
mMEB1IuBm+Zw65pRabxuCh7i3Goex2hM77OUv5EmMU4ZDP9GmLpyHHBf4I8tlDVwnyXPQtX6wer6
kPu8Z9MrC1GWLPOwep6RbNm4GtePIqI5jhcemot0vIzY7Poly1VU6f1o5Q7LfxldaDd9amOArR1U
HzYuFno1NdxAhOA6/r5Us8kI256WZn5f8gdmYeTEbDNzY/Lu9d4tJQdkB5FFh52Sk8FYCqprqZ7e
zwUqs7nQfhNtmB0WImd1+75fRQMGUjXIoFhYFCIquYhlpFYBMFWZ3Qd4TB+zNF5Sr5HpZAFNjrg6
w+62vOX5vkgpLEAUypfwG9VB2LLL3YtUMy97VNfvi1wlnyakWdyB9CYI6sY/c9BRoFO62dUiw3rR
VVFsSL+KtiAdjjsS3bAPqE5ID0NfB53RdEN5P6QhuU+KefYqXYh9G3V/UiWKH8tIbZzISrVPt5d9
paGLYDi6BrwJvBVy7c7ocyOcc6u8F/VgzbZhhBUBeCEINXvSUS/a5XPX/EkqMX30FkIwDBQyzYj1
UPeRbmGsJC1GvETVfT8XwJnAo/SgTrHNs7HbuBjXZnGRRVWN6hwWGLCjy7NNaJHomZFX97QeA7do
KsvvBNw0zEDQnuZIjf7yISHHoBMJRpiGsf6kgb7hcHun5fEs8CnwFSbqpCgiwuy80+yePQMjDyNA
GarqftYa9okogK2oVCzoBdPABvTzfTJOxU5Vy/5TTsHmbsdZOj2DayGzZytlx06h5q4LrJ96OBe7
2Zp2gjWKg1696sftb7265u+fiooDCi9ItMnWu4oHaoHUq7pPg4R4mc4fCnjZ+6rgxs/bkq6cB0iC
HUY1UzVU1NylcibKPqnGFFrez5YWuzUbMhsJhnzDDl8bk+V2gcqVcHT6oTZ3qQAxb4M6ZrWBCmiA
8ab1UOjI/jYsf+5aNRkdVnRU3N1e2fUegiDa0OGqLLVNwOouZSIWnzLcaubXZA7nT0Wdgr+pAL6o
fqwERk56HxVHUBZWoVm4z9xSpSVSsNTPXZ9xPx17AK1MVG35PeaMq9SO1ShsP4zWWOBnuFH4CRZe
MTnXVZGmrZWJm36op0ZsBypPMJSCWVG44Zlf7yPBkiBDw/sJ90+6vFCZuUmLmPsCED+HchODJQEV
Sz+NQUTjDUW5VsdLYdIrgAxeRME4jVnNwPfYiKgwEE0k/MPWHqHbMsoQTw3Gm8quOW/LaM4HxfRj
cBXsjbkZYGypNtgxWcjfRhPOAu0IOpoMlm6AjK4NPtxQZLxQiIGzAJdaUssgmZqRRpY/c+FWQ3CK
RQx0QPs6D9q+Vl5va+XKfoJOmDFT1whXr3KVYTeVYwIP0e/rbDLtiaqZ4nScpdaGu3ClJYQsMY4F
Kaq5pIwul0U4hnwOvCp9laWH2MR7jT54xbP0rbrZliDppWY1NzCGpSz9jA2uXvwtx2ezijfeiqtt
w2oQIapUw4ACsIZJsU4QTG0UB6IEbKhLdklZvhZqn29keFeFvMOtkDi3EKFcblkTKZkScLP0+yEG
kJGGffyghkVRfPROLYt5n1GHdAUSetLRUCtDysjipS/COLgbcyt2UFduN6TIeo1XHToNNwagLhWF
XMncRl0OjkaERic2OZWWOj1I2oPEa8xpL8IPmnbIAkwPc7N1JGJwMaWdG9lk0ooG9JSpT7wTTu2a
XefevjlX7sK7ELYU/CwkQAAjuTyeKZuWTIXFTmrCFGBYo+RtJmbxNiAkOtaTFX7tEKseZ2D09qEx
xw43WvJF7Vn4zEST7XuFF3ZDwvZYVFmD2b/kV1laRmuzhIRsw2GQ/dflYylQIIwDG4rnZzmdM98G
8V2Q8Llgp/DNrLwd3WvecD98u70lMnYeABDUppBpICaqA8tEKUmKMU8NzzN+giObO0NuoROyrrUd
INlghg0K4RZTU3udqLmb8Dh9YG0r9krHihApwT44ljqvPUxejR5MjHi9N5W4fO3UsnuxBjEcIFm9
m+coSNymDVW36zQLw0OnnrYeMYHvtiMNiN4NyyX7JliUtWS6uQnMJ/KmkkEBuDqfxcz4iYCKvaz2
mt7eKf33FPmN29u3JUg+I3UCrqM1+WmYT4A2OMZo2Hn8mA5v/4UcPKPIECKrjaLm5SnNetF1MYEc
k06YYc88q4i/V6T2xGzubotaufQID/8VJZkWUH+Uah5xfuqs/inI2ZtZ77rpvqNgMdLHDXu5JUw6
KMVMwXBSYl3gzFNC915pXg7dVm/E2iFZeBA1gPyg5XI8pmd9bAxAfZ+yYcZcDyMv7tqy4Qc+9Q/E
nLSNs1rO4jzqXZQP8A/QD+Co4F1JzpU6GBEmwUHc2FjCTlnRu40eb9FTy7xMiCA0YwGOa6a+KLqM
X0qR80os0Bz6ox5XtRPTMKi8IeqGL204mJgcbY76j3ZsF1s6ZZFwRDv1vaMKvZuctLT6156rReQ2
4RiGNvLqRgh2uzIlBro2p/nnwPLsmYGo3PCKlOgB3KfQ0H6pVWMAoT/1zchdFH0QzsZ6WG9Vxa6M
H9NQElu4OJGbBLpQuli5QcRME6qcAOGvPw+mzQ6q5ijJPmg3rvBVJIuNhIero1D67jjKXYhVy5KC
8z70QcDR7eqH2i5+To17BCPs1vtzpRoA86JwqSNVhuD7Co6tTX0cmJoIfSsBJmfgz0D0H0hDMUys
UOxO+z7UoVsaCSpj+ZcZ/yvBdSf94E3KFnbz6uZdfoopBYk50jVaGY+h3ynHXE3g2tX7TN+bI7dN
pdh/0Ka8CzPxnAEkDuJBSdjYlRONuin04+xLbCjeMP0doteszE6D+HpblOxL4jQx0wWFKxOnuTT1
XFpKpQMRZwt4uK8ltasHR4E+hyl6vC3kyqIwuA8oZ4KzEb4xXMpLIRYFL5lamrHf5Py+D94CLd2P
UY6j2ogsruBJWA4kYS0W3l/4AZKBHCwrCKJcAESmKSdqYjCbgTijq43y01gb0z4VpfAyjYY7Fmrp
k4h4u5sintpjxIc9+nH0Z3UEbL3U4FrX8FyeArj1j31hvJSDZb4AoIxZZ7d3R+YJXkyTheo/ytmL
ow1H+HJ7SIDekXiMEz9C6w2500Jf0DvUe/Mn66hhyM6P9ncQuLvgufiDb74tfPnZF9b3XTYiaNhf
HI6cTWVFELUaChN+nyPn5rSlPz+Ds8JK9mK06w1wylXp8J+V/p80zN+6XOkUA8IOfpPEr5PfUVjf
xdXk6jPZm5TvTAudSNNpSLlbfIEtzcx5Y62r4lEcRicAqoGoFEvia7T/NJNKE1/LB5vUJUBpAcqX
dLDRqmTXqsCzQJ8o/RY2X/qWuFEChN7t/V6xI9b5J0hXodTSlKaUYb+nH2HyZmJGYaC4Q6c6xhbS
auVNQEi1AKdR51vC/MvNjoRJKsTZiR9Mh7H+K4LZDofvOboc9fAzTbdarK8vuY58+WKrCaJg9b11
68z/Hgujyxq9j3wt9gfOHPDxuwUw4TT/eXsLV14gSNIR/gDaBai+HJbwIA71BB60P+yorTv1fYah
1hGzK7fdUNhr64isGWALyMUDBIL6yeUWjkql8pIYGOU66kvHhZ0rn/MtIXIPM+4/pCyTtXBISNLJ
JdlEa2dUEMPYHz3hB0fmvDDiha6CwYfJxsuydkjnohb1PDukJCu6fsggqi7/KIoTPhfWqWs2IrGr
RpVlQQAUcxg1+FyGXHNiydTGZdHGvr6vX4yvqoduPLsxd8/1z0wAJ1l8vq0Ra8d0Lk86prSeqJ70
kFeCcCqr3CxC6WnaSm9em8rLVUn3KaVTmygtpMSzF3s7YJw0r3m2/pCNbKPcB/6uD0uYCYtsIoEr
O+CKGRpmwGiMXpQvppE/qWG5L83ohTfprpotJy5apyFfrbASNu+ax3lS/tboQ1X6w+19XTGYiKAQ
GCK0BiwBy79UlxpudGXmeeKbj9oje+O/mfurdNVD44T4fVvYmmqey1oO+Uw1ZzFV1gK38tviWOlo
aDJ/NnVvj2JrpMuatuA+w0NAwIFgd7GbZ4KyuI7qjI+JzzBkqhhju6eYCJ9s+DxX5eflEqBVAgl/
E78QeVyKWeAAYdHOiY+C83PyxI7AhOYv+cvwqvm1E7hlWtgThp59fBcBljTRToC0P1Kel1IjguFF
MyGJH6q9rcBXQbuzjRzNQDZcrVWrteD9DLQyYoiH7KSaiOM1qGnsf6U7NtnzaXxCtyTGaiMA2rBa
q3p4Lkt6Nas5EVqmQNboLGPyvrf2F3gJ9jI0dNx4oJcNunSIUKQ5W5Z+uYFto+odssOx33rU+69+
OIBTqCgDgYPX6/KHq9qgR2GAHoc26Z5KLQebMhwz9+MqAEzuf4RIK0B0qLFZNHAnaWizqnusjNJO
reew4Rs6sLpXyOKbFsK0a5pOndTCstI+8RMzT+xGSR5VZdyq8qw+9wBfwalYODKBOr7cNFGXVdNk
uK+TPoh9E2l4Jq2Zug0AwihP8F8TiDlQM6WZ1xXC8oLRSjaU4tprQxsQIH6gisBVRgxz+QkI5wXG
k6mwgzHFxEKLnxq0oXuRavyd2oq6Auw1Gzq/ZqUwIgcVY9Tk4XlI5jCYMf04SJeLnFh7JGvmA4Lf
1EkwY2tjcSuGF94NYA7A86EXWy6Ds0rt67EIU1+jf0vsH1wCI22cpZH2tmKuLOlCkHSQYdT3FUmU
xKd65gGjfgxG6oMQw7stZuWdXmJNtL9oS55HNoEhuvSHPE5TPx6t2quCIhztabZ+siRvHRQjIzvh
gWZ3BR9DdPmPmxCo9XX++wHS0c1K3CC4KVO/1dSvuqLue5U+ZpNyCFQ22oKTh4QZX+qwPkx9G9oo
cQI/mdSZkyd95IosV+0YyOQNs7D2VQul7hIOAIAgF6CLElg8sDukftRQ2xSJl80vZkU3MpRryoRy
G6rOSOshSSTFsnViRD0wbMva2/u6/hEZj5oeHywkam6f8tpyDKRIcNDAZqLX5/JKxshDxaqVYTlG
42ngGIW/0NYfLukwtMedSZENdm+YY9Dmqd97DBiIqPistX9K9Fh/vr2aRfWlVwcVKrrAatG8gT68
y9WMxmAlYzNnvqJbhdMMVYmQdPRuC1nbsnMh0mIm2lUkLNXMjzLH8HSw/Hz855tI1yEVhh5wuD+X
i8jDxmhbWuE5aL/q2VuiH5rk720Ra+qFShRiTMyDBI2CFL9odY4x21YNEeFDHryI9K4PXJbf3Zay
dhoAweKxAahApzJLUd0HtBEUFtEo5+oPmtfAfEnR57xheNfiJABj/5UjvdRNW5XKqEWpX33N4A0q
kR1oBehkAlsNO6ep1X2QZ8esqu158jMzeig0snFf117Xi2+QDq1ss74C7RTGmYBB6zeqVuwP/1ad
Gu5GpRc9397YlXcUzcvIvwO5AeyB7HojKoxbOiapXyr+FOePIusc1h7GNPKiaqs1a0XdkUBFqgDl
QDyiMjK/b2ISgsYx9XMx2x37G7aFnZl041KtaCRaeICeRc0fGbR3UtOzaGJQ6mgMmglnyH+qWYey
zA48NDjELTzr6nKQDEZ3GBBrTJUsaxLyvm6Fjme6b2y9DJ15Pk7FFuZxRfWXIurS/bR0NxrSBRvr
Im4T04RZ5QzaGDpq2/wXO4ajR80a2B0CdP2lmcjGNgm7lqV+3fyK5+dhiPE8Y1BG8+m2sq2dDBrz
0DYNVYPjJm0YSwICXLCFpcAPNsYIPEGhY2R7UHVtXOS1o4GhWLCbCPjA73K5IhR6GgE4b+bTHFOj
yBcLTD1m8vHIbjEVC453ITqRMe7pUA9BPrQQwsAlyz0rfNSi+zrbQpcs2yI9RSglLUiupZgEhK20
GHSViDaHnDYN7DhOvaaJ71JWux2a08rwGPX8iEaIDXd3LcSDPHS2QC3wol91j+V9M82jhsfJ15/R
MdDb6r545GBXcfvfQwpI3sahXadHF/zEvwIl9ajUBA1W6SLwVfcyV/k8e4Vn3N3WwTUhCzoNaDgE
SWgrvNzMlM5qng9T5s/aUyps09Er4P12v0n15bagNTtO8SoifwicP/K90q1KEo7p2YORoVnFzj1e
vKS7LLXNt/lPmDrTVs1i7W6dS5M0vlCrWkHeFMo4hECV/yRhbw9q62wnR5efJKvjuaTFYJ3Z17kM
tYgqBDvYn2YzO4jveBqL0euYU6bOkJ7iZNdWbl8f093tLV15rC52dLn1Z5IrZhi5sHR0Nd1XkS+8
9nfb2/zn/0+IdNuGcJ7j0MSxiXb/PfmRfptLJ3i5LWPNPKERGqEznH9AVmQZahP11pTlftslv0s0
37QzuplY6/7/xEhPh9KqIpqUPPerlh6KIrqbs+m7SZItt2ltOXAB38HqiDJkQwioW2AUc5r7I7qg
7R7tNbt0DJdCA93Kpq29hng/AHJaeBXhml+qAFAjAEBpRe5bRsIcLUCjLsOUjtv7tnKXALlHRAYc
KRJDsgchwsayMNMFBreNnYiCSKDVHZRGgYnbkLSWWUYnMIyehuI9ijTStTV5zbOei8xP+mPfRjbt
HvTsS13u+wrIi1/qcJzin3n4A6XnWqPO1G25F6trXUh8kMxZeHSkECQJmtIQI9S9VA8mgrYq3o1B
vAysub2nKzVVhISoqcD9A3ANPZOXJxe14HbEnxxjmY0dcWb3Z34U9h/bQN66wCzJFOWVDZErynIh
UlKWOQ2nlIxxjqrHsFOPo6d6sR119pN2rO/EHtPdNySuXAQIRPe4hWAImI/lg84MlKaV1BpUmMYg
y/cl+MBQnVKip9vLWrGC4GchC3nccl4y81DPKvR9dEHmpwZB6+5+zjAiwnjugjel3UiZrzyWcGvB
3EHQfwKeJ8ngdjXwOTTFbStAfmMPeZiAEjDJ9/lExF3VI57M0YN5H6MD87/YSfRigVkNaVkkFKRn
GskaXc/xyzeJPwx/ej8ZPg4gQbsZ8Oqo8UMvQZx2eVjGEJRVFEaR33c/K8DwVYpWyP6Yo3XVQiH6
9qGtaAYysgCOAP+2tJdJ9xwcZi1T5in256hyivrYhsRupo1gbuUuwzuECw0AL8JxOS8Lks9cTylB
PYw853PvqvQvs1DT+Dh6ZOnz+leOpBaxGcExJCiHmfSFBabbKz+S8gWg7g2bsaLpsPFI/i+mEToo
OYRco6IBbW3sg/LU4wgY3JhqKM1rcD7z9Ps8VNrGMa3u4H8kAjN8qROk1YwKfQexX5mZQxD+68lL
AY5VpmYba1tViDNJsjnMqqTQigAlxTYAlGpUsUD2Q/TmRpCyJUeygVZfi4UyMPbzGhU8I3FpjjBy
ixhkuSuSTwhHBukZAuggEnTSXUL/WpBSXgBE0VCxt7T0MBjjVpi6LgTIRDTrAJUoH046tlQdE2Sz
UIWdWfjXTKfft2/pir3DMv6VIB3KEIZpn2mQkKqtl5EfYPB1GtU8KNo9eAtchHbObYFrS0IkjKr8
e4gvEyT0VoIWYAaBKPU+FmBGUKfm7baIawUwltcWQKYFooHNu1RpcP4EQsthw5WKO2WU2l33U2zV
Rq43bhECariFDRjYdEnI0Jrp3CNP7pdVsMss+pAYn2NGTpEQj1Hega7FPNxe1vVNBbQfDwRquTBG
sKmXy2oChVjAcOc+mrTtAQ+ReAr565B82CBcipGuD+mtrFP6MvfRQQB+ZbN/mKsHtoWS21qM9DrE
VdBFTVHhnWVeltHYjltkGPM6sxvrz+19u7apWNBSWEL1zkSZWFqQbikZT9QxByLoMYirtw7cNpVo
sSxgaCPm3pa2phegGkACHY40CqCSXgRqr8ArhCcdJajsx0iOKeKtxnTSuun+ot9pOylzpe7L7UXJ
DN7s0qQos+cpodlhTG/V+yRLGrcFRNMFU1d5MHqxxRW0Igq+A5gbgFuAAy+HCSawVeUUaYOfxgG5
z0X2VSShvptN2u9vb+OVmcCTDljEQvGxtDLJmcYmYLpS18Pgo6TqKmblRtlGWmR5Si8M+KUEGRuR
BxlrmwprwW1V7L5Xew8Sm91cpN0B4L3EUdRG3xHaWq5Ihfb59gKvk02LfDzxqJsC+EplZo+Il1oB
J3Twh19EfybOnWbaIE8BxhPMmU6DmUK3BV4p5rs8pDEQc6G4I/c58bxkac2xXtE65Z8IaCjw0Pfu
rGw881fXTZKz6NBZRDDUQYSWTx1yxC6ktW3qr6HbGA/6ZlF+VRvNf1ckXTWjJ4keWFgRNL5+A7Hs
XfzH8jq78WLMqFbddLdxZltLW/79bGlhGEf1AACFfz//eopc7fhh/NGyd2D/RuYTVWM8YZcC4LGH
7Vhj7+ZfZezMTqm73m0tuLK7kgTJGJYVMo75ogUtO2WgNQ1aCmpTMCT/ui3nOsyXBEkGHt3bvV5T
A9crfklaN26eCLG7gx8MdpXZmA3xRRj7lP7eonnaFLxYlrNDqmgdzlkIwfRRtypbdcZdVDtfxp2h
HujxW/Ojsjf2dFUPz05t+fcziXNXp1qk4dQ69S017kn4lhkbtC9bIiRVL4NYneKEYDeNp0H8HPl9
aXzfOLHF078yiGfLkLQbuMU5zxflS6PcBe2XFTnka9XaqYvGsGIf6BuGYs3EgxERDenwnxGTSmsC
S3pigHt18NVY2GqAx9ioNkSsbdu5CGlJbYR26iSMR18X9njHTvHGY7+1hMXmnp08hjEUkIEldMl3
vXtMhpeNM9kSIMWDkaEpbU2i0Q+Qfaju0DhQRw/Gj/F1uOcP6ulz/Jg42fNtoRubJlO8Z10I6KwZ
jn5W1G6p1U4JfGLBNnBbq1LAtwGiwyXbwpd/P9u6Kgb3QFbgaALh6DaAAM1GoLH23oFk6j8CJPUC
ic6YtV06+sVvYDechL62+X4YvCbek61SxKrRQYiGuSAcxT6Qw1yuJiqyQAeT0OhP2nd1oSHfIUOF
CYsYA8Ud8h2HtLG6Ne/lPwKXHmlJ4JCKrjEXgU5lOGrsmD87sLSMGC2DDNmGmq9v5f+uDsKunqU+
HXlSjkhkTn8t2xZ/f3xcG0CEhBgX/Rhwj2UfnffmiGY26FzVPBfJaxbdT8nrbbVeWcSFCOlBKsuq
MlOQnfq69q3MfuO61uVji/7/J63cuLYrj+yFqOVWn+m23lfoOsaIFz/PWiQ6fhj8m8AEEW0rBl2X
g2IvSrHvMy4u5SzGbRwM3CGogDVyp+BI5GEyDLG2NGDF88GK/pUkGbqFAUObTFymrkycFPN6SKF4
qeEogbDZxu6t2DyQRnOkVNBAbQHLc7mqUJ30iVfZCIx7bxdktkdkv27rwurGYXbPexgNPkPJ+FDN
mLu0gkKP6jGvwx0oE23CDkTkh9uC1vYNCWtUlNEFg7q8pAm8FnQkWS/Q9N/bsbjLqi+8+Lbk17T+
4/490uMozy/zIxYcyOW2ZWUyxrFRCuDkh9dWsQvNq2oHeJP0w9AkEOmdS5IWpSdlOKqkFT4mHoCJ
ykgip2+KrUD6upq8iAHUAH9QOYRjfLkg0D2FJo0H4XeGU/mqF5R7VTkIZs/Zvr4rt7pz1+zDuThJ
7Uaem6UicFSRkZ7Yb0UP3Xj6ooeepu2BMt5osFh5/i4WJ53WhLykJVIsjg6Jm5eqnQfPwwe5DwFS
Q0EPrxLwwgDSoJ3jcgcTSxFF0s7iFciu6NWgBbnjIdsqXEgbdyVFevuKNMpiI9PEK/2ajHtQqYwa
aBZfUvJDGb/evk5yQ4MsS+6eY0lj5EoLWaniK/k3noOU7Dv7rhd+jKpaN9hRekgeSvFJnx4Q2W5V
u2S03D/yUYwFiRUi96viZRTz2gDnm8BYXh3Mcm4+eDY45uhdco+uX757u73edxzSmU9+JU+6agUr
zBiHLF7JPus+0dkdDtO0q/Z/C9Tyiv14mH7izyHeTfhbucv27tYwz/cxhLc+QbKVw5JzainG+nD1
W8YfOzT5lMXglcmhRctqcjLReDFq8WOfdm5TfmPdjwmgvbm4Q8HQ4eUpjf6UtccwbFCcuqqDd/Iy
F/u0pQ9cwbxDPjqV8tR29V3HtOOIoeXTRj1gXWmAWOLI+gN/IFv7oGOs7yNTvGK6hOoE++V3c2fs
lv9Gjmh2Qt9HR/f20UmW/5+TAyTvnaUWJR3JelWThR5LXRGvAjA34lZljYJOOJHYHsHk7AbmNIPz
DU3rt8Wua8yZXMmMiTrsGEmZeG11RPeDGxfjjsI/IMETCjwpSXej8kWr9uFw31t3YwgCMMuOdZuN
1I3Y1zwF6peOThzcK8Wp3Pg6uWHnn10xUckFKyZD0Ce5rRnH8K15wFE0JLFZ/DurHpDfyziqTnfg
KDJHxW6OwWbRQWZN/UcuWJHQyoLqLjLol5YwUwiaUEOcBo2GXcLA/gKmERZMdsULN7AmOwwzjL3z
lODUIGeg3VfVK7IWGjgg5j6289k4mSF4vZ6m8liBWfn2oa1tC6IggM6QVgVTiOzyDGwsWFDx/rUR
DzlGF1XxC3RVkNhJhwJzAl/Dyh4nn264DCs6ihYtA3yAaGsBbZC8K2ZdYEqaMrzO6lurlfuZ7duy
3oki94zxYwHLcgKQBeIy8JSgtCMDBSwrR6sD4RjTLh4rEtnD+JYqO6YjK39Crwx52dhSKZvxj7wF
Pwo4C3jnZHrTgSgFnTEr/nVK+/KTEKHuVZCLFm/iqGgT8owMg2xiHOYnPRzNY1ZgfuXtb1h5GEHS
CwAQmDQR2BDJeFcky/QmtobXFx7pyDATW0UTpfI7mxsn2+qqfS84SnYaEGBgkmDjVFBJStKy2eqV
Imfja8qm4mEmVHnJzE7B9MI0ZKBQ6cqj6KHxRtVMbtiBbblA3b+YrN6Lp1n3lZljyCIzJmcKQLIF
97ja9WbCnb6r+1Mf88+YG2m4pj4xZzbB+D0EVeHUFowZhtx2noHRn43WVnulj7SdMmLuJ5k6Yveg
w9oRdUIquO0N2Btq1POGiV9TZNg8cMihBgJAr6TIIlLrMM5TpEWy4gv415+J8tMcn4f6oTU+3z5U
OW//rlgADANxgPoiRo1JnlvGuxHcLOX4SgLPIneYVXpnaZi3FVV2Nf4dQDoINNiXqR2d3FSAKt4q
o8uwov/9ALjFGK+LYqCMsqyGPpxNpR5fa7ILBN/3dbRbRsBWpQvyw1Mz3xXxMUcln5Ffav+p7EFw
XGOi8fS1SMKn27uxpuIMfM6YVYmpDggDL+0qLWY6EFqNr0rwve5/TdZjWtnN/3D2XT2OI0uzv4gA
vXktWrmWultsMy9EmxmSRe/Nr7/B3vvtkSgeEXOwwOwAAyhZNrMyIyNkomQPqwH6LOXxz7hReEIt
HMBtIKqvbYFsLOmCtOnOfE0/AcMkkSIjBguP8lfL5DoUgBt+BQ20vNgXNmfe1C97Ps/4tjsLHvMl
qDb17CyHC/W3WVzZgLcYQwM2Ha4nXjoafL2Klpu9E/7/oDHFU6mZBYv09aDHvAabJVd350TciXRT
NHspPkTNEWq9tRn2eoYunTLfcRRX6Gikh3GNiWlxhdFI838fMDtaZZMU4jDtNiFgTClOSC+llncS
QR7egFpMScWVGH9txNMHXSRP4MJlSmUsMx24h56rNkWi7aVmLf+46HNxgP8d2OzZwnSQUNMoZnZg
KoeLCoPFqzyXNyHTE8jYIVsz6b0FFpVIItn3j81/2Vf/Gp/nWL2eV7pBxCDr2DrIsp6byLarb+bo
PlfOStC1vIJQRoSrnyQbZnuY8Uok2SvYUpL3gnXq6DkFvnN4ErwXbcXU8qROxIPCZA3vzuvFCwO/
50O27M5d+rsLDzKYqj283lMD7WvIhWWe9Ser//wvk4lOLPBVT+T4N9FTVqds3eKQNvBdKuh2LAnP
pRxayzqjkVZy1KbeNLUT/L5v+Ieq+MblXhieuQLoValxJnU4nOOGC55AVemOLOAmOe5A3IPBpF+c
UcKGELPzIZOx6bpDXquOhuCuq6kOWdINFc9BcSrYZ95rQH9sI9fVI6nW8C2JREdtV16U031x75Nn
UUJVdHXfZJgrcAvFGxUZNr9zamatZ3FpapBWA8vlxKmJcG92bwV9lzUjxCrOVDtIVmCmjS5UOUle
PMmWfchbGzF4AcA8HH9WrlaemRSND6NHMs078cwBL3g5O4DIbFsCe3LqR7sTnB7v+/sruHA0gN9h
0QQEjnW8RmZfiU7kgMuZaTbsZNz23qMkbCCCbgzisZDWGA6XjUGYAHTD8JbzPgwvHPuISSScwxQE
yI4vdFAmIHL0xaIHP23pSvS5sNIY23/Mze43QMY5ULmL3Vkj5d6zLWX4nybvXwNzAAXtJQla42x3
zuNKL1jZHNIPf+vb0oget26NmH7amLONezmcn5vnwi0UTN6J1YDh7CTSrkzVD27l3o/PrkgxF+oo
bfHjPH32AITjlQr5FnGT+oVRirVR1UemJkq9UXFSvJ4FUZMIJE95LL1yy4f1IRrWUtTz9Ofk+TFg
9NkBnYdepHk7LviXeR/9a9ibbHbSFC9/CIZ4UpCveUVXuyF6bznpN4J7ZSvRqkyJ1KR/Cbz+5xvQ
J4kPAPoVWlDX13kr5o0WCNiyefEY8E+opUMaXPZ9XeRXnqJLHnEid/nX1CzOoEWfaaUg43QUyrFI
nfqtQD50CKs9y2zDr1Iy6MEDD4u3pgK/uLHwcvjJDqC4NbsRhcjzypJjYLjJVMJoHbSKe1qvbbGF
sGZ69v5rZvr3i/1b9WlOB9XrzuzgqOFgtdUu0/u8JM2739hlc2x26khATRQPIJ9MP7iVCf5pXrvZ
4xcfMFvLOudoGUsBksGb3mrPkN8ISWQ2dqXXp6NkCdYvhozGgbJkMB7a2Kn13q51vCIy5/H+rbt8
3EQR3eZgQgZsbRYl+N6QNKgmISEXP/TQKQcGhQWZaGnE5RulNuI/UolPxVtd1UQYdW980JqnWm+8
9/sfMifk/Gd/X3zI7ElRRFk2JmGGtNCxzcgb5p97qhKnViBOYCdQFo2xIk8K1Vu8W/luP0ZPXGnV
o15FjVEXFhhAomOADtX0L+mk/vkyZO/xwJsSzXMi7wohsKaGYX8W2uwt1Irvod4Fycf98U9n6mZL
oB9ropQHY/T8caEK9SBxFOuQ9hyDrC7Ikz02NOQyNTOvBuPlGn5w8axNhUTgpuFw52ctRcWjSxra
n0H2QbdCNUYfQ0DTlX7yxaN2YWV21HpN8GKFKzB3USPuIVrs73IhCKxMqrXn+zP4IyV0M4UorSDY
0SBxPqdIURs2LcMaU4h4qrVqa9jyNm+jad5lrMDO37BbrP7LoBt2W5nDcMxsf/8abQZL+9VY/iY3
G4uzOyv9E3xIil41G/zZms+hFetrAcFScK7hof7vt85uAPCzAlGQ4wagfECygfQcsgLeAZo/Ec8T
tXA8/6k+/C+ZuCuzs5vdAx9HKNfYykx+CNlfmffcChs1PUqAgSWnnMMtc39RFtf/YpyzF2QWqVwU
qHF/Vtpw2GZ9X5pZ05YbWQ3Xuq6XkjEYHFJYkzojzulscCVYnhM/LPtzZnbb2uLt9MQZzJf8PK0u
aPH3spXalXN/gIvn9sLobIAt009tCSnuT6bzdlAEC/W8zMR9WQUSCTLBJwAAKyvh3rKHvrA6CygT
sOmpaYCh8l1m9o5Uj4A2H0sHemplegDzEe8hq2syydqtsbye/87x/FHJNYg0PVS2z6xUH3m8G1Bg
Uplu5TL8L8fjP2bmziCGUlxT5yh0aUjznyJN1Vt2G3qEV7799zYNiMI9M2ux51JpAml/fuKSROu0
NAeMJx4fcQ1o9M4h6/iJpivImdYhFHNDA5fxRupHvfYswJPtMvUNIJAMkTtV6btWfRTKhvnwmT98
vwPnmi6La0+WpdLZ1cfNtjdXMm0aCThKiWf61K6ax5qeVdEYuk2C1gAd4uWZIUU72qikBsWR9veJ
3Sv7s53OhBr0rRksfZ76emgm2T5SzDovdSVfq/8vvpfgdwVI1IGBaS4axwhp24olvIYnvvGDIzfv
MgO2Hfv+0f0vy/0fM7Nw05P9dJzAE2fKWCJoGlAKEdXnOjmi1ccs0KyEkIcHVEQ1Yuw1CRtCBVwt
Q/yRKA6bHXsmJ3G446JW50Nu5YyvzcHMc4aMWKh8W/dncMTpYhToqWdJTPbYrBIgLl+cF9M9c0a9
lyktxzbwClFm0XAfaQ9FQd9z7aRRJ/Xz3ci+C+NTwm5p7XhNY4D3csuo+0JbA6wvDRp0BXAYkxTl
jZpvqAZ1L2UDrhel6D/EsJ3siL3R5zK3b5NEWpvladPOY4ZLg8LsKVBrIg0KgAj8h0o+CWxNQITb
hFaYbRN+rVyw5CtQWmRB6jyxJM4ZSNShFvg+83CCP/zsswo2LOjCm0Kxu8/7O3vJEGrsSPbwGlqC
511XHiN16sRkdu6LwhhzXGJM4+Zl54xZeFTFtdt6ob4HlBOSmpDfm/SlZjfDEOF97rUojY6ZYkeN
2/UJRNpaXW22grbTcm4rhH+09C+7Wn/i8kuzMyfoc7UQSYEynEMwhFTbsHiL1jgflrbHhYl5jXyU
+iFLGWgyttVb1x7LsofenhXGIlGjcxmtedeldUPWlAMKAYgMcABc70Ym9AqByZjhXAdI40R49imP
fOOoXeMEqBT+7SZB4z2o33D/odgNpb1rY75a9jQIoIIpArBSWi3/IfzKeKJEK37j9kxf25kfMTWi
cejDDqNta+XXqLzl6AV9uj+Y29fMtZHZVV63MQQYKZAxQDoUOi967JbJBta6b2Xh4Q4zEE+bqj/I
ps7T2xA7HNgWUPmz1HN6r34i+ul5cNKaI2P4FaRF2k32xoffzPCSSDtl+B6QQcgDxpCAGihE6gT1
VxD+FgFtGLapmju8uOEzw4en6ZoOShMr03K7f6+/dzb3QIuHktIBdZZkp2F8rJ3KaGWCVhbZX0EN
r1maLUACoAraZWCpVDaBuomkwoz8V/Tl6SxlgdZYwewtYGswMjgIpMPQX4ou7evdi0ExQdRrGFkU
H4Q2cKrcLNvnXuhJ0TXPKdiCVKurWNJFIwGohIqsjgZbEnp2zW6aVufSD5qCj7BDSWnDrzWp38bJ
Mq551D/AAaaiPDz7vK4FTWpf8QPqIJxnqmUxkCgHv3Ab0d8re3LhfE0uRQESDtzQN7xWQsapFWA+
/Fks4aJ7nUOvV2Yqw7MmPUHqJi+OrRyQiHkufQldkETKHnPmsQbMKPxDpR0N6Feifivoe4Nmd/MG
EUqm8a2sXtkgK5851wnxuRxXmCfy51aMeAuUtGatFOEWCdfoFAz1WjvID6fBtWeH/wPAZaIynYpt
sycEKNjiJAKW9bzLCNJpBTnK+ufnp6h/nvavr6/v7+8PDx9bFyk28qcjsf7918sC+8jjoL9v4tmZ
t4LmgSx3oGmVzsEeOAsi270lWWBEOvh2aNc7wfYs4SmxR0fecGZ2lE3WViiJt9Rdpe2+9c+TCpky
8a9DduOmdT3UfFWOoXl2lgBMIFYNwSkf5FbMe+WsQRQXUuUoa8KfgIFkggrPlWe4gCph2Sjymd0G
75o1OiB1eUhNGRzh9yeYm9z7fIEnuh3QS6Jn5SYtN7ACFYZGk88ZOQ46mMH1t6NPfoukME77921A
OvJy3+QPduXGJNqkwCEzxW9zUjIFrRE5uMjls7E7lKfz0fplHYxYH3QtJJ/W5ojWaXK2CK6Vp+rk
OI7ubE3TJhSDNx53K3514UGIqb74mln8E4wom7NZLp8VEppZa1QugHzhmTq6Xuz7bYxs0nYN2rRm
VJjli7GjIUTbYwrw4HzRfw2fRWwKr8J+fICiWftSQ0n62X9emffJTd2Z9zmAkw0pnuBBgXk3Dsav
w9E6HlPDOgY6Q34V5HOadCuB2hzJNuWDgXl/pkT/4El2dB6lU0OclY0w15VB6DlNPYhh8ErRJm68
a+9TprHsD30ln71D83Swyn0cWvtX3tJMG30/Ovf7EfjOP8NWWYMnLm76C8PTLXtRuoAKENLDPAyP
nMHr2UF7Llu7iPD+t2rh7f60L2SZMEoQRP30RYtoCbo21oO+IwvZGicsIeO+1dxuBHnHqfcP3qsS
6vQpgPDYytTehsCABkPiCYxQaDOADtG1TRARM13Y++o5x4pKppvbmbMyrFvffG1iCmUu5jANoaTc
eZ5yZm1xC8CtSa3QZPSWvL6imuaIzioUY83i7KQCiNAIsc8o595ojU73Heah3EUu98QbmYUN6qQH
b+V6/KlKzM4MiFwB9NQgMQzOhdkWlbli4P24wijBkd/uAl0zC/0zMMBXrscE5X8rs1LyVNjFtrCr
A9AQ1jQHie0T1nqKjdChRk9Okl0SatJHsGSTiExf3+BvuR0aMWH0V8AX9W4nbeIDs6l13/L0YFOA
J/+ZsdSVES3ujIsBzXajnJRJyCilcjZyy390s+NaH99PgWA2ZUCkq6BnBEHopEh7vTEUlOnrpFWU
c22IurDzTsxTblELM2aOTvQrMEbH31Y291pZJVF3mRXsAlLbtR1hEb0nHvMAcm/He+jW/erCFYha
DV4vwFYu0D1QtQ1TNQ7VM1TmzMb8VW4Ua9zzJvHPcah7r/fPyEJqDNiIC3OzMwJzSTymVD03JvrT
Ac23FBN5IKKZH5kRWtQOTMTURDHu2503b04X65Xd2UnxvSoQSwHDlG11W2+yh5D0pAWNwGuxae32
wTPvG1y4T3/Q1hpEK8BKMu/dHEsIcdO4V8+eTQ3BqXdYWIt1ipU7Z83MLBgVIBqGrCnMIAx0+o3/
qNnUyXXl/f5oFqq50GYBePz/hjN7dsSQeFaKrlPPb+kGDThW9AhE7JN/kPej3UAhQ4GLRFLznVsz
PP3w/OiAeQ666WilAl/rbIAyQvkslgb1XO+Lrfwhb2OjNEVDsYfn6Es63R/mtPnmxiC9gOyFCMyv
MmffYalXcF0baGehMEOR4IZCEc1He8CaPsdSNIvs838szebTr4UAYnhUO2uB2elSAFzrvhKMqHmW
zY7T+ZWQbrrCbgcmQ90C7EK4tqdtdOGZKrSu1GOSaud0T5/lZ95Ykzxbnrl/Dcyr/RAS5AZvMiAf
GAfI8Cd/z1riymZfnjU8NKCVJYElcJ6+ByhFU1q50M7igf0otvx3+QdEZib/xK+8KRctIUqYwDlo
UkUS63rCmsQTG6XutDPoM4on+qVAPs1CMRPszuOHsrLtFi+nS2uzHEcdyW0oeY2G9NwEF0OTTPbo
P3KHcqc8sJFe/oL0JJ+QtRf+guObQqF/Bznz5BQNzB7Pwax2BK/Bs/jN/W7W2I+XLqhLGzPnqmW5
woVRqyGgDVrSfaAj7Fj+yax6hTxjodagwoej9wevUTQezWEHXOhBhSlJvbMRVSQ+de6GPw2GLunV
njO34TF2798VC4kiGASAi0MuBk3GcxbJmG1TRq1hkN0qpLADPEmlXQP/GaAqDJ55wlsJMACCDsFS
vdl1n6ssKItze/EFs7mF9rAPMSt8QWmgoeuRKGZgCZ+VLW9eH3gD5B7vsUvtNXHF27sEOIipeAZM
CZibxNlDbVDLhAMZlHdW2NHy+E1RctvxD1N31v0JXrIDtXTMLZgSJ4mE6yNYykVVNXnFnFkt3yIO
/SpGX3FA+daaOd+zKwHC9GtXN6SI5AKHLAZeCGCjmjePDUIEmY884s8xg0s46srUyKDOYPJCI6zE
m+LNuiEND8o6lKOgnjUhaK9HxgeAxwyjIJ2Z8YErtmy+U+km14iCTjSPefW87xBKJvTAAmbiP4/9
ScqIxLuI0nRFsPtv1v9oHMV7zmN9dDlUsPH/3+VHljma+tyVOoueJ3839FAc8yzPN5rKqNG8IEM6
Cfx/CWleo5jUrSkXCMwT1MDcPtoJ/gpC58YlYJRwoYgrJ2HDG58jQp4lSacXZRqonllUA4ROFaQR
KYgTzDikhRPwuW8WzeCt7Jwly6o4Mf9DgwZkx9POuvB2otSDHZAp5bPcM+jr7sEv7wt8vql6THIo
aYmtVFH6KGnDWqF/aWmnDiUkZhEqodgy8xsdUxY+FBRkwG+Ak+AI40FjI9pKqStwJD8kgdVkWxCl
y/Qw+luqHlMt0gvuwHY6yzkBo48gS/7Uht04WlVJfPnENUBj5r9434lUUwBVc2Ux2Uv8JywOSe2h
h9Nu4ncfEvESaSJd3fFv6VYSH1l1tEJKvM4q1b2Av90/nLdx/M8OBquZhNQfmgtnA5VFcJbWI9Jx
kLI94f1UAnsMLsmmyH0nr+rBKNuYN6JSaDeFVD3WsQyurqF49uWkMXjOU3VJ84wuSf8k0wihF5Pp
tZAoIeGFRCAF+PBImyr95v533wJAJqydBmQa4lkMYR5PCgHfyaOvxq5QqfEGFH/JA8/ImyCGvkEI
AHvbQzFP8HpLy3HWEBLnlpTQvxW3xnWlSBJkivEYnDLJ88utzQCUp+XonXMKKYeayx4pjqxYdgQU
JqTASkZyfQqUl5BbuX1uky8wreLlDqpxiGKw81hQ9GShYEvWd5PM9jpdcDrOalm7q43Q7eot4JiS
91tc7bKaNsT1BQuzGDNkc/AOluaSLHKUCWxUpb5LG001WQblos5jPXPI2sCuQg6ivG1VOWPgiVs+
YFoLfSWkoWNuqBBuN7WuqNfCyZu3hQhGFV6ToO0KfRBE/bN7oq3Bu04r3y0jEZk2WukyG0n6JJZt
lUI2WA0ghUZUF6qt+ewITbQqteqQ0o068GsIhdskAb4GZPMoq0O4BlfHzN/5lA1zUGz4LvesBnoS
HYY/LIi5Rh0NpRTvLNHoOjMNTcE7cqJZ+RagOZlYEDY5xtkXv+fR/507CfS2YkJRHfseWlui20wy
FW4nCYamvSiuL+oKszaPU3g6W9opWYneHPhpEFtP/u7ivk0kiDNkSYcd9eLJJPDx3hX2yWOjPBSi
Rqr6Let+Dzs62ok8rtxDPxnaG9t4faJChT/BJHJtexA6HtoGue/y6gMuD8/wnwYG0DgS5NtG1fnW
icRTLVmsZ/BG+RE/sk/di2gOvSHRHacrpsgT4SSdE9XoPKNlTA38+2uXzq3Dx9JefOTcITWFpARF
5rugS9SOTGX3gikoW/8goW5YHzlT3EFX/k3wHeWRwa1fGpzOSivL9FMYmk0VmBFwCicQ64TfuJ4q
AZ2hXSOpvlt1kZk9DsVLWpi9b3uZLnu/a2bf5nbRvKcjJYK4D4avkjVkzlaAC+olwqU2cgytCX1E
KGsTNjfj1hAZexzQmvAQxyb1ThDKEEuTiZxGI1xsSo/CNyqk3rP2VNNNCSqJGsld5rcoPwagIGi4
Q7Md63dFIz1kXsNN+BwNkGNJt7W0huH8oT2/N/hZHkFkklZMINTkyodKttDsSKr+KfQPWqtH25C+
FgVJnSR6RUsTnDaa89/TE82cSDLGYO/Xliy98r0xfMv+xmeeRCDDs60yGA1ubK06yl5MhPIJtw1J
exdt6MPUPaKH3UmRLfDZK788caO0bhxtivQIlGEwaZDvZcUSx0Oa72LgSkPSMhtf1XMUjrOXtDRy
xSz6XWmHymP+hiaV+55wwYOj0CQDoI8QDbkVaZYQH5Sq9llG9t06suRCBza+8Ddgwm8NgLViwoe2
WuvDIavRrmai/a3SU/RzbWVVl4eDuCbqseSWrj5nCuouLpE4hZhRV3m+OxwSEW2/VhUZHYroAUuy
4KUedFE0RTYyVH6NTmPhdF5Znl1fTcz3YyIyvsukJEli8BzlulYpRJItMCuVaULQcb4y+7dPfsTG
iP5x2U8cwqCnuh4u2rsFsSz9wK3ZBwaeh479IfBVUuXAU6QTTaIZVQMBc9KWQ9DcqjiOwbDR1FVa
u5t3Fr5E+KcRacqvzVuuE5rzhdgIgZupUgeSvlB7kBq+t4tW4fRuqNJ9pcTqOeO6k1+z9S7V/N7I
kgGkYAHHv2Vyo+kDG0cGX3DZd854a1Dv26c9vhDCpFAZ4EGCB/q967lCP5ISJlUQuo0nOGVIDU0p
dUDZK8XOKytoWrNiNiltoST3RJmXuNxrpRUpgCt/3j8zt0VKFLvBvIWwEAunKvLsIpdzURjkJItc
2Y4AaeJeFWs44LKKRJ33NrzklIR/j46gCnLvW74FCE2WoeYrwMMCwijNYpUWWAy+0oLYlYuHVLNK
H5w8ThadFM8V5C+qHJKKeGi3YB9q2azUykg99i3nzz0YA4J0ktLIADR961ggq2NPV/NwC1PQAqx1
QfoOVHDFBCsPwJv00uyTp7Dh4kRzYiwyiLsil5cTwe1xDVm0qyqgeGJIiJQ01cU+C1Z87cJuRhEO
kQj0NZDEnWcnmBQY35AtY7cEJGJfrZHbTFtt5kaufn7mRkK+K4FTx89zw4MyvHTfirDNH1pVX0vs
/9SEri0hC4F+HYCRkPtGjul69pQy8TIhiGJ3iMetTw/isOVK5eA1+8ItRtHssvd8cFodsYXBiN75
/n67TYAivQOEC7hcIDrIQZn92nzCM2LjBV7gltxEg0U7Eg3o+LTa+JCWlCSlza71rtzul2uTs8MV
D+CK4lotcCcxkYhvSCxwaMB6H0fpN4Mk0/0RTgOYzS+SuwpqXiALAqXe7ED1SdaDqVIJXSHoYiNo
xoqwGasznRLp9y3dFvUxl5CFBLJPE3BrzCP7rKj8nlModbN0N8iPfjuC9ge9ZvxvZHSkD/CVxqlZ
WBwl3V5Wj1ptjQfw85CmIim/i9YquLcAF3wPeCORQgf79CRceL22Sp1TyjMxdWvm0E30EryeME/S
o2cxI8nTTXJUUZIcSHUSXE0+lb3j50jzQVYuXZma27rS9Cki0geAi04E6bPzlLN9UmbgynJL8TvP
z235WDEnIYEkVGD6IZE9NPVTV+oNAbVicetBrg/hJd/wUKY07y/T0vabLgzgL1H7gbO5npUoK/qO
gxKH2wgCwiGtSe1SoDVwudnoUKWIDQQJa++XJaMgZwKnD9YCnmVmVIqqgEuCMHLjQFUdsa3YTde8
c3W7AwppxBOPaisvpoUMyA9/AlYeAuMTV8T1OIfCgzjHgFkdxS9x2AwKB00GvDfEiiTPPYLxKjS5
xlTXYMFLB04Cbw9a8NkpOzYLs/iuySke4dRV5HY8cGA4iRL0utTluHJ3TX5lfrIVEFBxSLCAxG/e
bCM0HTsoahAhwQH5IyHE5bXiZJYuZ/7SxLSsF67Nw92MLn8auUHFEU6NSDMibv8WAF14YdP3QSDQ
lKqiPe1Jv1KaWtoxl6ZnwZDsCxrCoSJy1VxSQM3SMzqNOUCScgXPXSVTQTuVJPbfnw0FL3z0LslA
PM4jsDEIuJHVqsitB4qG2bMnFEYg+Drtc5zHZG2L3nrZSRxJRMAjAScETz6b3qyNgjHDGNGuyllZ
p/JQUe+L7ciNTxA9n5QclMjwEas6XJMDGUbRqisGTWjUTAkqBHVMzQgYe6up5G+FDgKorZhwl4z8
akv7dEHdbDaUm5DoRnsXCHSuP7UGMUaejByWI9k1EtKuaNUjqvBQQQ9u3KI1la3saI2vZ3H/YYrA
qw4FM2Q+Zjc4m0mDIA5S5GpJZYDKG7rnz8yoJ+kZuW6htBq80Ht1V7EGen5Zfy0Kmo7qfNDooZtq
oxpINeZsMzXr8fnI57HLZm14YDIVLdRqHJ+oGLgRaOyP6QgFN0n1En3Iu/e/3ovIX6DuBoQm1OV/
YvSLsycJfpT3eR27oCZCt+1OkIyuMMUUlCy/7lu6bR3HFrw0NbsqwawKASihil3+gJ7LzZsSW7Vn
vjZvoQ4CATO20IS5zSNdgdRfcqTQ73L8o7xajb6NaYH4VXGZQYpyErSeHXnI8QpjFMaJi/R0ZWQ8
B8axCBLTf+8Ar8zMLuhCzeKEdlHiJiNFl/IWXFMBvwN7TL+W61x4R12NaB7c8oUfsI0KU8Izb48Z
UV7Vd4gnq1CB0WsTKbDQ6juC2tfzyorytzsXWGWAABGJTUrKs3gDPP60LcM8cQE3M5Fw/xjc6kCt
3/RYEYsaKsAlnVGd5B3EX4cd/Mda8LXgnK4+YPrAy907yCFgimnilmyqkUHWYtOPhtS6P86FbAom
+GKcs7jCFzMg9/MscXND9k5NZ4A6jodaL7gwLYZ3qjNfbuXUWbG64JuurM4uQ1mtSiieYHDK8bv8
SghqU5EhvvU6MsGbUhe2ujl8Pt43uuArYBNU2KCmw4PvJ9FyMaGsz/vgMKgTl4nwogQ16iecBpQs
mjbSwzZk7Kbje11MszVA6W0jAG4HHBhgIVngIPE4v15KVHB8FIqa2I3BznekdZ9zcMW+2Oh+znAA
Y0nFqD5PubcXn42GmvRxVkr7PMvqTA+HKHkJfNp+R4xWtd89dkFzDMOc+cQRlHxHaBsG5ByaWgZo
JCnAKVtyYl4aLJWV8eBLIxhFwrLKZZQlOu2LgYiwZPVRJmZILmqSycV98Cn0oR8aTU/L6ABJ7z7V
s1SGbxClOu2M+wuxeKgnOjD4a7hClJeu54PPWkkq8iJ2kVOomdZQK8L5IErwHhVN7/YSSteqHoXg
hep0dPqix/X+B/ALbgl6bf/5gNnhFkU2pZDHwpOZOo3EAkzahBCpjrYVdNkFPQL37Bd4KntLBdAU
RRIrqIi0YxpwLdd/SuYteMEsx/VT7WPGQ6Ilz4V8QN3lf/hMgJ5BlAoOeuRyZvumQwvskNMxBo/Y
7/CDdeieCUTQ85ZW2BhtZ8klaVWC55Je+I1eSm+M95AAk93qWhnrPcL0aON5JgqWEa+X0abtN2UI
308KhbBrigq3JF/Y5SIK6UD7AreJN9r1qjZIlTNjz8VuNjiFvGuKiESBhUyhgK5mKvxuutCskeVv
KUfa6G0AF723DaHFEqERCKXMYqMKL9qgyx362l4H+jQA6JAYZcGQbq38vnQX4DWFJz1e9tMj7vpb
maAMu4FqsYv6fmv4jZwbRTJ4RMOUmyisyiSOk8wpS2aNJ2vhcTNhBsGgNLXmQOvm2jJUlrwikkXM
ksz6TtULFSAHw/ggJUW+4qaXogGUICFCgjgc7GWz4DhXCl8qxxBXu8CJYLZuBpNq2QsKPls2KtYK
J4ueBOEt9LyB1sd/s0PFINIMGzC6uGyChidOs2hDahBk1Wd5sFAZCF+j0RiCNQc2XRazEFO4NDvz
k54ahB4tmsQtZCIXJ0U6NOxOtXBAmWiX9/ZQrjxxbvFc2Oig8UWOGeVXQMlmS9hLRcUFEO9zhxbZ
CGCMoJv1yQO2XpGGf0VZRD0FiIuoyQxGW+mKxcKnAt6vgdV6/MMNW09c+aSl+wzIGRDeKgDRoFZ9
vanYgmPChmEQJQVauwUjLUAktfTMM5V0gBx1sOOywtdZJgn1BtjdlYfmUqJAwBWl4QmGIjlYs67N
R4oXgN08Sl3IExGZvikD6nyiwyhbQbDTvrZj/7FUKzNcE31bjLthlBcnRQhkIWc3pMglwBO1sNxJ
pC8eKzY1NEiEeNSM2kQv2Uyv5Ne23qOrn/iJJckVrka8CnMTDfcjh5JeALlOMIw99OGLGhusp4OP
7/41vnAModiKYBxJQmSv5seQGWqJcgmXutCs1hlh41ct2DEO2hrSZqFSBCwT3t7alKiUARe5Xoai
aGQ1j4TUjfflM7NJSKVDRos8PXFPXyXh11gdl7KDV/Zmu64b07YuA9jLyCGwxD9T+8bT7/HhFO1l
8ppD2dytoJu46r0XTvyV3ZmjSVOuUkfKp277hRdBJO7S4CNVbCnLQZ4BPadSJZ50AFsX2z9XzM7D
5+RGHJk9moiaXZabWbyCKV04f1dfNG2Bi9CSGUXZwwM0dVEun/oFcqNlE+z6nnDB76pfpQ1ZtAfQ
2v8j7buWYzeWbL8IEfDmtQqmLZue3HxBcG+SBV8wBfv1d2Fr7oiN7iHizISkcyQxxES5rKzMXGvJ
YKoEvHPJMzSOWWw1JeyNA4CUG6RdyZYH0cOANUePPZUJLY8zXsbrKko3PXE/8n3YkOefd/bfnomF
751jk//+jsXxyzuAjyMHO2APQhLiEA2lYQJiV+y7z/ZX0LiHAs2tJdk9PfS/7+7WErHXksJn9hfX
eFN0WqVU87wTNLaCjbA+4P3Ck2DY8RDDj/A8jN079vvncV+reXy3u+QgiscWfBMxxt3S0SCA2+O5
TbMQQheBq21/NnblqXRma3mt6n2c2RHGaFv7DnywibgNx+eBfa62yFxLFp2ZWlyluZ3qfNQwLO2U
A2iDnAwwwt2+6fHIJbV+k7z1aFY8hmu57eue6999tCyxGIwhqIhwokdlwyvSciof5Wd52qWf6NGZ
UlcCAQv3qgfVXMncXHXO3ywvfBi2T99nE2ZX1u5MBU11iT9Agm41OL7qs+akNuhe0UKx5NWoe1PS
TYbuTkPaz92Php8rgD2AC38rQYHYmqs8qV+/qy+y0VLZ9p3kBpnKHOVCp17jMZ+3zOWx/fdjFu6q
aJUsGhSsc1Ieu8gb8K6RKPQXAIjP0MGzz11pLUN2fRf/a3L++TcPOT9/QTODedaMg5L4Agyp+is6
jJVVUpHl4URtCLz/35SiFktaD0PvjJoYDmp9g+Yak+JR2d3I+RGPOKnzpBXEzNIJXdhbXEd9qJh9
b0Aqinsd4PXJiT8hi+GGRBAFOMSIfORudHQ2P7uFxRXwX1bRHQomH6QVlkemVtBK14h6OIzVPg5r
UAYjK1b9qiuihR925utttBLHLJZwtmgBhwTe+bkXFCH3+RJOVZ1mbdFDgcutjiV5362hH+eF+bYt
LwwsbpNGMztJiofh0GtHbkSkDv/zOTsbweK60JB+lvUWIzDTwevThLYlAQ9BamgkUy3cFyUr3Z+X
afHcW47p72b9tu8HEJKkrQSTSgVVPuOIhwFkOVZWZum4L6ws7oiRZaFT6tAPQz+gr71qvvh9MHbj
q/BC5CX5y89jWl77/2UODw7IdSK1v9S3FCBBzvUeO76n0S1EvrYQuCQ6MYLGNwLdjZEvbQLQLB5u
pgFibRJQqTlgxh8/f8a1g47l/P+f4SyfHQngX3YJWfNDmmy7kZFJM2kF4ELXmiRNXJm1xJqoJpsr
Yc+8Dy/36b92l7OdyXXKOgw/25aPvRf+ag/lvbyyV5d34mKSHXlxGYNqJZlyB7p6dgOyfFdpidrH
s5b7W9W+ajH3ZPRacue3nhpkRBoIpa8+XUshXN++/w518aQIwdkL6nMM9fGWrtEJrmwjpI3OHUrI
ixp81/jlTNWJBBVj0LK4ZnQUGGoi0QZx/GS5YX5fRR4Ij6bCb6CqUpEMPcvQ+G6DrvJ5F271tKTT
FADHIJybBuobP++z634PWTSUkmaZqsVtiU71bhQOjnArBw0a2gDAdlBl9ELF+78ZWjjY2kzsGpRp
OMU+lK+2u3azJvH0P2yqf8eycLHSAPWSNMKREeBuSHBqFd8iihu9dyA3vHOh/k1/HtP1Q4pcCcpw
UMlDJ8n5ItsKa/UwkYdDrKBZEToMtahJ1n22aN2wAKwObxLht/Fa88Iirvvn9Hwzu3D1E8gxjDzC
XA7yg8M4yV6YHhKJrZ3Sqwfkv+1cpD4ix7TlWocdzXm3syC7lbpgfAKwcN7B0a+OvTVu2WlkEir+
P6Zr+OArYQBymDICACSj0AK2SL2opcESIGbgJWIZ6B3J68svqHH4E6jp1bjzpeFJCrcrazqf+gsH
+M3owgFmbS/QCgWjUG2+syX0C0ZAa/EduhoMY89Au6c+61a2lXFeowKvIr4Scy0bpf5ZXrh3JK8s
ICGWxXQF6lS9Oilw/UZeBJp4bLXUE2HzplS+Lndea43bqq+QWnUjkNgVEMVJlYcOsCk14tuUQRfp
zXKObRbucrZyPSzTYRcfN++Zb3d+X0NbDox38Gum4Rth7grnNmwDbXDD+thjSu6VcVuG/6F8xT9m
Z1Y4OGVEastHaZHzPJz62WzI6MQCodEsZ8dact6nwfBsW/oP834XFhf7QBsjtZ5aWDQepM1jeKvs
hp16W7nONl4JOa47rm+DW96GeZxF1QBTTe4p/mPomq4R3HiQfw2ym8MaJ8N1r/XN3OLeK6q4SNAA
PRwkxR0nCm1P8yB9Sblb3hV0LZ2zbFu+mMfFRRjZThoDeD8cysLYTlO7YRV6bVViHEzQXETHRlfw
o2cN6cwCGQAGWUQUcyZcR7X2v4lXZyQk6LMcaHAvltSElhgvmYpPaQO1OxrqY6mtbJvZ4597DxOY
Osjz2HgNA9K2cM28KQeNcWU8vKJJwoNHXAssLn0iDKBmjxwo/gaV1/PzN42NFo8lDFiseJRq2oCO
DvmMWPeqikND+pdadiux6NUxzapn8MGAiS0RMyE4GcWEOs5Be+3RyZVQCBjctnOjx8+u9y/S7GLy
vhlarI8qC4jnjTCE061S8RspRm0zPmuuQuKd5Q1evG38z9qDGFoFSILr3Pa/H9bUsq6PFhg9FPpw
mfytBH1zcIAGmINRY4JVkzJaU30vuWvtD5cXONYOGpEzKhi/b8ng4IRVU5iZOR5ym4bQ/rArT0nc
ZpV6+OpYvtlZnL0UInlTrRvjIXmUTVLUgZST+qWW71qVr8RCSwgazvn5mBYXg6RkcSlkazwMfkps
T/hg+Qkgm7uz6XhDJpBNOfMftPbAk0LToIR/2xVkV9OZ5yZcjcAvg5fz71lEtlXq8FTJbXwPnkpZ
4odmA62+lVFfNwKySQQMoFtYdpFWQ5dprIcRU/cFyrzjhFUUK27risOeh/KvlUXs7KAJsDQlWNGT
l8K674MCEsOIgTLtrWeeY+VUG4yVkV0+DIAjhOwzyP9wFHAOzv2MHtkjVHlg00r9xPnTJ4ElbkqH
OoAl/3zsr2xSlNdmOuV5GlHhObc0KrmulU01HMKU1I8hSBr34aneObc/m7myVCBbM2eCaLzroRp/
bkYo9uikTTodykTGnLWn0jlMceX9bOVKfISkFXo/5jsGRpYXQFsKMfRTMh0sfuL39aHEqPJyo7UE
DYEDqONBdZ7hn1bMXi7XzDEAKgpsQsW8KIdbCBittMDo7KNETsVW+LLHvQmPIMn7bH0toiMIQNaS
WpdLd251/vk3XwkM0NSXBqw2ukFVvi/QUzNQQ3tkSUJFvFkZ5ByYnN8P5+YWO0WfASKGgLkp9cPo
qNdgoqkfu34X3qdZ0FqSp2ueNPMtRxA27H7/38wvdxBLTSgpinw6iD/2U4+OI44qsA/1oDpgPqgl
YgTga9WDlXVd0qyKCigQXhTToYhLqsuvlfkyvsrIBfX918/Du24JQq/AXqN3xF74S71pM9wWErZJ
+5BIT3L4FtVfWvjJ17hwriT0sIyzOjn6C7BZ/8r7fts1ttO1cTlG0yFpLbdKYi+tYoILV0Iisen8
itMyzABCPoyKdFe+daJZYTdWLu/f+QsgUKUac7fysjd+ytC2O4psOkRb7onI5dEGXWu1Fz5E984u
pA9gOL6LPtOXn6f4Mnabzc7oFzT/g3lhMcVqLgvZYdi/I7o5TPRTBMoEZQQiREYra6fe/2zuyr1x
bm9e8m8TreatyGsbvmiUj9L00Lxzivwp4MyxTcppi3zJyqVxfWIxoeCpRx/QBYMryCJybpUcbJY+
qAu8Y31C++H8x1YnIflIULxlK7fjVR/0zeTCKditNjSsL6eDTJU9KNF2xtYia5mIZVsM9gqm8l8r
S17W2mJpF02w0nrFSaWPE4notDnd/+7ILwacOt7pNAvA3edqdCX8vrpZv5le3MQWUKUileECxFTR
WEcNeqpBD3ICDnZlv1xekeeDVBf7xTGFYnBY0kHdqTLXzCfXmPxUfuTZKwiWysgACXigyoyWpbLF
S4GOzVa0K452jkov3Py3Ac/XwLdtWzeF3QwONpET/oqd3+mwci6uerpvv3+2/+332xPwTFFUzWuZ
l/d2+JxpJ7VyU33t7XslkwOMCprV8Rf4jPHuPLdU1EbYZDV2zeCD3OV52gyk3IhN5lr+qSDaTqFw
BD6YagCTeVm1fu26/G59MY89a5tOSmDd3Bk+qgc0pxBXONYby4vpQPEBNKS1qx8TsIvqe6TYyUoq
a9lF8/fYoJVsjiPxaDWdhQcCEZnCWYOpFn7jSSf0nHrMN9zGK7fqiNws2iGFRZByVjMfyqCcriY7
rrkHMNcBYAe5G5SmF5OA8tfYdFE3HfizaGl6Xz8Wt+q71bnFTf+i7oH7hQgZVEr3/WkNsW1eXYBv
thcbzTIyu9DldjpUXkVG9ADX2/p22IZf4Py8Q9pFd9FHFDD6/qukzwZeQS39AO2n9xTcPD3ZJKYO
vc/IO6O/gseGbEF6RCT0PXnvB0YH73BT36i+QUXw8NTvzfu1mPKa3/k+c7O3+HZM2imzVJ5j5sCv
fhD7/ABZjhWHM+//5UlHuyg618FsiQfkIn4smyIbs2aC72bZ0eBRDvKjxt5Ispyh83CSjnkP9KdW
NB3lJqg2LF5t87pNUB5imv/zx1zzOkDJ4QWC7jLgTBaXs5A7ZaxidTrE1R8rOhXZine99DoYJPhX
0SSBrlV5GXNkaPAL9ciwD0KnaCJrDwUoxH8ewpVqPSAAKqgasd2RfVoGGLHa6JnVJ+HBfqqeZfDg
oUWQZv5AZV/djq5JwMeXef3Lz2avuDmYBQsg+t0VZWZvP98pRgQSwEatw4NfRt70kldk2/3WHxFS
QS43KMm41V/Q+A/yGZCqSLfDysvuyuUM+yYiKxxwuJklkbaUM61vQQN22DsZNXfqs3STvhUfA1G3
zptz7F3+WN0KUMI2G4Nqt/LNGoD30smAkwCk/Loto+taW7asoYMpDEvVDA8sBzUH1BDGW0O6RYIM
Cc1eXXli/k1Tnp+ac2uLU6OIUnG4YYWoUHMineJ3icyEOmrQe4Yf34P30U8D0x0I0oLk8d50Gbm9
eUHX4o1C89t+O3iyq/pdIKMpYPIgSeP+vB8uTxJUn5E6A9obHbto2DzfDk40pRZPWXiIiorogC6v
ya4sMRa4Vs4tLDYcKAqzUAySc9ADyTdem4A/lV7z1L04T/UNfygC5TZay05eiabPjS4u8zAH3BXU
6eGhuRf7CQzNk1fQlBR0ra3iiqdAOgTkbKDCgnDo8tK0+zLKBxvvHwjMQ7/qJve09E5XUnj6nxfq
2sF1ZCh5whjWSf0bzn9z8SEXvYAuuHTIwU90jG67rbbPHvixlIm+lbfhJroZD8aTvmen8EY6rHFo
LgeKiuIMMQeY1gEBD6DE5xtFyc1uqEpNOkhI0bH4oyg7kkGts9YayquVwV4zhiAAWTqMFanshbFQ
HlWTTwk7imZb3OJ22eRsInYBCO+0QqqwdAfzuL6bWuwUMdY1YKEpO2phuIW+HdD6leRXDRJ1DOp2
CbIEMlt7oiwfl0uji0BnGFkJkh6Mr3482YkbH81tCm+LLfr7511zEdT9Y0mf3T1qlOjQPV82pCK1
AqJL2A+QNT2otPQzN3HrPVK6GYIWKK16NeF+fnJu1+RALw7h0va8yt92rNm0etICDXBwoETUskdz
Cvp+w47xdii/2AR2yfjj5+FenVeE7+g6Rz0HMOxziyNXQ6uRMK+KCFTDrQaZyK8JZ8QK78etFf+n
IfPfEcJpouINH4pr5dweT3s1m1JsninOHrKBu1VXEKVhSKtttacof1DjJxbOuOaKn5LsLrNK2oC7
fabTAv6o/FSnmPw8BRdxxeKblnQymTLUEOrAHDgRQYLxFO7aY/o09vAS6YEfAIi4abez5C1ZbUC8
dpbAQoFyHQKkOad6Ph2R6Is2SkuQxKGd8pj8KV/CX+WpDSzKIMIyaX4TEemgPY2+tF1TY1mSg+H2
guVvxhdrr/RVO9oljFfQBMi9YS9O+btJOU2P8cGIKILzcd958sONdNsBybVGAbAMwWFfV9EJMBMO
OIiPFyE41+EeW4g6H1kR5O2pie6G8FZV1mBba2YWB1or+lGpWphpvrrdRFe84TIc+DsIkOACqD/D
tv++kr4dWdlQ4gIBEhyv3f0K43rL2nQlofc3/fI9JJptaAY4TVFCAI/XEp4VQfEE7+wuOoKUMih9
eze5+a45Gpuj5JkfzZED0bhz3OlY3oEN9hQiS7PZoNyAIlV2dFDT/88PzNn3LG6ArLCBVwGj67Gp
nzv7DXVAwkGWB/ayX3b1NDYuNk8NAeH6ozmkLenAupo/Gcjt/PwdVw7P2Wcs7gTbiS0pVjEtGQh4
HbS2O9qdLoFff6elQWKsWLuo32IVDBRYoNsDlh8Dz/7zs1rnEVB5fIiPEYdcVEqVF1GQcSRg84WO
wJSjabj09NPgIeHwNe5lN6oIB3SDbn4e9kUR5p8PQXoXZJxIv/yNe75tud7KRi0y+/joDA+qQQrt
pmcQ0o0HEm3SE5KfR2PtCfAXjbXYggZCKHCCz33wyPmcD14ZgCAbnDEGBdnB8qsBcH6/tnaJ7sd3
Q7HRHF+vgEKHnMgH83MS2Qe8h7i9sgYXyfV56N8/Yz6N34YuQZWtZ+YUHzX23isNLdEvGjan/DYE
7dmwb8tHtXRLKIYBoC0ZLz9P/JW7EsjPuYca/OGosS385VBHYKVgVnJMzRcbxLUhaGSVkKRvHNpr
MZT6inKVT+cirkNfAlwLILkqMrQXcCFoHFVlmlXDMSccCRKw19KGmFT1uluTTq/412+/b3+NLriE
6UReapK6UJVB/qREH8OEaOXzrzbRRCeKhuJNSxy3x8OIujKC+z1zSyTKQEkFdZ6f52qZbMVT2cZT
HXVPJKZM0GWfL9RUOmnbogX22JWPscQIlJ6NaOUgXLje2QYi/BmbDz6nJYIwi6KOhbwbjq1Vkh40
jilgqz8PQ1nCFK15IMjtyQ4goxrGsVj0Vkh95kTReBzp23HfuRv6WrvTHxBLbJD1VOnvgbzE5C3H
DL7qHjn5hQtufvT10tPjCQyphGzfHrd/oKfivsxSNA93dxpxd4eO/vrKya73dWKSW6SG8IDN6GZu
qrlRAvxt7X519P2r9VIIAGa0p1/mSQckS8M/fnS+gf+W1v6DTQZqk3SbkRsk2YwTUvTBQQteevdX
QZ4OGfFa+vOcXByDxYwsQji7ltGJOjLMSDA1j4bkyn+GAltTBlvJ1ilW8gHaPMFnnufc3LIuKXW8
b3UL5vbHt6NM3ZQ8c7I9frxtg/ujezxtaw9/Hrzd7j04fNbB68b9ebx/FYh/+oLF2yqPhyTvFXyB
+Sbc+mDS7dvJ//T9W8/14PPJg9eRwCQB8TbezYE+bw4eIbdkR4J316ZrW/KaR/i2IZfapeao68ya
8DUpqbxXi66StK6s75L1vYvMOHF6GBCQuUC/Ai65r/ZT+mO2HlCYBTb9dvKavX7K4jsgRGW3eIWw
+c9zfhmTL1Z94egb2wZbeIWP4OWtjOZc9DqrM4COIEaHonL0IYV7Dv4GgEQZen9QOk4LYIPXgru1
yV6EqEUXhqzQ8Rn+c4FDfXw9cSLTfUqO4HWhjwSHj2IPvPr+vcD9fwi8211weHjRKN0/3eEEfqwt
/+VNDHJ1kLqj3IDEMnDj6rlnDbvOGcsYFI25iv6YbdM8Nbxwq7e4eAG/Om8SN5cPIAQpxmMfUrlB
t30DMD8BEMFJ1kTJl/wos3uEnOXMrI7OQ9DcLs6GJVlJb0hTdnyVoO/mii3bF650k50Gt7CJARk4
SB+4SlBv7C0mSATgtg3hLF0wYLuV/5UcxVOx1vZ/ZY5UvCoQp4F9F03Gf1Oq38OESioapYiaY1xw
NDEDQX/EZZS6YRnKgaOGwlMNVgXKOAgP3HTij16ozhbsxPlNamWZm41F5Be2GnuFM+ZB33DpKFsm
86ZYXkOLXN6U+FYdXPlzehXZqsVOH1R9sriaNMeS/2o1SCznD8mwBvi+dKKzEazUTGlr4qlyvmkq
y4mqzoERc87aPgJoP4GexibmGmsYyAPm33XuLlFfwJ4wNTS+zvvj3NbAVV5ptTQ8IqoB50mGFr0J
IiXQWddbprwzvUv+TNGQyRQCP4CkSpL4HEeIzAaAJoVQXh3z4lD3YE51Y8jQvNVFpdyMoxR/8Sw1
ZxXa3sHTWAP2MSsRjvcOD08TUn3PddGXYOvqDdCSdHWHLsquljrQ7KCoEvSSyoZAaafiMQJ1mkET
MxogQhFmaLQxILIYjBP2EgkHLinbzOiyl6rrbfBha/UAQHavi49qSOznmleRti1BQttSkDiCqli1
sulZrpqmAU1YlfOxPBhlA5oiAmo7OfmKNCtkwPjZIaSt0GLa9JPPdaPg27h18tGPU7tXAXlu2+T3
2EoGgjlNq4WbGN2ESCIeQbZjMjGNNRlTLQZ1TJnqIN4xI7NysyZOjBud2zzfNk4BQJxSxuDLC7UW
lFCmkU0hHacE3Zdp12iy183qYVSrUjsP1Mls4w0+Be03EuPiQzDsHnQp6zyjqO6CvD2T0RJnW/jF
YH8xxQu3wwGH2hCxudd7CczmOSg1tkA5D/dVltbA6XOjPESZKTq3K5Xmbshl9jIlufhd67kqUw56
3aOapI5AFxPIkypLdaogkWUukWzURe8qY2e4Bk/B7sTKJgGVfmmnICJs+/pzAO2X4hoWrzMXSlEV
LihtTBJ/jLU0xNtPNralyNXPCtIjUlDohYT6cyGBw4Tbw+QX1rzcg9ZaBrGzXEQgQZMECyAHkT+G
lgw8UisMYGnNVDYDq6gVxxVA7E9I26a9ToVTyLk34zqOWTMTdfd1Wp6KIsoe8F/xjDCAy2M/r8tQ
kGnM6jsexkqyn6BMiIGVkQjivgwVyiVZHTdW5Yh9P8jjLAivsM/U5LG01TjIJ7dxLdTG54CfJGTk
svGR8NqCjkjPM8dTJS3TSD0A+1xrIM2gUWeEw6aFenJL6qqRFdfR0+gPz+32j6N1QCUlUiMA0DYG
YGp4YYtnqVE6UAiaExaNMdFC49xUa3Ag2FOXe1kJvlzX1DsH6Wo9rZ/SVLVkiLY4oMSX8ibW3Nox
GfS+OqQJQaGljHQcOxCFJJEcfRnASoK3pB6NoEwiRaGaZHGYlNENZcdYEp8rgD24bWyjXV6blHbc
9RB/lo4WALL2sZEAXvOUIuZIYxiTrlKUY7r3oa+dxyGUzbse03jXysIJMqzSSMENPnx04EmEjFqM
PDlV5AkFuZgL7XnS4+Qpl8AuzgwzCok6OEhotR3D+HmIfUasoTVf5Ly3sKJQQfwEQKLAQ6kGvyNL
Ypx/gSswJZoAoAgt/KKBHFMIki9Ql5RORqwm4wAODX36rLSpSCkS1vXvoRiGrSLlYwwGEyPaF1bk
VF5pd8yhM2Bt0yfQayA9MDkMKtChTOskgu9q7dJ6lSqtqDdK0mYdkrFJOLlTmEeeXNXzNc8N6Tgm
CjIQYFitnsrSyNtDZ6sZZiuNpVlcR80/MtFX4I1pW3xoPJmZTYWRKzGIPWIVarVcBqeTgEDcI9o7
KlRFQiAIwLtp4MEGWLvxYdRhD1aKPnIwaNPM0ZEY1sqTBQzj6CIPYf6uLYHgb2o4NEwiOU4fizgf
3su+SiNAdBMLYiXRvKiZE6MwaSUlmK16MI/MmwxewVFFvZNCQFFIWpjwWkLNjMKbrEnWNgnAmr9b
6DlZQH+FsuFpSsXiA7pgG7AgjSEKOHgU9qSXtVSBdMCIheh6pzc9RUlGAwpETo/Hsj6JksrgV3w1
FcF1sKS3vCNOPcqOVwxMBRFh3Nh3bVIg0ExS1m4LM0qeo7yypMBqi/zFKTSp3tpOw4NJHtoyAFcb
VwjWREr9jOeOfYwiJ07uIPjCVFdqchBboxrT74eWJXOSCHguUmdmdmymipvBNEjiwSlT6QZ54TR7
6EH3A4YwueUK2gX1WZNIY8DawfW/oirdj0RTJvG7aS1HeMgTxO8DelMfRp40GlE727gDWaqoqF1Y
9eMkMpRGtHIwDAposQYQk5XLXWAjcpy8zGmRVo7Z0OZbXQ8bkO/YrCwCKc7MjiSs4o91iur7RjFb
yQwaYwxPg4Lrhppph0FLem79HpqiSk+TUXWC5hmABg+yUaNkoWthVR6HprSPpQnVI3gii0euxjM1
pb1didZVe4ONeyjJRVATlhUoBDWjVhRewYSDinqIr6cK9mdJTbQxYRqTJAO54QDFZYQbUNuCjK0x
7fOogjiBXus2GMtVwUqqqEgl00irm1/ohrbuedxHv/Bw6xPc0goYgg0nHupD04dVu0lzabhL0amZ
+FUsIxDKDIejtDONkifLLdQyQLzVgxU9slWc8dQ2tioTJZSU1ER2noEXmSRiM8jSuEZRtx2xJTG9
MUPGJISYaJC0Sb3+rnWlpNECFAAQRixz1Y8KJHNJqMjhsDWqGsIkqBHGMcL0dmQPyMU7qZu3Dcjz
ugiERHBL3Mx2bEyZddfFDnZRmcuWoF0pd2Afm1u0XfhzA51OshUVgOxhc9PQacpnm5kyKNabQUKf
dMZEEuii1AtPZjX7Gox0KL08MawTuorm9Ilm9amb9VImSGP2FQ5ojJYxN0RGtHalnqstdJ8tSYZO
swYrQcsqND2oEuKaoa4jscNayCfJTMZw3yhtHm0gMCGxYAidzgw6hYtHK7aLhHZh2ch+ZeZptWdx
LO2lkJUfRWJk96PRQbNHRBl6C0xWtrHnMNGDEKzierN1Jl3PD1waZ4oEVoAaAlwAyH9yTe0UH+zr
3V2mi449cC2t6pNdNhF7NIRQn3LBbVBeo4DW7E2hjh1u8xGMT4DaVXL8XIhBRkpXD1FrQvgBdyOG
auwhfINQlY5iEujuEGX7wsEd/jV1WVmAO0ZX+w1aYWNGEL07ih+KKkPAh0AU7Ty51kV4KnOz89tU
iSF2AyZQj1uVXQJ/LHpjw1QQpN5PhaNGrl1WBR5sKcg9HsIhVJgrjyGY22WL9y6Tw0w/WJ01Je7U
tCULpqjmaAMFE6KzxasGL2FlSLviXWKOxR5CnKGcSBJ6w9y+tXsZYVaKIArRgm314wNPeafeFPgq
7nbWoL0I7I43NTSV0g8n/E8fCZbf8RjvTOKgp/dVU6QhohpQNfeNxKY/hpDtyIO8W36Xo3y4452N
B0sXZ+kDC40ELKBtLt9rg41K8HzpIrbMVPsDWYXoDdWucbzPw9RmfpGzCuFDWxuRL0fFVNKoVSKw
5ZecJTQuuioiHBHDEcJcwx8962yb9HFTOZDrikN03Jk11rDGJaYRiPLp+KnK8o8IAgOVn/O2/soz
Hj5VVqc0XgXXmFEtNmxIGNsA7aHkVLPYC3NLi0g35aj1jkUHorFakxsaJxa7SdByhMBFrtRb3CFm
RlJ7LH7xEWEOaZwOL4sx7nGOhnQCk37OMMvE7uPIwSMk68ZPRVjJnZKGExB/Iv/jwKvNIokdHCOk
EcFpglDDeVELw0QQIJlFC3yBNh6duInwgJG1KffUBLdBKSLnrh2s/LkclDBICxVlHckxgnSS7RcG
cu5DJxXdHRTfwpBmegjtMK2rlTcnkpG+idoqwXIIWwexqKGnG4itWVhQ3ppRYDG5El5UtUOxU1u5
7LzYgGYbGeQJNCQo9uu62+ii7m8wRQjCY7tGbj0DFRtKTlUp7ZiB17FnDGn1HKotMuGRjVifTBk0
CYgUDQDVNUK1B08MqWN5ac0jvPEqEFAhGAn12DVaLnMXL5qpQPw+oVqErDqgXJkVlRGVEsupPsfe
wpxrDYtAlpnEeRJ0idMIuC1cP0e8wXgd1ImRbw1Wx+lGkzpddVW5Lps7Cw2aOQ4m7qws0JnUJS5A
36B7sTIto4XcgvWl05FPkdkcaahahhhNHiAASaEXb9mEKzZUNnF3mq9tURgvmkjw6ij1HhK+kp1U
aJIRXX8jtbWTk95MUwOFAPTboem/G2o6cigREs7KyTPgqaH7XKPqDl0do0AOvoduBDFVrd0zA7Dr
3MgxKkfv+UFt49xBZKXYuypuB7RLmui2JZMtlRNJZWdAxTG2Xpkag7qrKcYW3bfDCJJ/Qy+c06Bx
vSRZxUxUp1ojNYne5Cm0I7OZthPlkfFPyKxMJlrnZIkbCbPjgHyUxR1PU+lDtlsLiTany8GDKOqs
oCCoA5dxh/3EEarGICwzav2uyXphe3pTWw2pJDYwUueqdZQix4jpqKNaQoDcRpGkEjEi0R697F81
6jcgg9A7fV/hZ9C+64zsBKAZ3u65luafndqnN0oascKzyxpHMjELO6b/j6IzWY4bB4LoFzGC4M5r
szdJliVLsrYLw9twBUiCCwB+/Tyd5uAYu7sJFqoyszJ7uqaq6JsuTLGFT2MWKVrFZ4qjzT36ft3q
sx9QaKgoU/rCyaufN1NnAHZ+XXlHkfdYPfcq0A/WDpU+9TtryXhT8QPwdwzmUVaR356qqWsYobaM
oJ096PrCT0ZlisSs6vuawDBUosUZlcZtr5hl7YZr+GZ8Ij1ZSHhbwr59wmU/AWxqaIf9oSPaT8Io
BqTV+RNpT7wNZNhFgh9LBmP3r5VakKMdV5TBestyd8qTvf7j1nl/WhoTuWNYgnPwv7TtHb+sxuhW
JMN3GTO58qun3rML+uiXGMLBP/m6TVi2FF2YHAOEB9VBkJ33SrW28thVbbdcy7R2yTFjsvvI+jLy
iXtL5INsdpuccq+vPxzTKtjQGi/xYRpph7Dz7bMHtnMVtgS9o+oG2mvyJxOv4XCJmq7GfzGJ/fVk
1rghbo8SfJXQqcjr9dCLQxBl1YeIok3dMkwMgpZwBbxsMo9xFXXlTrZB2U/DKXWiEqcqTLrraFqX
nvD4qv9M/SYfB0Dp+hpMXThdJzlP4/OYVz2X9erPQ2E2hZKkn6SsiLFSujln9b5Ex2zo5HazCKnf
MU7OuBnnGK9mKce9+LpC00O0+yNjMMHAdVHJaBTXvbdTdyEaeAnPoqbfzRrMcYsB55idyyMUBE57
QjwkVUvltsqfH3QgBprrzgt47wmPwtJu8IL626CFXu9ivTIwsicISYJKNqfXB8W/sntc75iliPWr
Ugasyo51hGtyvchwPCQcQfB225b8XEE0bse5tlFW6IY54AhA/MpfZy9s3AA71VW8vu3ZMNhimfTA
MObBVz5Iz5+BYRYwqUNuWfG4DWNhGzqqRWdHcjVSFrs4CUEhdFQJ4ixYTjikaUu0QcX4PFGh5kDd
JW1Q+sfBN/33MJf5eGA4otrtvorCwoRV1BZhWiF67+ZqSE/lsHcYrUg1IdIkh0RQ+prwZETb7c/K
DPSS6muz5eDC0puKuU8gEoDZYe8zxpN//j54H/sUL+Kc0F0vXJpdFJKbzIr7QSXrkj+MdZWXIP5d
+jDqyuRghVYousuOr0GoErYkg66C7NqHsfzMxbS/Bl7gWPvYPPtfIHfLLBOuAu/yCMvqrHTlUz55
nHgTdNx/aVhxja/ICt68NtuYL+IODCwHt5p4k5U7jxkl+pDjgkPV21m2PDNPjyjE+mhO7ldcvrBG
d31KXkjQUGNXEuCzU996BIbULl3nwrTWz4q2xASkqG2yfISzwiuvbisdHRivQXtqs+6/MrOGf5UL
E+AbFQfP2+Rm3MlmeiM8TyNe5iGthxCn+aHjDs1D+WfrklwVyVeHD0KoJQV8rsIvTcawqmJZBCsB
fd5Tx0zD8FRK53nMXVvKmk/QDQ+lcdl+ynw7VkeyRsLwQdjSLkVHOfjXj13uH7bIH+4HrULwwWaY
3wIR93jG+vtyn2XT0BzdAE5zaGqsXe/zrkvqa5JuszgHzoTBufU2SOG6k4qXTJThdobwMRiSxF8G
cF2g/erobSJsrxu1/TGP2947Bk0CwASUlDbFtMdD8xA7r23uTNiq6jALgY2KNoQdkWSVNVHhpnX5
E9aLGI/x6MvslAeoQotRyCbDYDMKfmdsu/Js9m7a8GvXUXDaw2rWxaYD85Zt6fZdkl7LLYDT/loE
1aQ/vdXL6V7nNcbKW/Xke6q6JeXJiDF5N/EXDmmRQ94MuTeYm3Hw66kYnQiHk6fW+JqD5rijZDdA
HFQlxTVdGUBOed7L5qKclNkB/ienllZe9n1aPPKQppquajhsltJwJG4wZEnUcWF7DnxmrXT/NMmu
Bzc2Q5Je2gVrz6KlscoOm8usBvMfQrZ02H8isqSNsrIQsvJBmCX06jmfNPDwxFxWk/6IaSEW0153
RNEpwfR0Hd3N0ZTqa1V9jRZTZ3nFSq4IFO8AmojmUqmXQkw2nY6rCuxnyykbiCzvO5reMWsAPvN6
PJotaG+9NZEeihkvBIThR8S5veMGpM2KxjtCYYByLGDpd9zViTnPmdqumgj5mcRK6xsAcDl8W+rV
5yPEK6oCnCTw6NmH5k9WZ9TAyvmvgDqdOwocMWmYFJuftDLTQO4lO5cLKX50bSBFS/afaHKc2L1h
m/1LMKZcra1D73/EycNXVxoRORSCM/pn43HRFbioTi+pC9v6fQ11+YuOzNVF3dqGsM9xGoP5OlhB
sns6+dK7bYWazHnf+M8BOgkiLgvXKcDiB2zqy/QmAxZyq0uPSPwzfY7VnDx3k+huTdUn7BqP0RQT
Vsmi7Gu12W784fVbJfyD2f0mOGRtThSM7VBRT9Y6B2+1lmTwgqoU4CthfPD7YduPuivxtU2BiN9d
Y+mQhqE1T6R0l+9xvcd/prLd1XunaDMfZ66Q+CXg0nY3e9mJ+pFPaYkK8+eYqw2zuuDOj8ug/DSD
3nlgahq/idHIrVB5Xw0F79eGw1mYTqT3YBfyodme4jBEKnuZTMbOQOlvkubEt6V6dmNnKGtSYrVL
a+SqzBT9MkgcFLI5AYcv/SwaHkxk5+GmCpZB4HY1JJN67p0neBbjljQPXdu23jGmzeVJ66F56vuh
QYrFtLT97VW7ZADkMAaM+Sg9ZPJNh4rkoLLefXkuy9rLC+49g8XIusXVeru0XhpQsFXtHT26VXOL
R4j4CTq+3E8pA9ylo4sgvUxvbXzvdqN/V32mHVvhKlq+h72PVUJYOwmCzbTI6J0PGVQ9f5O8kd22
TdclsbY/rnNqt9sNyooy/WUyQecm1ns5aze+zi7pG5CHIWGHFwSe9c95jK69XX15XbYBkfIhzuxS
XlD3duI0tWWGmR+OCTWBNTuPa908/4NeN2kPbdb52H1kMoYUEuH+9ZkIZC/M6OOzIgfDx1tlkt4B
2M3zic40xg1drcl8iIRG4uUFQB5Ft2zJ+KSZkfpTk1FHj0T1lNMZn+yqvLAkEv6MUroUfras8Y7N
0rvPmoBTesh1LMvttCMkI23WbH17s+RzpO6syNbkWLeE5x2TbpHNm9kpiTdtSXtTgvE5UYsD18QS
/wv9xEdat4vkZqmiJTnkQ5h9sOor3qU3j+5vs1Rp+QekzqY/uF5DhhCnvuSJWtIk1YJ8qWgYUgis
pqeLVSA1tPa1d52jaADo0vWAyWkJtAUrgGLRWcAxHeX7lUql/WLPCRn5T2/DLu+8uJbmXI+peiDb
fEIb5+0hXZqed2wFax30RTONan/q6ENevZYGr3BJ0r/ApEPlYNs6OO82b/Itexv7ADukaaeX2HHH
6m/czuMpxsyX47Ga/SG9JNIM8UNuRIOhyNjNv0UTJshynem7w0iuV3LNMDd+SM3cJgc3L+KUtEQP
l0GjgtNY0vKdwkHud3bwdXKoyhyNZETQ49+g7vz0fhum1QeLAgijSU1sUlBw5hoj+E3rp3gILDzH
IH22LNuOZrfqZAQkbTMJwrlkNaNIwGrFpuR+E0xZ+1J/OV2fei9BA7puZG5M6+CeNrrr5gZdA/CC
4m5MDuM4MBHVpR+88mNmj0wY9r5bTPK55TyswxDV2yVt9jI7pImcP/Y4X8KDjHtarnpKwopTkE4o
9cdmASA1OvkhwDEleEGSsvoxTZk9AAI4og1M4r10QO7eASlnSblXJBDgvlgxPuejI7QCFiPSfJqB
lZSUO5q3aArcKaVavxg3ql8a+O6x3Rb6MM/XQxGRXXnT9GBPp9Ex6RWiW/hMTdTriTjBzf9PSREu
h2icxHtfe8OvKui89TBuVj5FNFjRcWXotqc50PqHwYKEeC/i897WXtGqjZmKT3vtJkIcvxpM+Iuk
e62TnaFcJjVUTxLU5WvXExjQqC+gfmHwPlmUDw297NSaY223xhy3rk9y3odIP+cQ0WBUS+OQEwKk
qGKux/zd1cgrb3qa/+87m4TPVbPB4ZViIqypNJt76D0NBC1cvf2qypR2v2561BsC5Ox2Vm2XnI1Q
7U05G0yC2ZLaMaoAyuQ5MshzRr0ov0IBxTQ0rUweHRjAK5dD+AexD8xQBiUOx1bu0YvXcrszMa3j
a8gPiSG85E4/eFqSzBCrJviVrHP2fe6nEQZDTFNXeNmyUcTCQL8uuV/+EBEmDNmy5y8uKzsfamfD
kVo0GqC/X3sQO9sI/YPdtrg9UR3pSmRVxW9rYOrmMqV4v9dR7JPJAw/1zRpFHpfXOTJ1bb7AzgxR
u+kioQO8sXkkBxwv8+VvlcKBHAA/5c+kEgogDNDwCT8IZU7o/+e86Abn420n6jks4p4mmhliK3nS
tQtvU3zf2sNkm+1P7SuWKbmUAWpFbCZzpYfcIkB6+OyClXkJaTZGtj2Pc+k/TuXkpwdjwbmKbLA8
3zXyzXLRI5k9hLKzGGRNIOGSt97+7Lay/c+M+aSKSi0pLFK7JC/KU0OIT1s4vEL5E1GdG2bgQs19
Nlz41sH3qo6a/TCbJr+0IR0DHETJ9rNsmic97cF8M3ULhyoi+mhgSMT6jZfcDddxakmPJqele66n
eZckbuZWneIVp6jCD132Z29Dts9WWZonVALdo+RjPqxVbDgR8xerwVC8vA/eMnwDGKj+uq2eGR3p
2n4tU7jfyy4AwslccivF1wLLtuTxc1jXMWsbqk/+U3YP8tPWrol6tiFUG2fQjTfrwrHSfhS8MVt8
QeZbitBsq9RwN611PwO4BTP9kB/c1L0r09Mcxg45WtLVv/LeLj8IquOrLkzL7gw+acvCmtD+8iKl
1NmtenxHKkHXk1VxkxxpKz0MxMEDbk3g8NU0psLoX/kNITqddGY8t7S8z2kd7tMHutOVGBsdD7O8
hB5C2kKm3nT2bKWnu3XOYZqT0H2dsnba9mtigjq6wlcENXS5L+XNOm4Ej9nEEudRL94eXNs+l28t
r1oEUqvj8DdY7CJ+slkb6g96ywqJhcHKB/47rM+B1w6ioHCLDwB4lVwWOzf+qR/Mwg+obeIxRvFP
A+anKMzWVWDfgA56iR99dAG0g005TrfxTid7DGCEPxIFNX4sqVH+SfVdhGQCeh89OdNHc2UuK02R
WVPm531fsGeKOuCpS96KfmLJzE2AFKkZ/mU5BBTIW7u8pgxlGac94YfcUC92BS/E8qfPMilRiO/s
NOWr8cTtRG+vz6FcAcEPsp3UT1VB0vzJ+OP0bmx8ryn0SOjoiQC3bIWOqGR43MmS85qDg/pIj3rn
L/xGTYvyu7GcW3LBwM+pJ2X6GLsk+m+dnF+elkyM4lC5Jv3MyLwAi/BXHzYYJv6cxK1nrm3Nsgia
aAZSFE0+PshujjZiNvUyABkQberNp9hYiqz1gCfP7Cgn84ljByoAVx0hptudYqt+83hRlfPkYzh0
TfMwxwPYaAJ6ghIiQmJzS98a4RLWDCWurU2EjKjkypVFH0eNKkIdODrXKYuffZHvJFCNjlEynqcO
3l6mk2HYy2ugtNDv+jMyGFblXYTuCNYzVVB1ayZ+doH44jl6jHZurDNlehiyLRHU7Txeir7OGX5W
Ovrs4KVApCaH4y2A47PfvMcW0ci4LjCSdpmrI1YlmfsZdJobP5Nm8U7op8b2Vjd+y8Hca2ixDRlF
ctoSptaCgpqurEpVLjxint7wA7lWDsdOBqF9qMwsYHg1/Nx+8oK53U/rKF39aHWVYG00w0A9xiHq
v5p6uqXrowFNM0cVD3t9O4yb7B504tf+ZYv6wNzk2gDXy7n1vUd0Vba+Nkmfp4ybVt1n81AtNOFe
vrU/AfC6jUFn1MNTqF3jOxifaGxeRBl3+U02pJAua+/FMb8wMPNbVY9iuighwejz3TcvIeNZcqix
2v9y4K3n/mhdbtwlL4cU/K71WEEfvNH+RTAGHEaecLqd0foRiQdaGQ7nrtuz+Vw6yNYhcub3Fnrr
ehZeqYajGjJnC2/XpG+YaECl5/hcECxMd4+y3tbquuHiyv2kTGnvUN8t5EpkMLNFHW/AET4QFMil
NCov1q8sxoL+w7CMJAOW5eSyg8hmix7Hp0rWIPVctGY/iS5meWJq8i9hkW8Sd+mmbPlgyql+pLaC
DwnSZg6KGR3DBPKBB9dp6dR2r+H597P0pqrCSYHG4r3d0oU1vWbMyjMPGTWc6mF/CU8bq+U4mnHI
UVUEew70ocrpW94Sw3wgI8q0p8YOHCa5hBZlmZ4G+96jVyQ+Tgfz9rrzLYcfc4k877TGMqyfthX2
/L3KvC5CiVbi4h2Loafntr3cHjS7A/cTKU3Lmwj2bcR0KZl42zYu36KcGhxkKzHjZztWGJTmh5J0
uOZZShiaoozYMQAGhtwF1Kr38t6pIYIuStOuPsBjJOoGwaSNbtWM1vYEYN3Y87jmLIRuY27FmQ41
S06AOIo9Ax55eeOaSj94kFjD1bHT0j6vOWDWq5+NdXCruHrqv6tKs+VOOHaXD23qx/bqTJd8E0O6
1JeqtHIvVO0EVqUJQpT70vYsaiOtxLBq3XfQudrLduZtSIXmp+en4UxsQzrk35fcy9aPaAxbTldU
meB2p8/B9bWMtC40X1Ye98W00JEIRlbMoXrBrdWVafYNi6U0v6wWfvHa90vegZUmdHPFMvP+XGCC
5/UQyiASZ7wsW3eawrjMOWVLiiAjnqP6VmWGU2kQWdnLNPiJ+icmf2/Qa4UI3ZYxzyWc2DxY72cW
EcN4alevbC+oNGx39OJNjA9U5f5xlIJrcBDpaB57vl5+Vdr25asis3F78jF556NzXZX3nSlpb63c
qj/CYzn7m+hSKnMCRu3dwR6SVdCD9+LUMNai/WtsEpD8MA+hPlV2iGBPweHLm7YBGECxsVsYKQq3
7U+7Nb0ghCyLlxcPSmf5om3g++g3MzSJgNRlfbMSj/kHJMIo74DoJnRHpV2ZHDY4vP5mhQmATc6l
Ds6eyj1zjv0YH3YXtFl1m3jDElxiQpdfUlU2+9VzbVBftg3++zDrqPzTJRXynJXV8x6WhGt7OIDF
AOwieWHYYD5e2bVKvXE9wowjyfe2JeH6yLmsEafp4EtKMqfL1RtWT9/xmiNkyHYZdb9Vzzx2cMEk
4pPJtyA5RtsaAxOJYEzwTrOqvUuGdLvLp5YR0C0e3kxLtEeWPMSWyBeftPbm7LkOwUgYD1FUBHOM
7JdbkmvVHx1jgS7ppacOFvYyIEC2B0nTow/+li3eUSqF8/VaBgjwGkAfaAwEWqzZ5FCfp1ZNSfvR
DYv/qaJpm8AcNDo8dBe5PmiTph8wxBHxVdkgnpmPMDpyUxtR+tp5ar5DmkhzsQqq56ZV4de7vPiW
d7+VNoG2SizXtI6SqZg6rQmp3H1/YXBjDfzWq7yAQ7DHgNtB3LX7YYy+5iu9BqFDt6JEdqPYAnBX
bx9aKFlZ0ZB5URx+dRAzsyg72HF+VCWyCcbAPsOTaN0rMijHef5PDsTZVUnbJicJt/JjHxLQmnxV
PrvAZbq/UjlYN5qYQ3+EOWToZSpn+9N4NVv++aDmJwD98SHPpqZkBJrdc4Orh7k0k9L7uWe431ET
TuE/xWmKD8A8dDaNCF0EZbonkIuJEaiL8mz5L/ZmF12rZBV8eYw/OtAh12DekcbeL0iUpUF1NyZP
s4NpK9a81bIo1YKiTFf+do9RxoYFCx2KuAqX5xgWLs6Rm2mX+s1v8uCD6Wz8vkmE3ofV5H5XbEiO
xVVDu/31gqgdUY8nUhc+YdvVEd51ZrEwbad7nI4rtqvqFpGPgzj4mSIEHK6pQyP0WwN3r0gDU44t
InLZ3AJTRBP2l3LzD6sdMlRlFWf+hGbMLHSAAQeu05MPujAn9l+69TvpgsS7euel2lBVWJLm9wtK
Mv/bxtvTHVUeG1pYngXMUxzSvOq5CS64gOZIA1Qmg5MKwdaOK5Jd7pkodM219Ac9AD90i7qoocEA
kNeV9eo0WVognaz2b/Yw87g307Df8GzI4jvfz9Ep6pE0Eu4CLi0UBrauzsnaZkGxBTQdvGCzGk+L
HyBHtAkELiPWl34wCVbLftqAbglWwQhHfEfJAS83x8BDb+Tb6yzb7XuNXFwBxdFB4IjVYoehgZbN
ida4vXp5LsZ7KPT8JYf/709ptHqI5WeZxMXq9Xt40yJHtbcwB7wN3o6s+iQbQy9gwkmhY22BhYqk
qSbSA8fU/swS5qMClJOAWpP0cPjdnOvmpBMZicLfNx+WT67Tk27J1DzEaaY+TBKPSGrdVibXYM34
zNrO38Oly/7FQ+s9I8lJH7dSozUYZ9R+t3wY8C/bBn1fjInZkJxPGYZOjAHuz5JOsXq3evTHQ6pc
MB+6pK3iR8iKsMZNT3oygGapIhHc9HB0HDvIZYEUH63xSftzvP+sM+DbAwhUgy/1EmJ12kXj2p/n
ZI+/C55OXgyxbqZvX1qaX0Disi/kPjVzEaqheipbTUcvOVm3ECWc/TBmpjyrZp6fa5J6iH5xkImX
Zak80M7ZL9+p93t2pgXdy6MsR6A5PfOGF+muOv9epaG7hvtcobV1i6LVbhbgZb55572n6a6ZPLuG
zZnNhFH5ucAEXb+SJGKEGhxhd4l9OSP015199rxoccWWAXl8qiXUzCvjhAsfZraewIKfSgyU0bkf
snQKjVeiCaFIR5ZLzqEItL2VlLgXeJjsj45RN9702bx+Tmgo6uMUR7xdAfpic210KtmTTme3/RjI
KiJfqnZz/ZZGpjZnfltFGVxC73WbpzQ5tRV1uJj6Jba3ZqhKnaLtiMJvhpWODTGWDtlzbOI0P4Ai
7Ns57co8OW9NN3zBMl3+mY4i+63WwI6ogFX44kk9v0eTR8QlSUyuPamkXF2xNnv2Yx67lvuWSqPP
fdIKjy32CqMpBBwj9KzKurD8jiCzmY/LluFXRtsRT8+wKQlGewONaJGaBF95fxxBtBcn/c812urH
dq5DMrRCB9TY94xr34N8J1t6rBqLGsZ4ExbjasmC49e6xwSCYfVrYFQwFehDyhdDOtaIALZpKq4E
CtmJyVjeyXTJuNSiChSavootDODk/k354/KX/rmz90OnwWxSs63ZydPBUN80PIV/Szx23WfksxMC
JkXlOW6rAa0IteYKzUcCiI9zXNXLKannqvvFA6yRZjOhrkfLHjwWuNzG8piEUfdr5Hp88I1vP9Hg
dnGR7TH6pUls8Vzss5/8Wm04xeeFytkwGCaT91N0X6tyUM/c0mooc/c7ZIfhoRvRmv3WurXezYwq
2j+i12umuxZzwf15r6AyiyZpQRVgecGDT2zSyP4GNLmc/9IGRf55yRIb3HbWqvHBE1pT1+xuwsMW
GviRWOtQoHQQZRfeLS6eyyMCwTXBJGfZoqd4tBHeHi1F4LpzL5DAUZkGLd4YbPVF77PpznU0T/01
niuZ3m5c0d4NGDEEKNGw8PCJiBZx5Has/XMVxPDjFcMYmEdWLU/NnDOt+3E0vZp6TNxhTDIYX4Fm
6jnJl0YcuQx7nFMDdtuRVtTQoYvMJor7nozfR0fiOu2UjrYzEmzBpy4dsniiOCwCuz2kaECGb+oy
aW+IvnEc0+pkF+b4ohIA4YeJTYvoQh3c10KyROtdc1+g4ltQhfHzdiNJ6r7xPnFymJ57vej1Rz73
YXQajF/+TmYUJ00f9+XRqLL+W9moDA/VEjbNvU2dByDDXlb9LcAX+TfIRv57G1JG4M76cfbUM+37
SE1QtHWXDroMiTFM4fpcsgSFFKOWM+1nHFvexT0t/fPcLK6+MTHyX+qUX5ujr8PJnXszZ+U33y8D
bi6TBeMjGSk1oet6/tLvtUk6Z5+Rx6zAIe3dmxmWTlyE0Ajes3LMxbct2WF/rNpdeF9GCGDOIg12
Gg0hgi0dT4oli2lF4dMjcAMFU3asL3Hj4hFBwyBG8IAoTrF4bHfHv+QhMlYyj7x7IYBlK95eEbOL
DBE9vkgoR3WWAAJ7Mc1lQG3IZfe34bzVRQbbPL7qOG1wEWARgrHDb034K+3CmTWgPDQsrxHxPmNf
Mdc7yDNdmDGb/j3CgP3LXaTYIQzwNXzyrFNVfRi9rAfAGJ1+6drFz2m/vcAb7ha/6yhOfTW+aXbe
oI02f/jYR7u9aN+t4VNuK5KghnFV74GWa1RscjH+ISYlNnknWGBEM9qg4z0EtZUcvd1MgIgtbVRQ
GBu77Bxm+GCwpZPuw9m62d4FkWbwQaC21w8GjEowLDdgMysmxMOfaNyBjJdsWMhVZ28jlKfZZPur
q/PsUbKmpOmUgza99wEqJVnP5VJ924K6zU7ot5ruPvK1qn7YUO2hpnHKG4mGgcbKIZ0cbPbDIW7e
fkKJi4/Zhxs6YeHh9ad6QeVCga5TrliQBXOo1IptiBJx/YLZXLddN4G+GoLHWvkQlsHXpg0rd4bR
j6iMU9l73BdlX7d/oNR9gD3kAmv+mGi84p77DL/IgjPIzYKwOvtY5la+dCnsDjs0UgLIMrmK89zl
CeeorJegQAK7fIP0ZW6dh0h+R/n8tVlt58AcAuHiD536u3yE+aRvsvgsV8dUzPITxCrk/oKFRPWz
xgM7EwLIfUtaQpHjvUnYllBf0ma/ESb7hhIBkq1f0xldFONXX1Rd0+XcyCOsfxnzp/8B/FbVTQJ+
NJybBJES/QYSe+rXIqYje59C3pfEXopTQ6+L/CXrN+SQvR9K81DRKzY3Jm339eL7Sn+28NY4r+6h
25j4xdYc0rae/tnYJp+1P40UCCXaot2y7nEoTfYuWAL5TL1WI0GsWHY+ijSb46NaB7ZDtRi6T21W
T9w1sWBDAhF7s52CKp9vOrPExBWjkou/hYtp1vdWx2t54OVNifSARtXHNGnQNq+Rh+53zEMM+VvV
h7Dgk83eaKjJD01YR8DkqazYSEPrjxIyL53lCaVrab+2NVx94Ken09q6JZ4Ktr8Xn/Y8Jn5znKUw
H+scAgwSem+raxaNESuj+dfOHTQSrXzhQR7VrD86GbAZl+kfsd7Ce3CKZQVd7Zc/ymYpmzYxGChA
Ews0+z86JftqodnWczWONKLnKkU5qw5MUeYYJHWPyRuTHWN31Nm1yJqS9Il5GlRwLGvNgoWKavk8
5Ek9IhqRiS6WrZ1w7RebN6DUKNUP1jY5bHmw+be06GV29L2pfibgIPLu9kAKfWztWrrvc1JLul49
5tExB96vaL4SahUvBbIOrcXyRpLWnBRrCtdX4lSzwc1l9q1s1tq87XYHhtZB0qyIur6Oqam66B9A
Dc+hZfOyvPoEnNJ181rzlOweBgW0YcyTjDZCRSI0Wcd0ijysNswXtFHuX03SVIUs6s45fCZS+sa/
c83/pJ3XctxK0q2fCBHw5raBtmQ7GlHSDUKiJHjv8fT/B52IGRLsQ8TeczN+mF2oqqw0a620YLbL
SaA+FV5RML7RlIHg6J5XUUnzBKFhHlHTPNHyTUHjxLAPqPwHrusYctndMR0mpCDKlzyTl0dnvXYh
E1GDyhJby5quWTM5W2xXTTWRpDVBpJkbQPRUVzQ05TuqIs33NpLabtW34XBMSPcCnj7X7bdpO4E1
6T+L117ko5zaml7FnoZam6MRWKWvwOZzEnRNS098wLCnPgeqlQZIoJQbyYoyOgytKkEtAtAIOyIb
y0slNHnseHFGri9Y/Ii1ppbmD0VpIBpQBAV/nqhyQxDuoT3L4M4RyjfXISnAJUygzk5ISBxFMxVh
7wIPtCloWi+6Yek/UzHM+PfUs1/qWBTvSWCD0c7oN33xXIJlW+3GDNJA40bXCvqatDLBK1LfpSy3
AkhOZYVHCbRvToH5Fe9beBsw9JAF2ZJe2fSB20srTYkH7rtnoQROnNQYx2AU64sXCMPFl6VUdGhO
J8VWT6z+T1LARVmFWk3n0CQ5faaDkT9DPuKZMpU40nZSBf7+rqRn+ZpELnyFMVJabe3rfvSAqmpL
sl8ozUnLadBPQICGdkdVJI9qX8byGpE0MJPe2IcHlzFtcPFSEVkXPdcM0n5JcdMUFxzk1hEfLAD7
cjXZBEUgCUH+XQWJhAAO/J4q/BGAhQSqyIlIDpIqFJ1TapoFZcRj3MJVFMnAL2qRmuUB39X+QXRA
Le5JsRp/WyRa+tIzBE0D2RVm1VOYq5mwCdLYPAVUJnlbA5GNZSHA6VqRoghKAgoghDxUaeWRoNbq
nQQbsoDoFPdqt05SaphfxkTzLl1PS++eIqf4EIlmXN6Flk49u1ZyJTh1RqWVd26qTJDsxpL8ddwT
t0NBisZXCMR0jshwCGlIAGk50yL2vpkVURP/C1f7oxhUdNldP2MqImZo6tbADXfl2JmWncaye0Zb
KmjWbW9V105giPJeo08sfXVLV3lS67D6MapSV4BQanJ/pcY5ySpQBas2gE4kkeCvmshiDKFhuPqw
L8VYHO/gwWTmFWb18KikEVCIPixg3U8hWX2ocsPv2cYYgh88D/pofRyaghPmZQF0MugUdy2LCY8F
ECp3R5Ogfa7lVHmh6BIyNqipQ3TVK900bc/3yu+jaSrAu1txEFfQPYIf5WjV36w0EriAvQoRpQd2
+ksmQqKBWFHBsQFG9+1LJ0QNTbwGr7ih56Oo95XUkxHDJqrvY2ivkOMsD3dE+h451pD16sozE8DS
LSWIjDdhpDnYKKoIXwJxTH2jikT4V6vrLOtiwBcC32d03oNAvbA993pnoc2gkNSk1NsFoLZQOV1U
qYQUOE0CPbW2xSIrlZ2q+GDQIrIJwxlo6Vl2oXrVUxppLcy5BoIQPV/DXbeqIqr7ospymjW+UX7L
S6Gqtm0Sw2L1myZ2pDLQdby3mxbg8hknSLglfsvbUaQTneYZpdZQSXYSld6JwFYma2oSWsX96cfE
bkOZDK5RZX/XxTiLA0x4F2R7EAndV6KdBNUl2lzBKQI6U/8mgUvR0IhdtIFWVEdjg3fdH045/IEv
nVwDm01rYomVIstd8TiolgqSbwRNys81tfgLMWkT7JH2an9FPtSkFVClAv+QG8o3LRWGUyQOHMIs
yPJo0xZN/tyHffJoBPFIMaIrhu8Nj/WvFoCKPlGkmkvqB0LuINE9yOD6RfC8htlrj5o7gB7USlN5
if18cgWD4SY2dLs0Zj8I9UAAgqpcBUWNkE6tAghzLH6nsRrwRV80pCbAWpWB96V2/Sh4VEBy0fnH
r8aPhdz7z1Fi9gMoxbq5UBcuc47iCI2m8USz3dEKogSveXWibUQJou4qp/T42xiIM51KGcNTPbhw
c+GaVWBdIMU9xUjQuaBzZZRbmDQ6QK8Zgvh7PeYmVMtOAKjK0/hD5HqXDvDR9LtB5R3xKViIrQON
AwWDtBMNm+Z094JA3KDCQgzDM3L9FrP3TFEQtzUh5hFUhP8CDgksvZaPIeqqKHe8QO5qyw0KxV6x
dcE7eUDEq6j4MfKOE4OJkfJIhmn6dqKkoPrFoCqvoE764ABiyeM/1rs+3etoy2T3Y5w0u2IsS04J
zaSAs6vqQKBpCbwg3M8WGFXdnqIxU7+XMnDTlcHoYzR0y44it2BB5QFKpIOXoihcPamk569wPJJ6
m7il9AfZjkJe94x+YigQ3XmGZrbetBuNHICtR9NsbOjtiaMGTSTPae0WuZwpthHlA+rpLEA4GeWY
faE0RtPHc7v0BaebnnpiAtGmQmsSLVVBM02594NXPEAjraCD9db9gF4FrWI5tA5UihVtBwg2iR5U
9ABalplRByyb2iRMtKLuaKjgsnB5OSKiQUFItQqiGIfTxlqlP7fIsvk/IKx4/jbV2/Ae4JRiUVlE
2IhDCyojp1TZ7yirFMWu8hsEFbQQ+KStyyEjtQZVNGR7zI0OVoCWWr8mbNWxpX8gbsfK7DQC9mIo
76Yq8o8AqYoIcIKhPEeabFE17zvfPGdSVxUP9KlglyXmJGogBJFUnmIlraN1Y6Ta1zr0BjSHic7O
Lj0nYnkgT19zaYDO0srpSLtcCIaUCccDKbLVRi21/8yLU2pGE2qD+jsHgatQQG4U25J43ygG6ZRW
o3dGuCe8byQdBvYKB1dGjwmEPeukG10qEaXVIZxvW1RFQRJPaLCQRmyysNBcE1Bvo1U/x4RxfKVD
3Rag7CoxVaPrN4x7bYXmChBfKqSLOTQwq7aSLwcJbB6YgIn3YA1oKxR3pgImmEyRfEvx1jpces2A
mgIvPNgzzM8UGNusSbFAnFr6xQ8910eRDBC8kxMFbQ4lPdUNdxO4TM9JnayUZVRJQ5PoGwGoVkz/
5JVXgMmkX911RyGzVOsRdPporuWs64i8xAABBSWrDXfVKNLwW0G6JTuMLgEHzQU1T5+6wE3yg48n
1JyG4RPfLbSbxEtFJ3/iaePkzV9Cm3TeRTYGi56NKUcWApV9EDf7SEiMcZsqHeOfJyURSi6dl3g/
xkEvk/2Qd76yq6l2ekerQ/vzgOgfPlOuRj9xOjE0+seaO80c4tTQdVgZaCF8KRo5HO8qM9LcI9wi
mFYyCSr8LbqhwCAkbn8tr4DiQchapdwujbgV8siaykcpPFA8gbTTR7RuDwIKm/1KRP2F2zOiToCM
UQwsx6utgT9LE71dkXl3U4mvYBxml6SA4SxJuqDhG4Gpb3pphERs0SAAcRE+a22p/5Chz/Be5J31
IOVjyjxjmWLnQGsRmlCchEQ2vDspibjlaqvIcIeL6mpqe6Y1xRvGjVSfK8VkAqfHHT+1QtsidcB2
WwdBK63X3i+8nxEfYFz7QMJFCg1UdtZNqVevid8RPnZqQAnUSOgfuUrH3wzcsYMzp8rjt3z0BHcn
R7lQ7mjf9V/a1Og2qa7L1bau3L49pX2J6IoJnuCxtSjxAZuAA7zr3Ry+KeI/HWfFiBA/bTmBpzHj
hb3zDaA/wCbxDugFhe6aRne5G5OxLtZZXWQPw/D3vVOk/rlQaMI5pezTxYQ6k+q2j13D9jtL6qmR
axEsk6JR+52bRf4LciMBWUOTWPcQWdE66dQ4W8eqpBkrkBagVAMNGPqK0m2T7XDvOT5LbdH9GX3/
SrFLKlek7RTqKpEMbCpcScq6goP5SAuf1rRSxMJ58H1KtqWXQFp3W6v503V6TXrKBcrXIXgKUnUq
xRnlQRhpJw9yqIvkQyY1+54ayp051oCme0a0Mz8V9R75rlFyE5i1V4GdEGnNFlyopA/XvpJXLM1z
6/FeNiiDQksv3dbuKqrS6IpIIwlJhfrwJS6VPtialelPBK2iEO/lFl4BrQOBul1e9m3viAkZl03+
K4KdGEKwWEZWQSXxWiQW6MiFK6+SlcyRI6/7DXSe3M8FcIpGpm806jarDA8KCe/1NkNZdFwjDqY9
+AVqCQ6aHe1V7Exa3I3rkjiBz+OcxeDdnmu3UGkWW1XlGCq1ZqBzYnlF+iWgngVlobw30Bn7MmRd
754yhs6+mOJQOpEsN+23QaHlTR19sELiXvr13G/6tBBl0QMF31i21oq2jpjaqIQi7SKFlCLXYE7A
uCqICwC4IDWT4GqW2ks+pT2OqyETzC/W82RvqaP7XIoGfGcat9qjkYuDA6m8PRdtGW9GgK4eOHq9
/gV9H+wOzBDq78j0kWyMlH3FNVm8eEZoxpqYyvRJV1QgI7jqkLeltQC/CdEOcMhgCMFMQCvNRxrt
clLGL1HSxe6dGcdCD8Y7Fp0k1BEKsCSTf23lGiJnndaNx4Kk/TWDZgBJXejCB38sNRkSHbSYFQjk
RqFPCbZ4E0p0+DlnVnWXiZIrM/jEKtOHXPWoo6RiWv1JpTb/mVEa5heUqUmSTsVg+NlqSWmsTavo
zwmlrW4VpK5i/dZFgRaSQm9+60mRxfSmQaofkY/QczjjZkJWVOdpAlKgUA69WtJDqVLN9/aZXpmj
Y9GCytdmIzNWxwR1fydNEkPrIfPbM461jdY0mkChSbgDYTsNblNOedIM3R1MAAgTHdoj0r4I4IZZ
JNXgAMWq+qkbhtXfwxix9Av1a0uFFwulw+gtpKRaIebKwTL0hXCnJw0ksEA1/B8wBkIQwZXV1Wff
6/XqqDT9hEtrpeA49n2en9F5l7uj2Lo9DROoLEG0AcdgcnC7CEqgBPv3NaAG/MOCc3EBNwTam4Ci
NRAIsuA68q/l7GhAbRD2ZC2tDC+4zuJ1QRcqQwsCCg1FiQCM2sollhJsixFj0aaMSZy4WQFdQTso
FUF29Ng13QNeDiFPTREmEBHaeujQtGPXXADko2POwc9NxEy8EcRfbWuB2ihnrxJSICwwiYOOR82H
m1HaEs46eaAGNMLNZPKYtulqy8t2lhZBTKTZ1iibEWlO9W7oaLpNlWCZw8vz65Cajr4dxFL9q2sK
5ZKoyFrHttVQ5TkOzBlEhCrVRReX6Q11cQfIJlG/SkhJ0ATWBKG7UqLyyy+gJX2o1AYoAtUJgbuA
hpFpD1IbRFEl/RIYrf4a42hAfyj0KIyxVen3dDraj0DajNjpSmDooMFpvG6SPKrdfdzprbFFpaes
tlZHwMKDCIbDssWwjHKwzrqFoGZfhs0hSxPYyH5bKse+90TPokrtS8rPMVXLezmluv/VANAlXWqg
hwh8jUNtPoR5Xbj3FiRJqhe5ICCTPmJmW0C4Fb5KatVmjPPlrz3GBvX+nVWUNPNhv8jA76CHR2ri
yK5XXGuhTuV9Q23BRHxJlh9DOfBQghdlgusi6kD2CBMVMqUZIR6Ieb1w33vc2J3PrjzUpUSWaZU1
IgOJYfrfSTD7aotqZnNpZaOo1kGnNy0w5Vrw9nCKPdHO22yAzQUJQRLuTIr3yHW5lu9e3SiXX8Nc
8Ip9bha5CTLdIguB2qt/x6XUKAvVNOvQcfLMNqLYYCgmzbMKSEzxNRt5AHP4c4kfHXw/FOvvpki8
TW0ABvw6C4ZCOWno0vm7LASJgCQaulErjUIe84Hj0ItekGjpvAmjq4kPWVHl2ZkRwEyYKBW1qi6V
VQB3G9kycQ9PyCNmlwVNKZ7UJtdpUTcVRY+2Q+vNSSpfTS6Uzfv+oOjAfoRW0WECGGrmQmNrWpVI
sde6I5rT4y/VbLUAWG4d/lzQwP2oby2jYAiKRBNlnl95pq0atYlkgnyqj+CGm+BRjpN1AgYPg4Cb
xNUoeE/eGG+aTNqbu9q22akF8WXpljipKQMvEpkNwpCQ2U8o9NTIe4ufwFC7AbVrb42EiAMu5Jjs
mVdhe5vF4QKTfu1cPpRpydqk6K1AVpzpoQosq40Nrzl2cTGs25IBKCUQLPrBHdMF4REAqrDwalFf
NBtBN76lUNb2YuvLZw+KgrugRPxheoQkW6BJGXdviCiozoXMtQYdHT/LmiPtj3U77MLkt+V9RaBr
YbM/Kg1PdtB652Oj+mPOvvTYSY0MN6k5mte+fsrsod8bR01Y17YhPQXpsXQUb5sgxGBnDHM8J0uD
WW7s9Dv7M1lhCiC+jLoC3NMfZNR5zUBTbQ2db/ilHbsN0PIdnRNf2vjWwgeWbq6cIqbFcGyZtc9X
bgRM4hPrhvEruT02pxG9DJIdT9yiPWDxUGo5jII/pJ2Undf5BDmu94PyR+6ETZ5FC0f+43egACeK
03ZPg6b/DoJ/Ix1c1hA8WzTLjnR3zl6xoYV2DIuHz3f7phGJ2Q2cb0OX5oeKHq3SxxAYjpKaXMHy
3SnNQ6g+/gsjpKq0AYjM5Pnk8Sj1lFpX3faIlu0XS5d+w1q/mr6yoJE9XwvXghAEOqBhUVfUzNl9
1QWrEk0tR0UpeCmlB9l4NosFE/MTgglJBFyCmLBGzCjNRq5JeWsxWFwOz+BQ83pdQifVd2W8A13x
+SebX/a5odlRJITWapOo7Bzm1zp6iNw/svWzbM6fW7nxxd4tZ3bVAkYWjHEpheeq/CkHv0zrPC7N
6Fr6YjO9Z82PYnqVfLFYtavmrPB4DWsA4Hq54DeW1jLb/VzoXb8PlPBsBM+udnLVX2q2MOZhaVOm
n/DmRiLC1qtWy+fq3IvmndgUMXwYqn94W+ZbP5vu4rcKJCsRK2gI2rGETIb5VdWv/9vOT9v2ZikB
PAEVAGh4VqCeRMJv5AMhXi4cr+mTv31A/99KCCwVSZS5ObOVgA/IhVzUw/OkQraicXYQa4i4n6/k
5qaYNOM1HkUdlNv7lZDIgWdmHsrZz88mWrIhYqNS8Kvs8gVDH56HaTmyhoNRDAopijK7LUabSqI/
RPE5qO+pbgTVvdmg5gx+cMy/DRpVO/pc6GNuRvnsGl8j9L2VxLR7OjM+2EsLGbDPlz7XUp//oNnd
6utRHQSXH+SP8jpG/izQZFq9nlMKOZQ6Zqm8fG7w1rd++wVmd4wJGK5eURQ6t9ZW/pGiLJmY9DUX
v/S0Z/OD89bO7KKNRkHRtPDic4R+aQJmGaYd6CDk3qwtcnoW1Muo3xhwHz5f398TOTdsKgavniIB
856f2MaMJBFeSHy2UuEMcRJE3QVxPZgACPcJj9GD8ZNMsb1PDvp9glwTZfClMSO3vrGpmtMwA4I9
VZ9941DxtWYAu3fOHb9Z+wKjVGD2a+nSUqcX5MNSNUmXYRhoDPaZfeNBMl1Ah3V8LuoHSr4r1NJi
kjTpm7syruoGQS2gfLG98IHnIz0MmcFNhDO6SICly/rMJURAvEoKTMNFRshDJI+tUIVgPnPYPujd
k5TdURgMKdg0xtaUf/ZFfJn2AgDMgDxYvqPqsdHaZOFXfXijZj9q5gzrIBh6JN+GSwPxcuifAoQQ
LKTFGqoXUrb5/BN8cIqTMWJrBWEdS2Z0xnt/laP+qSUuX8DwHqj8rMry9z83oPP3p8lQCDDNMyVK
lkCMtHy4dHTxFAWJbuHb5xb+hjnvzg5reGtitgah7TWT1Hy4EA+tdPPeV3+x5pMarTtku2mL75EA
aQtrYZ/+P3bJxAxDIwCzZneDmi/ah2k7XKL01ObfkEN0hIm2Z50FExmkn32D3OTScLcPF5LF8hkN
BgQy54QQ9v2GVVBZCnr640VATLpOoEZwJ0GuHFV/4U7essRkbIlskwkZzA15b8ksXLfsvEK8qB7S
60hKueEe3XCAUgsDrJcMzb+jlfaR6sXipUFd4ITOr0C5EuVcLm68rwfLdD4/MDftGTL1+b/JjDl7
oweKC2TEvXiRq2gV148W8RPq+EWy/9zOhwdR1qcagSrLlEcNWZ5tleaBTQL3IkKAN861Fm3r4skr
SiSVVNoz8qXNxMfPLcoffQcmDWIbqhIkHXOHlsBtr9RuEC9Ghq5qrAo/K1c3n5ORVk+C3tedpirZ
oaJtd1CrUfpFta/YqVRBHbRiq1MS0tIaJfjBK9cLk7u+BuWOept2QElk1dT59xrGC9Rsrd61CFOs
alofttAJp8TUwj2anv43KOb+wk279SEVWDAIYnHiZW12EgHTZBBQZPEidY/ptzDCD9pj69TlKV84
ijfuNLktGpHUWXCH0nwOK+0YIatyi+uFaniUS5tc19fBeFDM3s5R1+nh6HQjuk7jsP587z5u3eRG
GGlu4iQNArv31y2rIpmpHf14MXRhg/oB6h/Cpk0OPvi1Svn+ubG/sxDf+8z31mafFJq/xMvXjpfy
FWB6/W38JT2KB2sTblxH3cv71kMBcWX9SO69p+YpP5Sbz3/A32k3H36ATPpN3qpp+t/5cm9CflVA
ugcw6njpDt4D7YQ7ZkUKJ+1Bd8Zt/uUUXBJGu1r7ahceQWQtGP8QbcisXlVMJopr/IM8eYg3xiNk
kUAIG+PFqxBvglt15+vaTg2Tr1JC7xedZ7Th6p8ZTGk4Y06tjF//zS+wKLRyrmWFIsH7X9DLGmh4
dEcuVSVwucov1G33bu90obaHqP4dmjRYfN2MVg1x7efGb500Ih4mb2vSpMo680tN4I1hRdf/oqTV
k3moDNtK08dk/GPm2//J0t9T+OY7+3TdIa7of890tlLhzNOPPyRjvBc6GE5m+uVzex89+1Q2Ilan
0KnxPM72NVWAPVmRJ15Y4aHR3Q0i0GhC5A9mu2DppqOg/Avfl8eYx39miqKzP6pigk86F3oG8eM1
rJ4YCxdCdhPcfFXE4rrIjCX/dHOFb8zOzg3agkoSlZgVjGpTttugLm1Bz49x6D65rgymfO171dHL
SzSiHVS+GqE7BFa0zqnOl0vTx6eofH6JeW2oUBoa4mz67CT1ctZm6LOKl7SLg63V9n+YNtTt+giB
gM939taZJQPSREtijpE2P0mJnGqgWVm3Sv8tGhFo3gGczLtnDfby56b+ljLnq3pra1btGss+L9Q4
Ei+d1sD3YqaMTft5pwrpM6CKUycrgh2q/f1YlFeaWnfJqD4m8XgfomZlozAdrqsEMLSGvP7KsFDr
SiUFMpd49pCJ9sf66gUS+oVCOToZFUS0LWjMuNIv39S2MvBGu5Ddtd52gLLlasHxSx8Dflq1qF6Y
lihT/bRmizOKMAB+WhKUyBqKxkp9aqLmRdTG0E7ilClPSvoTKeR9Vqjf6Q0eA9M/xGUmwyBWduCy
x4W3/ebvUXgBKJYyQ9iaBWOEnlTA3Ua81MQSq06TQxtsrbpg5cZ1NQkQNObeKKR71Crf+9u8sRi3
FQnSJVuh6Hrotlm3Ds/ggcNig+jd5yfo4yV9b2yWzJZw+AVF8eSLWcKfyOX7xDiNTFgDuS3uPjd1
e2GMDNDpCymibM0cgoIIpJJD6LnAC+n0TegY3/0TQlxQ5Z/7f7UwTbFkWSR4tsTZwgBEj0FDRZqb
QT6KmqKPcipAA6g4ny/ro2PhCxLC4sktOl7ziA9RoXjUBwyNTYVei1yM25q5VlsvU7yFKP2mKV2k
cW4hmKLLU/D55o0SpCHJGxKgS0n/+w+UscD2gi591QP99fNFffRhLGpKB4D6yZZozrcKQWrN8rCU
AsgAsmHH7QE4RYKGVhYvtAakKYB778QwZqHSbOmmRCIyc81RrEYVA0tkQBM5YsCg7oxnxkrtVOOp
Nr4ngAiC4Av8R6RWdxEMT8VfmM7+8WLTNtfJQnDXJi3C2VlJfRiERceIEHMAyk6Ik9BtT/R/cVDI
4gyVUEYCuzmzgriZRGu6ky8E9SLIGBU8oZza8sPnW3frRr81M3vt1RIqPpOb5UsW4wQPQnBFzxUs
2OdWpI9xKd9sCmFYEed+3uPNqzEXXMToLqHyewAbKURPNVKqabKL4t8AllZqwnB1MN7Xzw3fugNv
7c6+4pBTf1eMQb54NHDVRL0zup2U15vPrUjyjTP51szsKyp6rnRjIsmXNEPTwHQVJ2MK2boqqf5P
qFBmedTtniyoPCHjHRyQnkyOkREF9wPiBAu/ZjI2uyBMrLdUlbeHZ0Gf3Ua1TiH8d55xGUDuUGsg
80VfZ+WVhrJGfLhZf7746b7NzFkGubnF88POzs25tFH0SEX+rw2/K+iJUyuzvf4q55zYGmaP19z5
RbVwBz8atUSo9ppq6pT3SDP4UW98G1SaFhpbZFyCQtoJ6Wp8jJVLN0j3Ufhg6gdLX7B3Y4fRqlAt
QkGFRJapre8NKm7Yg6nsrIssNesC7Y8quBbRHgl3xOjKVdECO2meVUWyDTi/OI+Fr3wjrwWkbELJ
nDwfcel0BN+s2IJCY4bq4F+T5odmnaGsrtRwKwGJi3q7Ad7To7/IJ2e+gZBcwS+Ow9GANYUUVIFs
WKMnjKT8ZWmF8/n23/oyhklWYinMESXnnZ39DOY0UB7JvURQboBSiRXx4wFgegsw3mewKoUhyMZf
9U2wNK35A1plegiQA5emTJt4aj6rvR2VGuSt5127Rv6Sl/s8sutmQ4ER/fuj0fRrC2nWUkB+yhq3
WXLUgosk7LygWrhyNx4lABwE8SRnhCwk4e93B/YNJCkp8q5wJh1F+yKOVFXKx+xVBrtxBMArZp6N
yo7T5d8Mb+H5/VhFem989tDnqVa3qGZ41yg1N8WAwDlyC5b6Hbl3Owf1J7lLQ3+n0/7+zvOxkdlX
eJ9EtMZntyFgjAl0MsW7It4E8TAA1YaQpLVDLmWpT3Pjpk/BBdcOZKFqzPs0TO4aB2MwvKt+RFZS
DfZpfzI6axXr0TorvgnmwkVbsjdbmhoyRYUhbd41b6ZmFLoy6X3DiD7Y/A4iop9fno9lTQXgCVgj
ijXk20S5788NWD5ZRwElvI7DydvF6n7wjmr4p2UDo/CpUemyo4ifbwbdO8UdJWRb6l9DB1UmwZaF
rSXcVcghuyioFrlgF90WpqCPlnkcBkuJxoc9f/9TlVk+wzBFlPmjJrxmX/xvbLh5KX4Xz/262ccH
0GjPLlD1hc/zIdKamZx5+Y6xscwt7MJr1X1TmOjd/P788394KWd/f+ZTkZUzKt3l76stciNmYUMU
LoIfbfPtn9sxZZ0qr877qMxDVrMt63QYh/Bady9qWZ3MHJeU6MM18DphYZ8+xOKsyVS5LwSOvMvi
bJvSQutqIXJZk5GkW7HPYsRHC3LgMc921dC0e3ifC1HWx1xNAQ5EtIE7wBtTon9/jMWBxBTpuPHY
2EwxWXdbTuce7kOwCFv7cD2xRHFVmRJqCjTzsDjRICoGrSceqVg7/V44Bba5EXfBwqv28WS8NzN7
1AbL8JNQYNh1c+idaAd4VV7Kbz8e7smERVMDVMUUP73/ZlZgJKKgBuKx3lOddiAvrSrn1bvYB8Sm
7n/90xP4zti8M0S9kol5I58t2vmOZcv30v5zAx+P3XsDs6saT/HRIP7dl26N6Mw98IGFPZE/eqD3
NmbXtRAtxJE6Xzwaj/BCEkgt8G8e+ns+34t7DmyXlXVOcKHofeperau76vZwUDbGfbNwyT68uH9P
4X/2zlTe713N0N8i6ULxWK0t+gqWbR0Cx1hY78ekaWZlOkFvQr4Odk2FxCgnxOnW6NVtTEd9Xckr
alkL67l9q/67ntmjh+RZ0rQh64F/dhc6gm1c5Z3gLJm56SfenHlzdq0QL4ZtnLKD1Ro0j0NBED+R
/mi3S8dRWtqhmUdCFwMV4RZL7tXaNevpEsMvuUbP+Z11kveKXWzkF6Z+WY6y8Ggt3YRZNMb8ehTU
ZCzLtm/nd8raW/6OS6ub+Y6xaKMCPpd4HDfWJul3yk/Cbzu9U1eSjVCprZ+sC1KtVuN4i+u7fSyp
aBKQAWYlanl/LIs0VAPNj6dj2azdQ+zI+8IBR7Jh6tOCV/mYXExX4I2tmVuRZZcRhIxqOE6bOKyj
nbFznXTn75R15sTrz33YTf/yxtjMv6SaqYwTceq4f9gtvZDT//ddxDxbyMxjlBStCgUowLHlJAbr
hHPfOf3aJi93gpfP13H7mum6AXqEIgCdsPc7hB5OIghpIYIhj3Yotqzzu+iSH107XPAbi5ZmLkoV
0KL3FSxNF6xauQ76X4f04NpLt2rR0sxFScgci8W0pm7d7qtVsCYedNT7cpstAFxv+sI3H2/mo3Km
0sTekE8+qndUe3oujUP9v3+6uYdKmyEzNRaELuK+34dOvZL+2Ah6PfyPp2HmkNADsaRQYUHlBh2H
VbWyTpEt2cyVWjgNS19u5pUaxt2nbsSKGl7FGNIIMaBdX8WFBd10fv/doHljxc2FRtEt1tM70+Mr
72ni20ue54YXBxVIwC7h5Ohlz3YHqD7tUQjOGPHtECPDffIvruk7G7ONGUOV0WPm3yONzpCzqler
bC/sl17dG9/rnZnZtuQWo68gmkzbwsxeW+TxYxrFwt5/bL8BtHvzwfTZq+ChgRCMAbO7ixX0fbu+
Z8KoE+KrA4THIZPEtrlkUvnoU9+ZnD0OjOdSkZtiYcpZv05+VbBTNORXjSM6hz9LfuHWu0c72CK7
oeYBamz2HSW0AcOsNaZ3r9/n3/K7nltk/Agc5vUtLO1jtW/6mv+1NUdbd0wdNfL6r63k1KLZ/NDh
jSrKEUwRu5cf3bNkZ7/kVXwQ79yHRWc7ue3Za/XO/OzLMpyvhBv51/zk1mMH+Ojf21xsmMpg++R5
C05q+osfLAJ2BKnJ9wUazH//JtaVJV2Kkejj4wYr+OV3+Vpd9TbD3m3UjRc8/M2zSrYKLpQCoqZq
s4e+rii/11UkHZMEkrVPW1+/aqRgX8fuqnmHKrnKIJSUJ4bjrjoo34agL633RoI5Jcz/+QnT2X6z
XskvggiVWYnnTLZjxzqlPyFYd9/cHX1V2zwJ966d/RTFBbt/KYTz7/zW7uzBHntNQBIDu9VaOKMp
XjqBY9rjfXfiXb2XvwR2gng2Y+sc91z/QJPKqZYaeDeeCRpnlk7eSyv0QzUE7Re+PVhPcmuNqb6O
/xQ8BA+Tl2XW0ia5Z2obM8f8h/RUriJnyVHdvFpvzM+fD6GKKbgxdPTo32vn2jmW9+qhvg92m410
2jKW9wfz3P6MHL10u3DGb90qzdJVKJ6QG/jn2Z5rXSaLQ8WeX5u1tquOPm++u5vciLyS75bzhL81
uQ+7/cbizGWJejt4SlBLR7T1mFC87mzjsdtOIU26q+xhTWJJwQbVqrt+322nRNbdjbaFlPsrMxXj
VbFZzo/kG6EwUJf/fAZt9lKEQgC5eOQzWDvtbF7p7l+bw7hh/gvBFgPq05/VK0Pot7nNRAsS+oLE
YmEnbkT6737CzL91bhCijcZP6J3YYSqBkx3di7wf7XCXHhlJbQv/R9p3LTeuLNl+ESLgzWvBEPSi
RMi9IKSWBO89vn4W1BOzySIucc8+/aKIVkcnqiorMyvNWuelgGLuKXMlkzI6eK5VMgNmbBxDnpPI
Fn4f2piZN9Cu0j1p9sIap228c/Z0p4FSClInqCW3fxe2PuLyHkqW65qxKGjpPCmTUoMlPolZLEzA
dcoOlc7owITVAY7SGWDRXi+sa+EWSdRDoAQYiztO6+rM6V3vIshINi2Wlzy4sBfev3qEXp0c9SLA
O0spk3A6OVyW6Rna7ypdeUztwUBv+lIUvagoVOg5McOIjAvl9HetkRxAZfR7ep0BLKJNvuQQlraT
Mkp9PeHFKzARDRxRu8aYGnjYjNoAVpXJr13bhRFgThJC7FxXoDxgB0eua/FUZ53ChVGgLJXqAcag
lHGq4OL9zQsBZUpvj5OxEg2AXuvVw2QHNINZTOYJk6+9c1Po0FUGZyFYn3C+6sndFAeYQhMcmwfv
pTbQJo1dPyLNd0TLm62BUZa0m/hZLo1RB0t9S5RNY8SH+ADq1n+ZA7zUPZmyVCBIVzWphTJk5nNl
VshxPqykE0uW3OJsdIuuYY2TMe+BsJpSckzZR2ETddxe3o9/lF+LAZ5iE+wg9mIidy7Yu5RFaXjJ
NJ1cAf3kNw3IPfVWt2rX4NGF/U9t76Emyio+TG4xxIUGZAy5b0Imlb4973+WSqk8sMMbcBxAfLMB
DqaOxDGcXrjU0Lq0SEqjQ1lwA4C8w07piNz19BicJrMIAoPjv3oJXWwo7VJh6zkgzUMWqu7Iq7Zn
12gn74nj44n47x57aLPEyAJaZNFcRmllLMRIMA3c39sa7tQ9YONhL3B46xb3QbV88/6RzUZtCBll
4DGIwLSUqTNLOsVLUlA67kGb+NMb/LNQr8+Fwa2KHTOYgFuy831m+fsMD01mJS3FrHOHCesEaAiF
BzAfvcHNABikBExqew03Q4WGou9VB1aWgSh96XUy57gvZVGbWzQqG9fAntoPK7zY95reP9Yk3fx/
vIOme0ZfhEtJVEgCUMC+EkOsSjkCLP6jPSt2CIeq7uqf8iM9FJaIIoCrD4/3D/O2bWMayrvYTerx
AzsD0NwWKwQt6Ck7tIhJpa1rlD/KxtOFb5bUQBpZkDl7guijm7qiQOhJG3nXdbmolBoefo4h7THb
eCZOcYU5aXb7bwyMdiGLOkEOEDJBMdbQFnsqhgbf1RoN7QtB7JzHvBRCHV4rSSUXAZDw985PphNh
/UpCgHd/45bEUGcllVU3ccFM+xYh995ugAZP0MW9cMFn/c/lcqY45eJBXA45j4J1y6Ow2x6rk7D1
zAyZqnYlvgQL8/JLS6IiyJrveGUEffdvDRmk2pUBpmRo+9IJLa6J8qkBfJyKcjwPnzrF+545meVe
dwm3L17uH9NcfhwzVv/oN+VTI7BkZpyHRZUGhm0OgemjvODbCN7+S4WgLHGWjkBampQbcP27KSc1
2X0saskMTqdwY5wuFkT5zyzjKnnikoSXnnxaZIsfw2F6pAJM0QCyvjFmK+3rv9tFhXqbCq3L1ZUP
oVPJlUViJtHHDRD8dHfBHv2OgVHLA1QLKyBVrYIWgO6ZVhIgIMfiwKNM2B0iG80MO8H4U6MLoDMw
G/7h4KKZxdOTZ5xOS1s7EwBdyaaOsAKwZoLBCH6/fc0feDPajgSY3HqrQ7CkA73WTKx4tbS3k6W4
t2LqQGulEHK+x4rHHcq+wMtF8h4EOLvkoT/ICDKF88JhzuTYLpdJZ3oqANvxUoxlKmTPGd42t47r
BzM/VA+O/bWwpzM25UoWZfLDEf3PYojFNSbYYvFgi3YhaWxp4fLNxUFXciirr/V9ADxerOkV4OFv
rM6gLWBcr7/R6Eve3ngLaJug9YO6LrWqiTOnx/02+cgKOv3pNs8qiGpe6wtsptgckqJ0ojhaLRzY
jI/mOXQviZhWwLSbOH3DhQ8I0PfDCUM1Xfm/ZZdon2/rw1SlX2yumF/PP7IoJwCEbwEwy5Ms/TcF
6xNAX0+R3ZR6Qk3W0JjFR9acQqJXdWqU1tDvx1Lra4KhbBqu5PehXGEE0mTYNyX5kZVF0Ik5QTyL
1lh0TQoTrNr1RjZJEyVcKPJ7cdXiJY8qJpJr60d0x5q8hVyjwcKFLxzenFG5lEktTopEMMDEkMkd
3VPy2Dyna9YUjDMIk/TSTJ/jQ3KuD4LZ2fcFzx3kpVzqIPEUyRgwDfF7oIyCsMGqpO/7AubCVcwF
/bOblBsHY4yniBEkMMBinPCQFcPNt6wLapbMTNtD1a7K/LNJmXUuvaiFUYL8d6n/fM6+XH4D5d4B
oMmlNSYM9qzubqLtZ2R6Jruf/BPAO2FGOwNlDBBuottk6ebP9dJcrZ9yFy3fgE6uFfg9qGLN6NCu
hR2HkeaWtCQmwBAeDNkSzFKHuTsvbP2SUlE+Q+RyHkMEk6f63H8CmJacH1erBxQG+tVTR5aqUHPV
kcuV/lrfCwOUZFAkcMvg6aXLq9H4LMjxPTbWwESBc5ThmcvpPb3tyNd/u8m/n3Yh2q+BTM0N2GSQ
OaFOy5BxfTyvHqYsyAf4k5C8PS2lDRZ06jdRfyFSLHmlR/l0MrcdRIYWgEWRbV96QdwCOgGHFGgb
EwYARo0EGulQKZkAPFHSpD9gkgh3rXW0jgH5/i7N0gRV04en/yzozeQG6VjjUiTlJoUaOOiBh91E
rRbtFdmmQJqn3pSPsp3rixWtWRN0sUDK3IIQrW78Agv0fWSkrf3Z+70a/Cv7R9owRm7cX92SuOn3
F+fGi4wSJAHESVFGRvYgZuGChF9vfm//KKOqtSFYJ9z/1UZRF83AzHSc13QDYrvUf8BDtCBz9qpj
ilUD3ZqI4QLKwjFIsQA3QOb36asHXsLWyF/QdlsIJsiD7+8fJQmjUWiQliR+KuNjClOi7BnPAxRW
S/nUsQCK73CwqEcwx9n3hdCR2l8pE8oMStoYfKMTqh0b51yUi6nzjLab8Oijhg6EMhAi6BvgahIQ
eNid/aR3hEuX3hZUHHUjmtpKjVE8L1aE1NkaVvPtGyPapVJrJGq7ToEyres/8T777HLTs6JKXzhH
GgDjRjq1vXLTdVFaY+Hln8rMA4zSJqQ568IzujK0xiytU0dOU6HGXpIsXt/6v5LR9YYCNwbABZm6
9YHA+CCIDhInFv6AraoH9rxc+CQcA/QJq+pz5QNNMga48RqA1uXEDr4Exfc7VHtxcX4/ATYOyEIy
jxIvnWZSxLgDmHiZOD34vNRVBZpqgBaYvDkAI10fvpPIGsAhE61Gca2ton15LAtUmkVLBr37jvse
E5O3q3obBnYqPdxXSSoq/PttmMBUVQl4M5pIqUUXei3IE9nE0ThwhDOZymNaKIXoMNdBNbhU05ls
xM1WYDQdcTzm8lkasmcoObGQNSlxkn4AHUOcErEEc47Kre4v6xc8lRYEk4ErDVkYL6XiM2GIMrGV
69SRUaL6BMNdxjxgdAdYOuwzcNYKwn5XOTDxO9AtbaJ16VtMaY3wB3/6foWxHiU0YtccEwDrb7wA
jFGb6IXfiY8Y8QUVvYvC6Y+XmGNk+N3p/qfTc2O/R3L56dSRgG0lgutoUkeVja5PMMED1kwSAzke
4dSWCddpQTK7Oy4lmX+BYG72TJnGcQUMbNyg1AQRWKE8BTbQlXUFHAHkHKF5szUeAIKnA3drWNUg
rSfFV7CqnIlxBxyYNZIDfwCLXe0Ccd1IC8dI9wX83YuLT6J8Djr+fL/t8Um1ZQymaA7f1lp+WKXw
pX/yH9GG504sjDetMHH2eP8chDnLgYm2/9sOSoV8rlb8ghtTJ1zLp+jjVfw5Bo/KVl4nu0Avt164
qs0fJAr1TfIUWNL6gBnXI3pE8PcWbywlKOnE4e9WwH5pmKXHGO8NwBbLZEM9FEnmiADCLNag+wJg
P+ghk9e25djnOgBdpyEAIh0vfT5In5oxYZ+BM5+8ZoIWewv+ZM5uIEklCZh1xxuEjhMHH78DA0Pm
NLU/WmyVpaCkT/5UNSs9tSW7NCw+6TylmsBjBoqPKCCdiTF7/P4ivNF6BYTnlZI5mCgX12rA8VbO
FpyhMOBuEgpwPMZlLC5oH/3ImbYcqOt4LaPjUwQMO5XA4Qcu4vKmzhw+NmSJlKGJK1lmtvBYokln
xQ2PolHsS3krcLaC/o0SxZGlgJyOlP9+BOpbImBcFQE4RtdLFwZ/4KW8yRzGlrk9D3ZikRS7AmCM
A8Guo7FxXYlmCgqlxgIcaP5HWd+/CHOaByOKaSTgRqKiSIN1ib7HK75UZM4nnpiFnrxn5xqzEsHn
gpwZnYKcCUhWBNHvjXPIU14YWR8rddEngoVW47nwwUkPbSoicOGCNAPkdJwEoFeGNKWnj6MpPUcA
nSmk/3S08Xfb0YnGAcxhgj26WTSoOmNPTHH2pVVnG2fzxBgbcecTBClfzwuZwjmbjwlhgNSwAisD
rW+yRRf6XbZ+0HvSkDkRQWCCEGBbgvQk1aUDKGQboqRWzpCl0IgqKv5dIswJYL8BQY5x6Wuh4F9g
uAZMoE7H5p3BFINC+IYT7Rx8gYTJ0oEoLWjAYl89d5rnrsaWXSrB8TMXG5cLh43QQ2VvkPVbrghd
3Hx8g+uyL33gMV9pL2iCkYJ6ETgJZQaseQRQ3Rk8kyjpaplaKQc3kjTwlLptFBkRRnNBjdfHHojO
h6YJdxhsqyKDHSL+Jc0F8QVUqZiHZ/2qw3y8EnDwGUrG7bwuZjWi8Z3/7Oa89FymVYteQ4URHaFN
86Uh4jlfhjlP8GMCixFj0nSrXwwi1NLVJrpY9DXKJvjclBagSBEBw43OFJ/8Gz6H2fACyR66AiRH
nC5/dq+FJbu6yukASyMyWy+8e+i+10kJAJaA78GAOsJAGiCeB/Fl2fic50wcPAr6/iIeTY+ysurB
IbbxMJHSgYwt7s1RONy/77+vt2ujjnlNCdj0aPoErPOv5btQ+qLxRDUCv7RjvL4PZrpGx0C9Zsh7
Rt6xEeRYYRSs0DOUMdU1/D0h+pPxczrpGwzxGbsdzCBKZzF503X7hD/2QJ6eUv0p10Gqjs6kzWaj
Py29J25tFC6MgJ4Y9Kji22m/B1TIpBA01z1zxRu440hVryP/we8XXM/ttbgWQ2UPfDeT1AYA02ek
2UwvPlSAEAGAECZ2twKo3O8fBD1ECR24lkZZHy8r4HgiSPM6Y9DztULQePOT7/b7vQUWivX3n0Ej
/abXyW78iR6WOilmbsa1fMoQcW1ddsCrcs+GvEKv9976rHQQD5G1+PDwwlo5kRFQge1IB+b/Qhxz
+yC5Fk0FeSofqUo0iQZtoZj/cNExApnq/f29DSSvZUyHfaHnoLTxEpgV9+zHTtEUJKgXbhKdmvl7
gJIwwekgVQJ0lWsJDFjNulHImHNiuw/fq37Tbg4AtPxCNXsrGcOCvtzmSrAeCZExxE2cDNSesYXs
tULZMGdAZ5G+Xk/UawNIRIvPWn7ppIXK/OwJwTZNbkoBDQZ/vTaXL8WRGVpIkzB1UK0S5VlAO/j9
I5qJcTQWEF8wgrjcLMLaaynDiPq/mjLMOTMjM1mpO5Vsfjx0/S4ldecMCPZFRJ87ICzw0LoWJKN5
T6l6lzn3XmL1+SasBFJV+6L+z0NmrOhCELVvQiVmoIaFIC3t8HZDC4XIgkdWIQH7J47HpQ2cs1iX
4iiLVVWNWLmlxpy34JDEZAp/Qrcowfv6D6ebqalv5O3CQ3nuWiEkBfAO4iUAjFE7WQqFEI8iFhhr
rSmDLE/Cu/2+WszoHgJAbsoNosIJXO/rw8rjqgaLbuI5sVy+lEG5A2ttQ/wgMe/LmblRqKOCPAXL
wZPjt/33wkKoStiF7Vh5TlplGwDnHF0petXS4FMoBlIkrcXx7MK1mslKaVcyqQPrxd73BTXznL11
BNY+wAbwo0cGfk1WawJnq29s9xDjTfu0EO3+TipRjv9KNGWuuFKSq7qD6NdXVn+WzedOB9+jLRHD
staaiU/4RLrcI8g3lOB/24qGjAEuvV4hS1jZ29wwfhYyszPae/VFkyJcHIDCCFoo1YXnBIFmyyO4
xiV2V/SckZS1XlX8wubPioORmV5VIJWSKb0KuVx1+cTznAikyrwZNBIwueyo3uZZsnAx55wr6suc
KGBUGenPX+d/sTS+jaq6F1XPaTaFqlceNlQgqUowXnqsH1JDcvXKJTVGtomHWVCXiO4Z8LUfXVGS
7M2tFr6HbmWffNXV91DeA2y9gNdmeM/BpDj3ug/RGmGBNu8nRNeQ7i54RqqcdSOMcr1g2JWiFrT2
TjWuisd2x3LbDwmJJGk//KfAU39lAWwUM1yoISDreK1DTF+zSRHFvrNNyH4kHGcOX1/b5xi5qa/O
FpbgKeeiNhQS/pFH5dRD15daFn3qTheu23oLyMNo67eWAsZllgSujfxAMALLPjZiXzAEcdsGR459
TbQ1X2/RycSSnNkoqQmGbKNPd5GrLMQ9vw9I+p5ffiGVtRn8eHTZNvQdzEyD49BC0QNIsQTh5Ze3
0Q/cOz9NONfm9/l4tB53DDq89aeT8brf2k/iZ3AMjFS3XfNLMTrSEXupP27+avyzg3QHbyoo+Sj6
ke/w0jbkSf1SgQAWc+SyHiobYFNnmwEgx3y55o34NMj74lxxpP+oH5lUH5RT7i8k42cSTrgbFx9E
2QXkRoKgq3CkEugO3DeO4UxJswU3N7pac6TMyoAaKyD3xJbA7N5UuQF+Xe27VPdgqiexu1QVm3kd
4oMAUwDCEGQlALd/rdMA8ekLAFn6DqurG9GsVuML/xDo7GtnJIbrYhCTXbixc67wUiLlloaU15La
z3xHKW250IcKU+Pp8I7UvL+Uw5zfbhQiBBBaTGCF1A1qkOFtpQHbXYiWAPiFxBCfyoOPeUfN7A4x
SQ3FP1YsigGrEbTRJMYc3Pm+5583h5I88cCB/A4h4fUONxPzODhAceT1apRL9P8Im9D76Dy94JHf
TcN1okYr3lXAFl/p0lJJci7wRZUaQIaAbBPgiiirJbUyKKpTyB9WEil+QFAfEjBHc7oeWQt+n26a
+bWQ2GzkekA2AHBASr3bEcS4RTr4DmZtLa96BmN44vpGy574YBvKE9+1HoDPk38rcuIxBqvokvK8
sOFzMd3lR1AqPebaBFQ3+k6jPDWqrqk2h2mFnqiZMZwi/zQMlcFlAYDdrGHN44kvl/yCD/xt3KAN
I/o7QVkB8w04N+obonzk4rHGN6AUaiWxwdXkDcOlh/TgOE5iRQbGFsgPTN7p3yx+yiQDPxl0nvQM
eV9Jau2xMiyenpgKIKYYDLqsWtP8kPSv7FNaSB3P+igEOf8njzrxoFLEopcgr9mgmbU8pw+RWe8U
O9vLhv9R2sJh3DCrA1gfwJq18UnziVkyfenIp+2ktxsNBECnwXtVAjju9R0rvbLhk7gKwOH6BN7r
4KSUJsjdeG+jaIck2nlfzEZYYtKajXIvpVLeL/Al4Aa2kOoLuvX6vvf/NKtKr4g1+cFXvMzT9aAr
6OyRA/NBJjIZAhTTDs4BvF6kJM7T8LJtFjRvzrqqmG8HHwQU7wZbUAOxsZYoru8E+cqvz2WzTfk3
BcOgfUaWdn2y1PSuT0YFuT2FA/EEFVODejIfY4FFeq8zA+Jthn1AVDDUHniigCfu3/hOGJaJLxbz
HECCvT5krUQDqhAxgZM1nimJfzyFCLyZ98A20axGfmAzPcCAe/ZTA6Nwl4QGCLx1WdSTchVrS4/v
SRi1duwumPFEFfXDGyA3lMGKIvD40NHqlRzbHHvq3FUoLQRYM88IDI0jEwMBE9AopWG9EAoC+LJD
p603jKDXghGZg/+gjl/3zcb0/1CrQbuKIkJpEAkgvr3eWl5sVLWWmNiJmtxAtzFQZonYrIN9KdgB
7xF0OS88vGf2T0BRUcQoGQAg8DS7lhhwrexHvRbDTh3rzWAtjhvNKOeVAMoCl1U4uGkDAdlh3KYG
/51v0fuBeA99xdq5+2Ss+1s4vyBkuhFJoRWEBvUsUoQAtQh54kDa6kVSDum4CdOP+1JmyilITMuC
DNsOHIUbli4uSUq+KsLEwWBoVpLaUEh4rnftDmCsO7ypR/LYktx8SIEqk6Zm/cwhTf5k3/+K6flO
q8vlR1AX30eDk9c2+Agwxpsipqky7/O+hJndRI0Q3YMsYlMBFuZaPTq+UbiuKtCo1cNxj+sAiKhd
cfIWtHBmIXAaImIVwLCCsGX6jIunc5m6cT5kWEjZJs8KW6sWV5a5eX8tcxHYlRRqMUBiEn0RnOdO
rB3bdiPs3CDWwc4Tc/shexXGVdWDgXEpFrst/qHyc7E2yic2JaiUx9xPENlHypM0/lTjKSwOqXfm
KryH1mG3EAvMGBFEuCKMCCAu0VxCZVjLLNDaNIoSp5NIU0ckjB6H/q2srZ5H46B/WnqP3+gIDCIE
AZQYSWO8XKjDaxUevIJyljrBEAIhN85RNl6BJinQ44hfUJQbQ0zJoo5QVMuk58IodbhKMUIQ8/ms
laAFPADJUcP+ua8wN1oJYQiip7QkYKiwuGutzFJlqJQA/UHgStK89rMtq6/7Em6ffZOIqfEBcwLI
9dOlynzC3eG4Fn2KaKzwURNqX185QMVJlvfAb7fMkjLexOSYe8D1QosF6OjAJkudlZCDqAUkDjnK
3zBYGPtmAEnmkW8ZU98j4D4QDN9f4e3Tn5JInRjq8HIfMULubPN++wl+iFWLbuDv0GoJyM70U0O+
bD36Y2RLt33m9KakH5waUAVZdARSpxe4QRR6QeHgdWO8a1tACbkW8Xjjo15pobHYRH5z7bBQNFMA
IR6OVMJj41qeF2Sy6vZd4YirDMVu07fAxTFGJP/uF5KaN7ElJWlyuRfWMkw0pBkVSGqCr1g2nhqW
PA3Dwk1bWs60vRdCpJDh03YSkhBx0FPRljXiqK6x8FBaEkO7MJmJ+NLlCqcwp8bjEIlozYx8wr1J
5yCw7ivjbffHtHPAikeRQYXB+vXqF4tCnCiB/FYuoP7yu/puJe9adWjWwEB96kjcLqngTewDcSLq
/SyGnkUwGFCLk2u/qnP0XTroe1XINvgoMqsSjRc5JRgtlJPFGafbRMskcaJt5nkEkjAs16fGumJe
Ade6dFBdG8iI1x44e0Coc1SQtcKQgXjGiGFmKK7exk818xh/j0sR5W2ihfoGSnPaAExsFRjEHExT
NBNwuJEnpPZ1YHRsNr20oKfTHl7FQJQ0ao9zRWndQutLp7SA4b5dgiWds9BXO0pZTLbyVSGTq9Ip
gjXuNTH2lloQtnrrI8MWHpTzIofhFHLfWxFlMTEcF/GZ15ROqu0ledW+Mjy0J0xOhbvRKrTNkqVU
4KLaUDFKqORSVAtQGyHbc4wxJmg/fRHNPLHCPzmGbjCyDxD+hEe3NBoDCcdEuvCGVhlp8crcREs4
zmlCb2JQRCZUonxu3UXoQGSSyuG8xwQAUWpKFG4zunoN2MTuNJpLNfbbjnl4QbA1//In4e7/5tIu
bAJi+KEJIrdy+vI1QjucE79ISEkmU5t6eFCJsk+3IE0bN6olIFF03yLNxDMgiYI9Av2cCHx66q6w
bCuEsaZVTt68ho3eGnL7lOREFRfkzLgMUKFNrQQKIhoMeVB2wW8SlcuS2gnDx1GwFccr91Ckjvj9
AlqHMF0ISn1BC8OhLqOhOgPO02tRyIkUYAcUaoc1G+RgPtFnpFjeJnDO+7DEhPXHhkf2BegyABtb
ecdU183Hp/J7i5laTM8tDSjOxR/4HOSiwAQHyBS6h2IsBk1yO7l24kb3wf5pJYWZ7oKt0v/gZG0A
Vq5GbRvVa2m0eZ90yLczhnhQf+LXMlpwCLfpSOja5cdQV9sbg7DtSrWGU22/MEgI2D+0uRIASSMM
Q8WDkAh9ab6pkA6IdNul1M2kTfTRSDx0AIEmWHBY6mi4KpdbJh8ap5TB+uRqwqgnOQit7+s0P+P2
ZHQ64lU8dRoiwLvWgLJLBLcB2ppTjiUBQxD/HJfriciRVIkZArbT9gHdpBBvNMVuVaCZugL/e0ja
D7V78dVtKG6bRs/8t/vf9Zv1vl4+h4ZmzPtPT0z8pFwFHvNhoyR875QckR9d8EGv2tIU/gDmyAZb
3+itfJEMud4Vu5E3uszkhGMckoS1ldTooi2awZvVwBl59eUaoJMWNfBymu74FfGjfv9bZ/bw+lup
PUziKIs4j+2diuyhlUgwvKNqMHUOTHABgXlOt/lB0p9iHZHE14Lw26DsWjilpsgyBmpWjD2erO+x
vh9M5CwjUD58TsnT814j7y8BefuQVpzu6IeXjwX5t53YE+3axMyAx9H0/KKSUowm9qlaSD3CNLAM
ROZoJ2g/jEojBaGAZ0ikw4y9qy+IvTVc11Kp25EIWq2KktY7dX8YJMRncQUmTTvhljqThNt7eC2J
itJ4MFGKQYX1WQmxjsb7oPdWY44YFavRfmHqO2SpPwHJSJIVxrcxMV4Snd3qsNZkKU99O4tC7fX0
rRfuT0uTXi44t3eS53QnvIiAER/txxiifNijQq+hcN6XFhLjhLIBUDEWPBONnQIEtevNoG7lyKHt
iGvwAV7xxdXb1Ce1uIsakfDpWxTmU+MnIMHJgorf2ihI5ZCXmYi/AStMJUmYwAMcKMdg2YT7Y/lP
D+9r5k+9Di2Z5B8fgoJuWPfoHgQSr1iPTKiUCx9w65HxASBKRToSbh8W6XrfJS/Q+FH1Bgfih5js
MZN7jjYeefwWv1aP6/hphVlBTB5/iocv+wdQvEtF+dvJrWnj0ZoEtmHMlqD16voLGCYORTdJBud5
+3rcB9tP8O8cjihVBeQx365Wq4P5NJDN5qNaH5xNbPoETb8n+/n+RkzHSxvly6+gjp+Laz5z+Rj7
AATE8kWpIgKEuIXjnrtwOE6c+IRtgb7w66Wi9SBXyiofnGA03UoxY04z7y9j7jgvJVBXuqzcTPbL
YnCqBJBzUkwEARc3WnmcYkgRnpvDIkvybew4le//WRR1ftwQ9sBYzgYnN573exQLMrIdTq+v+3df
P56L/Rku3kg5/bEn65Gs3bVHzsJ2negrQkzTyTji+IC0RPvqg/0Uko2ZHjAc6/yk+pdxf3PmLKsw
sbNhJBPjoXSGUGSmAm2Cy9YlExnvKRzfc0w1J+rCMc/KQYs13g5olwU/2vUxh+44hsl0p3LkwqfU
p4rgipXRQFH/3F/RnNZOhXWM0KDRC4SP15JyV8jbQYsGB/+oI5KEgUGZ70iLDOh/JegGRqfD3sXT
JdWSN5ff1qwjcK/3Rczu2j9rueFu7ooKVLXhABpqID97uwQPAy568fKlWt3CptENxm0jeRq86eA0
Yo8HVop7mIKOtIj89f0VzV33i9PRqMso1dnADAoEuR3eVBrq/Fn9L84F/JcIcWE6p4miawVoVF7M
2LgcnDZqDC5G86h3kMKFdC0NIf3rGy+lUE6iU8BBW6SQglTRLpkeJ6/7I2serYfcbsljv318BG5U
a759iDz5YImB+Yz7W/lbL6Pt8+UnUKYTvROtK5ZQwNx43WZE0WBm9pZ1fISrWo2HB+GUkt0HCGGe
bPRRxPqC6Zg7yt/BGQFzgehvoK70wGNy8Ff/mx5N4llK1Oj9/grntPJSwmTZLwKgKg9lL+yxwCpC
z4JvyN5zzi116P0/ThLTLP+7DtpgSAmvVDGkBKGdkOd9NnUnHNePEjLizmP38EckHWKPFiAPAFjR
p73EDMaCfVxY6m8odrFUpQtB7KriI+rJPmrfkhN71n++myji4e2HAUrASVD3gmv7olG8AfcC09tV
Klluoa4LbalffOYljWIhenqAVoW0BgaFrk8tjkJRaPh2RL8LcK+hk/0aw+fGOtoTE/Rnnl5ulI9c
t5eGy2aym1eC6eoayNxSGZSfoyOQ0l/JH0G0rd7Zh6IlLgblRFt7yD7vb+lcaIEgEYy7cJ+o6VEK
ynJlWAtZNToJmpiG1BTRFBA2j3gnv0fhQvZm2jb6tkMOZvkxgsrikXy9rekAlp+q40dHHVLSxE8N
lxu5QNhXJjxpQr5JiqWZndnH3qVI6iTDOs2ypBJGPPa2AzC+0S6ke/Y7wKsszyFJo6foe1jqGZp9
dSDrBixbUKhirHq6KhdXoePTKFRbdXTGyNJiq+hZ0keZkQgvAUM6dtc0JqZV1/dPcqb+wCFk+Efq
5IovpHqN1qda4Y5OC5IHmaStiSZiRdTb5ofTteQBDLmAAEheXd6+L3n2XC8EU2a0jNuC5XMI5rWH
YMOBuyR6Y7M3X1iVm2QJAW0uML1cJaVEmeJKipZOwrxTB0p46TvPVnF/WuotobHDf93j1NnHwgoo
iCEpPx9hsNZLBGl09vtK31rIItntuXAYc4UpRj2wWMPh9D+DZX6cEpiIxs5XP6HZbE8LTmp2wcAm
FjHDjIv6+9K6OFaucIWg07TRQaZeUK3aFnwdHNBLlZXZQ7wQQ+9rlTWiNkBMmu/b41CQDoYgBcKb
qj3XIDC5rzKzKSgZsM/oDEJADTSAa2WtGg60xrnPOhxZrxnz0TPPx893CUOjx8/1+nENcBXLYxb7
km89voJmNpTMkKNDGZXmTyuaJm2ammkdduQdRsp1SViycsKtI5xkYKwUqAoIFFlKcbLS84uyCTsH
EQ08saxrn9wWnpikx/V3av95Aak5+uc2VU2ebMclvv2xsQGcoxjey8Iu30bf159C7TI6DHIl9qLO
eRaIcAT4B+EsPODQQpSsJqI6dr16ecOM3KE6Pp2KpT7V2z4mXMXLnaDsoMoA93eIIF51XocfzP7r
R45Yk3DEd/Luz4t4BLbl4VDrA/Hff1Ctv7/++dP+5yQoizhGYiVHNU4iH16S+lgoC7XyGS2+XiBl
+equixVPxAJzA/js1qsl6uM0fVV75MFMUebZbXTb/lLNRWqOSYmufem1ZOq6qg3bKWUWdwgsK0BP
sXiRGppnJFqkxwByUSpbi1c+dyylhzjdJvnitPHSB1CedaxVduwi7K1AXqPDO4oxvnEW7PWaiMbK
ZK1NvnmCRVyKMmdis6uF0zGg4o99xE1yty1CM+B8xdb5+zF8ASD+RvdNm3mwMSx7X49mkvvXQqmn
UsIoYcJnENrpUkMAPPe+/2yfztHpnG3W65VkvsRIXqeEtd4QHJKGm0rwHVnEh5txStcfQj2YBqlL
s+DXthTmdJ078/29PmuknRI0e1k/h8bjKt2SZLd7yyTzABtOnqaxG4D+Lnj9pdv9G49cOCZea4os
S6H8jP38CryLArGVrFtr4DgDSv/xWzF3poIpf55wzuakGaeF2734AdP1v/iApm+HJPFxKhMYIJDI
EN3Bf2ATAgJgx1VuPzCK/mKaG+xAvD/5q4UX9K1nvj4MyrwNgyolLQP5PsYL3W6r5g4HaBM31cNi
4R15izl3bUp/Z8cv1hqqWtNrkyktzAQlvb1oHtdgcXkwuc1B5+FIjCWlX9xeyrgJVZ43TQ6R6EqQ
LO5/SLuuJueR5PiLEAFvXmFpQc5wOO4FMRbeNDzw65WYlbRkEyJC0u7edxc7cVNoV11dlZVproOT
r7dTXIB35SPgTrtdasJxb9DR//L9IHzLj0t9/TNp5OspptycEnsMJHen0w5Sg+0EVABagd2UOyz0
RG7db2NDMY4vL5CmAIWEJQy6BZ3ATPcOhQ6IOpZ+tVpYdprgG5Hh9UdRri/OUuKX7fRRUCo6INeI
ux3pz0fnS4fjC4/w+eD2/hbW973Q37Phjs//2yMXe2DUAiaNJ7uxLu5T3ax3e1tBr61nPj72jzud
ecBWAMoO79KFo7aw0/+c8oVlD8w6XszCskDIGvkqeyjybVj7RhSPdt7y1v2RzsAmrmaYhruVZZUH
aQF7pflKPvbCDvGg7nQ2SnRHDPHk2+bCos682a5N0lGbFvBMnMBkYXp7z5HscOOtxIO3HZb85kJ8
+Le9LiYzSf/rBpt6tfb7djfm+uGQgfDX172dc0TKLZN18CmfsI0WFSyWlpJyWrXWV7k2nSg5derK
8dBxn0KKcVwz8WIeZTqd9zYsFX/FqlcUpQZbg2NGof6KK4roNspPGOj68agYX+rpLYcfM8+/D6A3
2C5sW2H2AxQQEkHIZlL3pBZVHZIqijJESSII8RukNolhP8b7R/Up7AwIUK3jh3Vg11vhEVWLHEcn
tI3sYbqsVuo4YfYWgZwzkBHss4tPoi4t4odqWUf4pOFBjEGEsocr19fKCPyoZ3/pLlJ0JwNvgYWp
mF32C7PUsqM1MCWpgKUAPZUpG4X6loaF4REn5Yz7h/cPRXWz6hemqFXPFUlLWg33BviOH9qv6XHM
Ivjnjc8MXaBYevyH2z6V2AVrnGrX5U0Uf3NUANGla5fPuxcBMF4WZEGt/lPW+iO/fmnst8iVNhZI
gswHtAmAsXsnD0uTNM39vS+nbjw+CfheFNPu3Hi828TsmeGEpfr8TE182gBA8wLCxE410uuohXgZ
CTV1CpuQkVKmiAXZKA+nX7FGF4g0dHVY6GFZZSiebf3PFVlsH7vdCyrLs5qsCMihTg2r118wEr5q
lRoFy4ZNzKiu143HlAbrpS6vKnrGKol5f0tw05iuJ/bKIl1oIlnLdVGQDWeT4fX4J4qghi1uHxgT
m3HB1K13vTZFTe8Anqp4DDC4zmAd6bDdqsZ2Dy4sxCyBSRZO1e37GsZQJIWHmfJfNMKOa/O6bHuM
ywuMkOjodzUXTtMMenIyIaMOhNUCjSGV8w4rdPsNIwqxoNeYmu7f3/0VaAlG/WU4qI3uGg9jZt+f
wxkfBeQ8SMTAjI/+QrRbXm8QDTW7Pqr9EXMIZVEAxj4Pj+NKNisbON98rRvnyOr032hRHXnmFgaa
XkRjBGiC0LZA9zF7MV4UTCMN56jZDJ1VKDKoidyqBqQLvK9K/QXCBj0rlpKKt/fEtdnp5xdXcsvz
AR8SmEXm1MJvZxBk7iLfYBZCuFsuBenaEHX0IlIqbYBu9fMzkmyZeUA+JN4+gScPPX/atjI+K+cQ
QgyQQ7Zx0mY+rHcWv4X84Bl0w845t+VV62w2rQNRo1Nt4J9Nbp9YndUH9N4uAVnmtjcojpAum7qM
QT5yPS1yHY1JIQXjmRtO2ZaQsxbacRcsbPGZhwYm5cLM5JYvZp8TK6KVHbYbv2keiIgujq9EdyzL
nQpVv6fEMla1vTqtPmIzce5v9TlXiHwgXLGootyjUjudJ0VapEI2nn3PN2rt4AnAo0VbRkjRDqku
GJt5OEwCwRoPjmaUxBWJer1rXoQqZI66QLZjtgVI8rAFGDweHhXjEzW6FxWrCFHKPbInpbOEhZq2
Fu2DL41Ti8l7VVk2CRK8frKSnwsZwY6CLC//W8FtlQQBSL1IPDHn9y9tUivbaoHW+ikGzO16tPAW
K0UxQgb8x6WgD6iGvhDl4f6CznkQNCDJkPMDSgNPESrQ4bosaYWEa8/KC1w+KI1zm4imqO3bs5eu
cafftzczq1fmqGCnKaHO5fdsexY3kYmeOHBucqnBVEc/cLx6gVVjZrdeGZt+fnFQxGSU6qTC2ERD
YewhM0n5Sg61v1Cnm51DRAYTkhclWzQmX9vR2lqGSkDdnXs2SY6yFO/VLid64A2S1ZCSWXdRyuki
GKzTJtAcSRyWpMi4aWdQuxUHBTz+4FebELXUNQ6EKmSmBa09h73JRo5UTEyWzCZ94R/zT/IpdHr6
eX8l5ZnI4cokNeo0lLmi9WBSZJ2ifGs+Ge5TDI0i3LKZzhEzjPWQWwf9G4tl7k2p2JPsoQCPbeb0
2j7xntPhUANOKYHz9ifWoHWabVTIgg773HsU8f/WEktGVILFkx6Gd1AXyL0djGaaGxVELFQnyZwG
SvGncSOgKll/R2DN3WSsQeqXIPmSpa+se5QbQ+jWUlUZqbeTC6tX1uGGRC04TmoDxK7ysKRPM3MJ
YFrgrNDUhN4+ifIbbd+gRlKiZCIW2/FUcQZjN+IhHqaWqjzYND2InC1BBTf7MUML9ku/hEWbuZyv
PoByIkg8DImQhUh7dKY46OnvEPyiRJ22TiMv7PyZ/gLwKkAMdGoOQdD1t0cuTpjAFjVf4zI688SW
9AIyzQXE2+zo0NqlnTnJeqsGRmCP2/Ts2WOCtKJgeHaKJ+xJef9TxgYPBrNwb8zFgFdfRTmZpOgZ
KMjgq0Bv+Sp5+h6w2Qk+y1ivDIj6qnDbBI5RnBd86Yy7AacOq8qgK5egd0EFK6lcyKATTvpzNsrY
oqyRQeA8Q0qZoG0ver1//GYOvMAp6IZFUW4iC6BCMBRg1STvSH9WaiZ8bvE61UW59xZ280z5QBU4
FRx9ILwEiwjdqyJpecB7KmD6CgRroGNgJ56p9YEJqqai1UvlPKK8iiq9hwg3NUMBoIjOSDrFEIeT
XG6qCtx1JbMqAosT7PszcMv/CW43BTq4QP3hAgPI5drtRqrPDfGo9OcIXVC9XaY7USr0BxL88ODC
QLESjMJ4S1emxxiEOD6r3/+Amafp9QfQRz2NQjhkQMfTZzB82e+d9Wr6n7H+8LtCZWUFXlfiG/xb
y+rpsMW/WcrBzZx0sABMgOlJihc939cTwJMWj60Sz6kS2HVki7zOhLymfRh19iAful14rNbRZrUw
6pkr/MoqtfPqbgSfEw/g0ra2EyAm9NglugAlo6fH1Pmp9V1n774UA7DWbr3p92dj4QPmXsdXH0Cd
M8wFwlNxeh3jHuBsUPq0Zv/B+4Boncz7g52bYRS+RZAGoJ0epJjXMzzkLCP7A4sIFP1nEgoV/XM2
Po3patDWirp02GZuVAG9dgASQwkDe5ry3DJChazqufEcpIbw2nzEgFEg+XbUZfPr5cVtLbTHgjrx
51TGGOnStC5Zn35+4cuVgCFqp8B6Tfbg4ITfFND4o2veqA+CQRDKgNglXimBwT8FxF0Stp7B44CZ
CRhqSNYooIilIQ5JHMtxUQ+AVik22Qecrvq/AAJsA7xkE2/nS4exXfmQJWSt//UiXxmmB152Cvia
erynohXPbXxZ59WdIrZ6zhtBvvB6mwkP0EkDrRGAUtGZrlF3k0aKhlFLPCtqYdd+itpv2T9pysKI
pJmrSOSntICqSKAMod9pBC9ErtZwOwj68wBZR+k1+pZ/+x1ng+3ekGyiv492a7LGuFOd7oODUpcD
aMNoFB+4pcmutXZvaHPYWM5uZ30Ma84SIdu0fhmN3dtm87ukwzpzzERRARk/D3IHuDLKkSpZy3ZR
zg/npHgAXaVGTC1Gp00NwRkEzfdXe6YsBCmRC2PUKSvR1MoqIYxt9wf5IzFBt37Wlcd69eU4Frqi
QSDJgHOdf+kWHfaM67wyTe20VhMaQDC54cw7BGFRqH/a2+/nfYUusuRZczYfzFpa8GBz3vLKJrXh
uqrIvFqCzVQnz4r+Gq33nFs8RwvuY+6xLgKBrcigHkGKgN7YiVhXzNhiWnMkwDIzN2S8OUApza7x
gK0Qf3l2bamvqUkOzFo5fktPoL14WpLzmSmFYXUvPoO6E1sv8oagw2eAMJ4Dj69bY3L5zfhqiQfm
3H6i17JH8x44X9cnDv2E0sL2mnYP9RADBB1/y2ixAN0AtcSiV+WYBZy8If+pIrdSH+9v3z8w7a0B
PC54dGffIlDHaEQxta/6M+Ac71CgNMed+KxugN2XASdIoFrvO6UVr0lpKs75hNKIZv5OIgEgV2OO
LRoYa6gHQatSXzrF80P/98uoexlPYMKmfd2fQ4WttrEvqa6kJqf745/m787w/7DdF7dU3Wm1wBUl
jHj8G8/7zTPJEF2iaynb37c0Oxy0uwHqDhr2m9yqP6BxoSGY6CAKTkRFr72wdOEvmZj84sVgBKmS
2shr+vNzMxgpBCCwpIfC/sME7dI12g9lwXjbnFCjvj+22dMqXQyOXiu+Z0buz/Irv9nbk6Bo7jyG
DgJ3k5jWG4/9sfrV1gmqKkuZtdkl/Nc2nS6XM0FtSdP251aWVh37zGqfrDxa90c4d89eDFChIje2
ZnrwE2Ez+vlP7ZlK/8KFdhSk5v/BDFpOJmoRdBDS9Md9BQKfVuj7c1H4hlp/+oLdFqcKT+/7duYe
O4gX/jVEbZV0jMGjwg/9WeUqK83QrS15pY4dlOsZGrcDAIfjEMm0iP8VIsUowLzXtihPeZJoE6Vf
+7z4rPXpwg6erN6cxouvoraRIAEMr7FYyhFFzCe+UmM7SEoAJWvgT4KAxA9DK36WjCosQAnnAhxJ
QtUDPYTo25Smk3VxclJIg3gSg67oqqgfOj60CHkYxmcp47estpRxn4HFo7qDVgMeL2C0h9KJ6D5j
8OonyMt6FcAyoSmXeqYBMa5XENEbv8UarX2b5KUGkwvoOvpfOTVGAcyHC/nM2bsc6Rb0AvwpKtIn
R5JaDcI1QAGT39R/9TjRTAQrb/eR8KGIdtRDRAeqOqP2urD5prQ+vcwTidlUVFNF1O+uZzsI+BYi
zz4LsAdr5EgT7xm30NOj9xIs5FDmcqmgsUTeTIbEATAIVLiSDX3rZ3w6nk3uhQOpyafToNid6dVL
s+ADZ4Ix3KAQ4kGRUEKcTFkSYnksvQy1jGhdN0ZvVkDAQcM5eVx62YA4+nb+gJ5Gx6sEFgYRifbr
+WviSqzjAkG/BsWSvdaPnmxVNZLBNuiNOVVPSM0HBhk9sbcTXmE+SS96r0Pet4zDqlkv6/70MNTj
AEfCyIVAAo1sKzP5Ty8EdfzUZBA2RI+EKvo66wP8bkAGPM4eFdmvADoqCfIQYZIXyU6tlVC25ELU
citPkb39hnq9x9pQk2NUJFjVPDRUUWIHsxRbNjv0QSpNkmPoWLamltLMzhogWXUewsKMpUEUQtD9
eBhCs+/8SF53Y6c9CGmbCIdcyftkKw457+/LICwZUw4YT9Ch3V2wzpijjrIFsQIfHdKslspXJVfa
/NhGYamt+xpoSaesEqHA1S6HwIiOXSLaWp8I3DYvhqHc8KnsTTUE3pP3PMcSNKd0nsDZWVL5T/CB
QX9KhzCp9oEkBYpRgvMbanYSAeFsXoYRXnmaCNJzTRbD+hinXRHZIxBjjZPmmlqa4lgMaM0YUqjf
hR4Tg4mHT9jGkjxeCFZcqfYhaJ0IG59zMWmzL0lKgWTXgxFZss+UL3homcVezgQu6gNi8SCnnSau
lB7E/A8KaQL0lA2lwOh8zZPcSiolGTD1ZR+OhtqlefqegbFKtkIkDKqvWuX98kusmtQHe9VYMdmq
yUWt2/gMI0XPYLQJIitAF2zylMcRHxO9rNBJB0WDNJLdtlWk8Az5BR9tbKgBoYlei/sC9Z6y1ZCU
9/1Gga53JWfco593zWgm+N+k1onU4M9Cy7JzrEHD1+oKv/W3VYnEyG/ic2HSbao2kQKXaRpZesOv
KQCPSJWufa+Fuq4hX5dpT8mYDIPeQ8yQt0iTJrnpERAyWzxmGl+kRUrv1iUDzehmiHjZ8fMkjHYN
rwXQCeNFL5Z2SNAw4dYrPTbbMwkSYg4ciIpfig7zrTCKDaOnbZv31hDmGQThc68iqVGVuRQbKkE/
MOivqmwon3yoGwoRlFO0LjsVRaGMu0whEBxJ+D5hDJFBe9RKyGIecssKJonTCyQrOhPfUvvrGvqq
Gdi6s4yzGqYU0i3J2QyTF3S1BLVURDUcWt/qWO11NEtqjN5WXUrWadpx5AgGgkQBvHcgw7DyQqZi
T5LaAzIzanKpvvudokSfY14WkuMPjFyh8CGHrdV6iTYYPB+2gc3JfixgqYRedEcZLEk4Gw3ZcMEg
g7SigEC9k1RlkoGxhXDaF5OlEERg/caXzBF6bz8aUjyBDRVLPzgEZREwLldmXGwlqU9qi1HDPre5
kGeLUm9ZJhlNH80o6m+XZYwFupbxpQe1jw/Vo67/WbhkZq500CWj4guuNPSC0NxP4tjGuIXz8RzW
0NiOtG0bnVl2rYRn1Ch1Tdr32XurPpH4E3gcnQThb98Xpub9hCl4XrXfhc+ZufP+Yb4SwOCGgjd1
PZTpmAFoMpW6fZupdYjWcQ7SyarOSaZKnPvWpl9GXbCoqiP5h5oRRk83SWca5zHgXWXPmaymtsCo
z5Ia2hnbRGbEDql939rMswNXHmSsELWA0UOiYmOhnALwFk2MQyQRM6tD3wJu5u2+kbmSJOi0UD4A
IAZULX9gw4sQTagbNWIDtC8mDBrM8RxvCpdrMH01kvPSkzSiEaPW8fCqrcQHpYZWmrmqmvJifyp1
0SOdBAa+Cz11KnSOm7zTBAI9dYHT09GQJbyRQ95kv5rvcAkZQy3kjS0qIGblsiz5TOX3iMWj3WNX
AFl9f16pkJu2QMeAVeWPohxiNAWCFjzTAG7+VjWwNerFEvZuYeLoN5QU+omkBAq/l/dhiqBvhHjK
oAu+MayQbb8/LDrw+2dcU9EUGUBkLGkGFAFKkVUuRcI+jTy7DXZCaYI61/bGHL73Wwtdla1NASx4
C3an3OLF0buxO8VuF9tUrrpMS1XYRTFh3Mmo0UOEIkRrioq/uX116F6WgL503/I/NgFPQ1ENJGg3
NWKJ7ZKCiwNh3w1WuupkHeq2mlF94coCdwC3196WTM4upQjxCTyVwAdHU/lVQFKJTRQLe+RW1URn
RTOT9PB7eIrOfbS0lJP/uJlSvArB9oqgl7/h6g0rNWkgQrpvfkEcuGpXjCu4/XP8FNuAo91fv9mB
/bct8KhdL1/XNqPUaRmmUtIBEeCeZASkT/53bqqf9y1R99M/i3ZhifKajA+lGKWDJVU1pNYG+eNv
QRA2LG1I6rFwY4e/HlEsljIfT3YYnd2H72o0iZOAtbM14uOwKs/Vp7LuFF0+3x/e0kRSOfiqZD11
FFJh36ZGFGYWEX5SSJOCMCDYMRHinJf/nz3qBR8AzFJ4CYYJxnZkMtjCVko9PkaP5YY5/v9MUUec
DbWE9BH2I3OKH8HrZHlggn8aWH2J53hpDqfb4cKXeEzLcn6d/41JfeZeQHMchugz4XyDExY2/u09
AG0CUGH/qT4gWqI2ftCNcQKyZW3f1yr6Slg9SQqLLw4JgLUM1Op9srQxbz0laHqRBAAbwfQy/8tO
XIwuJlGhAsLr7aUA0sNlbRFPXWcc+BGHxsxw7gDgictWZ6IYEsbHBlo2AyMu0UfdHo/rr6COR8FE
jZ+PqbdX+J8hdvIMfaoL0diSCeooMDzId5gh8faNyNtRssY7qxOXerVmjSB/BeJvxGJgIrjeK5ym
DYgvW29f+ZXeFsea7BptASFwux8BRsNfYLoUkYCgnaMoDQwkd8bAVeON9ModCsFio+9KOyTomKnK
hWQgFVbCcV1boxzkkEPkDjChwPUFXzOaNON0phJL4/5hptE9MKOiPi5DoACE+kiF3Wz8II0KJYzc
eszWaX4KRZSHjTzR8awyo+IZz3AdOhqWNurluO4EAPGUQgfT+iFqCyuSW8sblhjkpsW6vvGuv4ka
OuELpo6RAHEjUduQ7CR02tpPHtpsaffTVfK/0UNxFOQGYM0G8ofaNkkzkcehkdhVw9okykuRQSoa
QaYfmNoDqwcuH+r9jyYtuFCaM2eyCyFaQBNA0Qdk/c2bYQwh75I3iduAqRPFCgsl08yMbN/xLc5k
rMpUTQC69NJJUbkFWNaRoehU22fuW11Ig9Kos5tvoVzAqEU1+ELaxE14vQ2O6AcLazQUC62eNduW
++TizMi+BcmJVMVQoUgw1DqTrAAC5JnXGkrz72Fqqs2WYayO6FL0kmSnNDC5KNL9Q0nMiBwGSU/e
hXIdI33AvmiLyrG3ZwUaA4gAIYcJYfSbNoVojAeelHLikiT/BhswAqP+dP+g3DqYaxPUngwKkK3U
iZK4PvCYebvuZRNZs/s25rbj1TiopRCV1gc1J4ygeQRKT2Ots5HVZythP1qaZDS1zhfWsBT0LQ2N
ctBCG0oDP8AqRBxjdluFFs8vPLPoXPu0ySDjNPEUAyyApC3lZtjO9yWvqnKXKYldKUeuPIlxY3QA
pmaDmUhrDQzKXRU7QbNg+jbQvLZMLZzX9Y0w5nXupurpXchLS02Maft2S4psM2+ua0vU6lUaL2eF
3+RuEdsKZ/qqRSKgH/ROder9oHfBQggxOzJov6oqWnQmV3J95xVCmkZanWNk4htTI8WkIP9ZvCFH
qIf8UoA045NBpvGvMcpTsr2YhlxaYHBNa0TRQWg+lNwpwdu2cAamWaKcPwwB8QvhJpQuaJesRGQs
4wbrFXTEqLi1HGwQtCtoD2CiPeedevkIwFYwHcIFTzi/gCqSLDzUZYGeoVIb2pg1XM6Q3PXGdRkw
JuR0WL3M0al6Vthj6e36aOEioGth07kAsgGc0qiuQmiGzouBE7To1EAu3PBjtLPjJ2N0RxHyhZYK
v89vjWaVnJVlBZHbcPfa7LS1LoJPtgpVJIeVwh2aD/EnbQHN8hLEF1bFoCF4JXeW98VHjqjuu8MQ
a+dWNfr+TYFGtuxb9xecLp7fTAE163XvI6EvC4XLrFhDsCM7PvPg1O63UMtIjDqCpspogKjGKkEn
0ekDijJQErXyF3FRV/g2wruelunnF9MyDgXgiQVWI1qPYIwFCgQ5LiNboSH0VduTXbT6RWckc1Qt
bn1/FmYXBMXXicEb/ewsNQkRT1RWybLCzYvcGCS8TgffiHs74pEcgpAlqAX+DwblSVUPhALoBqIM
dkPtB0gbF24lvYJY32C7feT5JuobVQ6o0RK6d8Z9gPMabx2ooCMtTffwE2VkvKHhCzcdAjf2Mofx
iJ7jbdxoSxHtdJVQDkQS4RAnmQXkaG4aTAU25cIyJBMtjGfGDpIz+tk/8AuAlrkY7tIOHTn7shBw
YwQ7rZ081U8jWP45PTowFjFbyI0zFoK5PaoDpmf3xseg+6fAUlcpgPxQqDxp6yV1jZkgCN+jQRlV
ElQF+IXrzcvKWQTnlRK3LCIjzyOjqxamds4CHj4QHoKLFG6U4fiiiXpJyIhbhSm37RU1sCIFZdf7
O5NuAP1zCMByTppsk5ITrS2j5UXLlaQmbrHmjQkMHa9YS7Skba/vfENejVbyWBjnbkJkJcZSbm9+
kP9apy66XGNQ9ecbWFerEtiQgjvyQTgseL2/+gu9Sy8HSa2WKHVp2ZQYJL/JnpjXcIXnHatHJojn
xZ1qh1DQfVt4v86OjOcxvwp2CJD+1xukzFoImKLI6sYjGKPSLaqWC06FrlL8s3QXJqiQRPIlotZx
T1xtxW+iLxC5eW+yWVrVjrO8rQxl1qXGqdkbFJyO/z0qar3GihPDvMKogrX0JbxiQp8js/zMtuEa
tWltEz2qdmBNioz3t+lctID0LyAcyP/KU/b5ejpDPwqrQMP5l7JcFyoDySLPZKHA5WT+nsMrQY3I
wgH8H2yCZ1pCx6rK0SGflEGzJ0b62a0hh85b9jEBpepmieZqfk5lROkYn6ahgnY9tKRHT74wdAQk
8bITrxKbsRAJBZ5R7QTImzRb4Xti7P+NlgTp515AEtz2f1n+m4CLG7gEZVvKjbAsHXqzBJGS9AjU
w2E0PjSz2SoLazhtx6tDKILVECrG0OVBBIb83/U4pSJvigqEOi56g3KjVIJmJUPM2yrxEjPvbxea
rQ0Ktte2qAs38DgtyvyYuGn/lEbfP8N7AG1uk6m3g+brqnioUCopHjxQsdS6VB+id/z38Fn2m/bs
r6vBTnx+aTstjZ9a565sfI6o+CZZeAUJMaesA+7EBG9kDAw20ON1GzsRmAHRUzo4Y2co3IKvv30X
Xs0KknfXKyBoQq/wAr6g7n69lef9plBkI4dR6MxqtKHcnY/PHFmitJ/W9Wrdp6wLyqLoMEUoApQ8
ZbVg67CVm8YFNsQq5IeW2/BKZiRQMK797/sLfzPHUEdTcC3zcBLQY6BJH0NFaAiR5dIlafJaxL6d
FdC/aJrn+2YmN0cNCWV1kHtAyxePQbren/VSJyUQf3erwbdy4RSiabXLURJbarmYG8+lIcrfxhWm
Nm1gCFihpygvDDXV9qOYL0zbzHjQ0DElxyZuC0gyXy+RIlYFIEAhxlO4BcRL1eCsFHauLZWYZ7YC
NgLiDAS5SB/TXpwLRfAtd0PpDs9iootGeSSi1Wj2/dWZmbQrK9ThL+SuVXNxLF2FzYwqOobWiJzx
fRu3Z0nCngadKdKJLAThaQ0k8PoUQCdElcvJDNp+WyKA65MrWxPvGjOPJNmIKy82ijYmhsb7RO8r
JrbaOl6qAs/NqYwDhn6Z6Q+Zcits2pZdIQnEZZVWTyTRYcOvWMwMTwnRC7+UxL31rBg3rgzwGqHZ
CQBEaqtEWdTxieqX7li8jf5XTnjUuE2BR6ENNWihy1dMcUzy4NwXtvbe1b5TgzqOcwN2JfGtgVqE
rDTAeoJy6aD1oCW4vy40ex5yGdP3IT0J5mAUmeitHJdxm7GdStym1FZ1lhnyVyBMMhrv3CaqjPip
UPRAWDHsJolDWxXWRb+vAsVRPWsQ9yWUYJPn+58k3joLdFQgVQriC5BTqfz14WqaMa57VUGMO5AX
ooVGHYsLwebMjld4gLJQKxE0KKNRewDdVEGfdaR2C240+XDToxEslhecxMxGQ6+0CvIMiClNZ/h6
HGFTKWSMq9rN4w03/hJNM6NIM/hg1BUhWcjOznikK2PUGU5yn5MzuaxdqVQNvjkExVdb/ITy+/21
mX4N5cixJriWBBH1HdxQ12NChaVvyyBvXLn+ZIBmUzW03vgQluP3PHuWUIq5b+/2uYXHADhIkEYU
UJHAhrg2KHR+IYhy17iB6gh1hPqDn5pS9VrXvC5obrUGXixUrOErf2K38Tp/AkmBFm+wU115W4mr
+59zu29EJN8QeELlhAM2dtq6FwFgkiYDk4hh46bZsZZ/1HQXKfnCiZyzgfQidLjQO4haHrX9AzFP
GPCuNG4JTGcIob4ceab2f5t3xhCmfAcWcermpxswi4yVq6gpGne0a7wPQB4IrkbwkS49l2/3y7Wd
abAXE4Z2cwl4aNhRB2TPWEuNnCh12hEKMQtH+tZrTJZwpvE2BwzlbyNdWAqETixQLGrcRpADo+b6
Aw8+2IW1mRkOUtkci3AZDGVg6L4eTkV8f0TjQOtmph0bSDXr4kKad9rP1wcMYhsXFqjVb2SiRQAx
ty4gLqDkg+TcWrUflvLldDs7vD40mic2AZafhAJpBxgqWl42QtS6iZjuuye5QwRfr7USrYrhOQ0e
xqZ4Zft0PVTeJoH4J3gfe9GuZNGA4r3/FAAejP7/ZJ9nhkBOeZjv5DGx0dPEeI/3j9zMuuJLFQSo
PDR/btpb1aHh8DghreupFbOukza02mr4uW+Ebrn5z/n41wq1sEVZ9mUxVK2bjvvGh+yykQS4n8WP
4CimvSEd/A7dqVp+7NnsufiVAzsaLZ9PFvzLzGD/FJQg4QGUAPdHtnyxidtc9go1qwYX0GhdaxtQ
+N8fKE3yMA0UFuBTEVGCTozGa7WZ0LFF2g5ISKDPXXiNH6On5rnf1UfQpjiymYBGNDyqgRmMVrXm
9W/Zuv8F04mnNrjEImgG7BdhINqcro8QE8RdzFT84FbQl5DTwODybVLV5n0rt9chhom2TBEdQ7h6
/6Kyi4mUkzzNx94bXC7rVzJIIyTwVGTZC7+UkLuFKGBCeYxlgnVA/FmclvTCUldnMltX5egOxmj2
a2FbnHywD/dGZ2bWsEWH8dE3fiNnPN0f4dw8Xtqdfn5hN0zDJmMZMrqv5nHp5T3tdnqNLn/3NLsX
v1vko5pHJ8noarrofLbbGtx2kvEQ20uo05no+Hr2qBhpKBUGdAywNBifqROZ+V5di+tsNTrVa2V+
VKvBYWzZRVYa2pOl6Vn5wombORAIy9Fgi2oD2r7gYK7HOqqjkpEu591+6GID+H7dY14iNtTFH4m1
IIOC4qWheKDJfsz557Ky8zKw46w7hB645JGkLORx1ea7cbD4JV212+sGGKxJJxDVCTwz/95UF+tQ
BiBe4n0O8H/A8418RBPYyMvBKukLELKIqWwzMtugDC/Izv3dNW8ZMTLYC0DHRucgFDVHhhbJS7cE
xqQD9iJTU53tHX+dV68hFKjvm7v1ewC4CBCoA9YHsT/tlVSFjZgxikQ3LOW9xBQ2iG4WIp6ZSBIs
GyzSaQjIVUkSqK3GDUqKmqImunVgFcfIQ9V2Paq66qQ/iZvuCpdn9JjXu12ZmoJo1xAP5I6cHZqc
0S5mEm/90/XHULsu8qD/GXuq6A4PLEgJ5C0H6itEYaER9uuqWamQS34anyHXNtQr3taa9f0Jv02i
QsQJsCpUodipN4BOt/8HZ+e1WzmSdOsnIkBvbsltZShTKpWqbohyTe89n/581AHm16aITXSjMI3G
FGZiZzIyMjJixVq5WfYjnBKqW6oCgE9HkZ6YuTGyr0Uk23p7kwT3cnsTmzeaZBuT6ZjJIdJ+wS3V
/7r+Sz53qt5/CVcvOi6Uq5dVY0ErjVKfGKA0fpsJqG9bbZ5j/0FwwkctfEjhIhGOaXlf3so3wY3q
Rk/6Q3WTPE9/JW8v2/I3yTgBvbJOiulAAzRtXCSf8zEYlzSTJrjFpQz152V4iKtazouIXzc2v1vo
LxvrKVX++UdFP7oUeJZ/u74bn3sU7MZHe4v3jgBzXK+n2Bu6o3HT37kWMgFff7pf/mwsTJkv2ssg
jyX4hNhzIPifUF5+msxiTLHmKg+I/ZpMaDwO08F/ZtRNOzD1mhx70+6HZ/B9VW77t+WrJR3k++77
9MPo7oXDpO7l5jAZT5p+yoTBKZCVLg/CMVS3BDU+X3WXv3SRMjRx1XSGnmqAZDpbL9GEn240dQvs
8PnSwwrVEKDdhAlGXy+/tBxIg2/UveZ6oxNXk22pvCKeQ6bJhqCy1cBWVUZY4viwlRF9HhGYvzk5
Lvxe0jxyvLBsMdg9pkKnuWH5W7sVZvHQXVbvOog2x1MTPoyAwlvxeQo3lry6rx/sLlIXbfSkVqsb
jcj3WoUvGV+8+E/fzpxncgxzTjoXBYOq6YUxzifNbcPGnYz41JnNUdGGjdffHLw/OfMHM4v8nWZh
oFvDoLlaoh21PtEdYyx+VxRlE6tL92HSFhtX1soNOV9U1Mz5djKF7Ut3kdLSQ81W1Nyk+B5XMP4f
6lh7ZlTd7oXwFAzC/npkWFsh6kyMbM6crMgXX9rL9dhQJl/X3H7IbNX/psn9MfK+ZIxNDlW6sbi1
+3gG3FKCI3lGJPbSWBoymwpdq+bCM6nbwgRrUZ5lxkYIWsn+ALW+k33TLuR1t7iSg1bQGGeWVVeH
XCwzYXGOn9PkVdWYyVH3Oo4y7C0E4vY9vP8G3FS/4uxQWvMMNyNzlvI9AmzVwDnZpvvNgsJqwqCb
EnxzPJKZpllsgtaGUyvHuupmUXLTlKaNaPNO4PsyoBHoss3UsaPBN+d5Xu5MPxEvYO50Jo1XlBff
OhXaNwtV7y9IeHftXRJulcY+N+kJGwy+zlTl83zfEolQjVOj9CZXOPyHtqY4Mhq/VX3ydjBl/vR2
QKNb7Tl8RMl2N4pf660prlWH/GB+sT2DSsEOdyc5HRjKbAI4qcOoLHe1zwAZuwk2whqVjVOw5pgg
zxGdMwDPgIu+dEw4KI3eGLm0PLmujxS4Ingv0RHcOGvzb1+GE7SxuPd5RQKrX4QTo1AYCO4VcsUX
Mvz9XrWfLefu2bcPPyz78PsY2veig67zwXCFnbPf39182/+1f979/PqlvYVr+k8AS/0XGLW+n05P
p9Pbyz9PX+AN3N3ufPft9sZzbp+2IFNrn+PjT15ckoXZd0094q3N1DhD9NUYb3ujPHTSgwRc4/r+
rGYpH40tbiwv9afaHFXVVYDYF9UNgEfZ+KpmB+mXUB5UdZ9+VW7Mu6i49SBiv2587db6aHtxa816
13WU8W2U5LtK8bKvdkyxX7fxru15zQEW0d33xKJoBkN1b+FaHA4zYw8EatAwyRCdGrOe0z7eD7a5
Q2HHZ67/pr7jeYzk+G7ribyWgJoGHGaA8akIL095rLaKksTcM/74Ix9O3XxP+3YzPYT1ragdqizd
2N+1I0ZPBF4roj8J0cL3y8YshZkzwS090dYYoQo2egjvb4vl5lKkJXZJvDB4g1weYhAFGTCuRHcP
6Bs655fJ/qvvVPu3sTecv97u72PolDvd3kegOL6cjHPy9praKGY8/9kahFs75x9/ySKGmeOgylM3
r1W7HV1P6XmB/QAIseFO7x/p2ooXFx38DMGYGaw4tccb+DvfLHQDftW2ZVd3b78OL2dz9/dd42Zn
OY+/+zdEmuzCpsAMK97h50zjFR+ebnMkNF9bZ4s2bu1AQXgpIT4CmTSF1svPMZWBmYVFC3cEjB3t
eNMppzztNrxqdac/GFnsgKA1FTJCte4OxAoThCVUKC2MovnP6yd31Xs/2FlcELVBtbhpWEzrD4hv
GTWDImU8buRH61vGrPt8ETExMP+KD4UZsTIza+oG3YVHiIfCXTeeJPg9ri9lLcO0+CTgrg3qIqp8
aQRikM4Pskx3RxPI5CszCcVXY2BSlOJE/uu6rdXP88HWIqDLItxRVZTqrm/dTr/FaFeUlSPVW0nz
WjCDsPW95czt/a4B8WHfpK7tKz0odbeAzDtSznUtOmNQ7obhiWRqoJloWc/XV7ZyL/KdeN5yjVvg
DxbebcLK7BeJoruWNo63phSU+yaUjlOh39dUiWDiCTcsrrggYrHoY6tQIsx44svvZo0qghwCQUWp
4DWKqPB09cv1Ra18rgsTiyqBEeYyhBHEEylWbQVYr0rZZDqk6ZZmzIqjG8wb8AgQ5/9YC0dPptBv
YglDZfkHZEjAtPw4bMwSbtmY//6DU0yNaPhGhY0m/sFaWuMkDRtw6NX9opipahQ6NJK3SxOWPnZJ
M+LeQ6Jn8HuML7rOE18V4PiKGeO4/nXWXI5hL4B7GnwYPB0urcl+liIb3uuuIOfBvgtyOKsnM7a9
OmB0Kg2DY5sHGwf4Xf98ccVQJjYMaOOYleRzXRptCy9opVRkiRBE3xtwNb9Gx9dq1yP9WCKkUToP
vo3w5PH58fH7o7l7tkc04+4kNOOc3pZhAOztrdxldSM+/KbFRqQCoEK4HvAeq3lpwsF0YrNFmoFG
DILKdqcVqn1969d86eMuyJe7EFWwoDANp6MW9UWpniP5nIQbHdpVE4QTqIA4F3zjSxN9NqQwCkm6
q04Pvf9lYoyqNzfO91oIAWD2PxuLoGX5EKmHjUqcnPrfg9T8FvJ6f32n9HkrPjnMBxuLM9EoYtVS
yWek4ma8ea33vKmdBt/hNc2f2K7e0Idqb94UuzqQBL/8zR1hdiyoXG2GF3Ln+e/5meNz1hkICh20
aZCb9AJ74F9nUlKoqshhvnUO0kiifdJ2T//FvXSFggj0E4BRlqe6q9VxGHODj6356kH2E+ik0vyt
GPWz3Mrpg87M1G5j11Y2jZop4k8A/yBBW2waeXos9UZiuJrxdUzOvIByFLvkPP73CQbj/sasrs5c
PyTnl06Wju3YV1JokMYwwiBmSr5LOrrvfW32G0dm7ZD+nymapZemkkyrSk0T8Oe6+hKp3as6yN+M
UGps6NA1J0BL9nB9E5eqRjSh5xEQkDQgvN5rnpcm/cTEZpga7luDYHDFg+qVcs4ucSLeWUx7OclD
bcOndWh25r533uQ92th6daIZcP2XrJ1lkit01qn6fh5syjStHBK1MlxLuBH0J1H8a5H7XLexur/A
UnRGuMnkllIRghFrY+fnhlsGU+TQA3tET57SjEZNWXmcouN1c6tLQuWHnvesTbXk1wa4NMmh1xgu
dHC2xjxabv5spq/XjchrFypdU+rkDMIAIFxEdmMMVCEcW8OtUPUJ+tse1izu7fGfoXkUE7szD5bJ
cKT4WOpU6NQjjH2Jd5tNtZ2dQuF56GKbPoc9CL49ev29H0CehKhX+yhuQY8/TyXMzsYhAnYK4I+p
sUtn64emqqtmNFwvSIGKK4egue156PlnudlpkqMznuHUsvUfvoPBR1DnWS/6jYsQXvWKCWuHYrhS
jwK1YTRPAgxtR49i40Zn870zsYzkH03NHvghgap65gSECFOt0x0G/mg0y0f4/ClXMKIEiuw5Ow/I
QFtkAg+kAYMdOz7E7xOzi4n96B//+nv7LmQX7MBygpunp9ax/kOWZwD7ANEJ9khcXpsU0DMtgUHE
DSf9hSToRa+M0vEGWdw4b+/p1aftINlHlgX0KBKBl9sRIMwGlaNFjOamSs6x3e2kw7iv7QfaWCdp
9xDafzv7d2Lf5ecCkjdIIuj6Sntinc3Cr5+U9/fFtV+zeFlJM2V14fNrEn201XZnwfX5R+iPWnP0
sls9daOgdhSdmp3FfA7CSsDvkV+pz2O+V3sZltnhAMkSKkvAsoVbSzmDW94V+u1Yn5To1ox4TsdO
08QQBL9JwU06hHYbP9TtoRagBub16+imLbohqmZqWu96HbEH/6wVo6N3W4tlZ6+tdU5rPjiiEMEI
Pg0GUaFj2BCiXkY3r2/nWtyhVUy/en7TUZ+9tFDHccEZ903XGB6bCc7O8MVUYEBsN66otYoNQ1uQ
us/gIQAYizNF08IPg4zPVnFucvsNTqadQW5ET87mVoIWw2L2T3dwpmcEK/Z/f5v279+qrb8rKjR7
R/w9pz+jbe6f4h2VCHsXOVsNlJUKAVowqGjMaj26oi9eml0pN4YSRKar+D/F8Wc21DCa/Syzn5ZW
7lUz3bgtP5NxEEo/2ltkJVE5lEpTYM8wf4n+vaccSgTz6t41Am7torTF0kl7W0121m0Y9Y41HLzs
HJAU6uNTI8fw0AxOIu2VUcEBEYUHdU/VNP1Sl7tE+j5KzoTWYCrYRfmcdK9m9yX2bG2KT7GwNVmx
ei3M+zYPcYAJWUI5h7bP/VJLTTc5m8N3D069gGbTWT11iKer7rDRa10rmRsf7S2jkhHrVlBir4Mq
dcrTb5r1TWwDR3/Qcse3ngqTSA05whTu9fgJ+kJPmzYyvaVgwnve9fE3LGNRAFHBPI3gDt6DGDhe
9gWacTtEZ0baWdaR6Q9ZfSKDcRTjMKUQnQ57Q/wphtVzFaDr5NnS5tTu7DLLkEHfFmok2kUAkRfX
ZCMGYhXGuFTP93eVkgpQ/rsoHF2/SfxTGW3Ej5UxlLnPTguV7B0ZRHnhwiUSGULuF6aLGoRS77VH
DeyZ6w/fS6dJa3uC/yM/X49Za43EjzaXPXCq7IWn+znbDgIaCp9D4AwnYQ95j/1o2t8y4gR0aDsE
Ll0GsXfpRm/889gix/bDmpf1iFEv66Ce7WvDoan1264YQF52qOXt9PoYjLXT1A8Q5abZrSrv6nxr
MHSOlZ+/8f/2/B2J8uFaaAc/arQe+6VV3CjCm6k4hngWFeYng2DDx1f9icwXiTD6g3QXLi+ISA20
0fQqjvUo2bBHOVa9S8hII+NW0B9lpXTirWbReij5YHNx7UFcDc0qwF1XUfbqsTfQq2ZzaQSDfLD1
5lvxVfL+ue5Ta1k+vXeehzAKMRexWKapRSXMsb3phpq4a7I3ETROHr9cN7L63ajVwlUMeyUgh8u9
HKtWUvPKNNwoSp1QPnl9sjO8faPWjrAlrPn+cv7kJPgIjOlU6Hj1XhrThQ68ek0gYPp7F52js4gs
OgfS9m2VLpFvv1jcwwEsUHThpp1g/6ILdtLvHvO7fvd9xkh5dnq++9rbfxInI5WDHIUuinz4+uf6
rqx6GG85Cg9szKf3ciDocp31BHItyFzTw4PH+DZud7xCDvE4/IirEgr3t+tG1256ZElAGQMHBZGx
SEdEKW/ph2PUrBU7i8lG7tJja0G9lpOTSBvPu1Xv+mBt8S3KpoqjUsOhdUJiIf9S5T8jr7XrS1p9
Q5JPMN6Imil+vPDh0UrjTBYCQr/wmra1nei/uvrc9i++/5Y0p6SxW4B9YshtdB9lbiqdBs2A/CMH
C/Irsu7HmSighYZqLPaVUnxr/OZYhcfCPBb96fpvXTkJZAiw/sA2DgfKe/H1QwSLVWUKeujhXb8e
Yc7/rnrPTA7acf9YRVuEVyuzCMDxgJMDzqO1ZC1fSrFljLmVzCGMRJ+8pDwFwXEyTmOl2hFSr5lh
T028iynSdfYw8V/KUAK/aP3G8V+NazM2EM4yiSLbUi/Yl6amLITOdCV/H2j7PD+mz23laBQWAqDR
0nO9dT2vuflHi4tswEhVP4qCOayFvNX9SfjuZ/E+9xpmvH5Xcf/Wk5Jc/7RbJhcnq/XyNkpGTI5x
vJ9U8vrmZUgecqaU/aTfq4K2Mam3ZXD++w++lLK8qe6G2eCNd5PW4V3s/Sn9Z8QadlnYna4vby1a
zRKJBFbuxE+dSq2VlbqiguOmCJUI1a1knnrB1kExQqBrvrXCRoK1WttjAntmUZuH9t7z4A/L66s+
Az0BTk0GImPeDLya/FPxqBxgDrR/qPvS1m/mnoRkv8SQJ3X2S+1MBk/ffZZsfNrZWxZXikmJymLZ
zLdC2HK505LfjQiOUx/GkfeG/0su6lNjmHbeb3EzrcWHj5YW3zQRigSuDSwl3o9GrOz5LSSZ7S6J
qY4JG590dVkqOq1M73H5L3fY7wIfVePAcGk+kUFFB1VGpkXPHUncqg2/A50+beH7iAb4E1qa803x
4WvGRTf5ZRkaM/okjM4MAkzGWc9/T7tO+B4P+zgodvFXFBmaX6N0F9ajAw8EcJj2rAwvo36U462O
5FpUQk8R6Bu1JILyEptVxlaVCSnF47RHa3f6WknPqrkP9B+FkJ6N/FHx81dF+Xb9GK1+4A9GF6+3
mN6CPmQY7Yi5wvAX5OKuyf+2zInQv9y4Gee86tOmcyHScOXGp3J8uemioOhZiLKGK4ap7CQJCEIh
Kbc4P1bd6IOVxelopzARu6mgICfdjCmdOLpBHVPwPVre4xZgYu3dBS8M99osvwnSc3HZ9wpkgFzd
lMHeGnH3a0LF24N0J7ozn/3XZANhtLo0to4zwgsfTYDLDZykMkqyqKasH303G4K4+quuv8nCFqhl
7UPpZGQAZ+ZZ6E8JshEmSpeOhjuYL+Hkms1GqrnmdTPC9j0fRnF+sY7K6LyG6QjDhYvZ1srvAyQQ
VvZaIv3Taz+ve/gcopZOx5zNvF2M4nwaiS+VPooixtyYCN1PcmXn8pdkogfzVFO+3orMa+U1oKP/
s6Yvmk70QxIZ/LThZrV5VvJ7MYdZKvpeCWcp+xlAquU5lUZkC5LbKAl2RSXB8TPdDEm1R5DdnuJv
Q41efH02g1djSG3PevD6pyBHQMURYLsfKHKHtzFqKeJ5HgOe6ht4J85wnZsdB/eZEWHYQexMYHIk
u4PEuh1tIX02/NCWx931nV25gi/WuqhZQv3shZBfGG4tB899czR1wQESzyTVLSM//bmRtlpOa36J
NCdznpQuiSOL3e3JHpG84lumRuREmXhvCsX5+qLWjhjCDQzMcaoppMyL/nAxWF7bjtBUGm6cq6rd
JbLlGApEAGJKRanwfWPj0lPmAPHJPy0arygNQPS5REMZYhCnbeMZ7v2bZu/AugDFfJ0r/G8/7n9F
u1+octtv/NO3aUk7c11f5c9RT5zu6/Wlr4x8kqAzM8VjjMYzvN6Xaw+CnmlzmZ+iDnultVNjl+q3
cXDS27M4nbshdnq3qWH6vhEBu00B75YDuTssic0WfcensiIAMabzqP0y2wbN2PLZjJquWfXBlLty
AxjVZ0wy0c9eGJ5i+R6UrtM19wDA7VbSnVQSHtR2uK1T5bZlMuL6rizjBz+EUAWPzHyl0LVe+Fxc
B02g6mXhltNJhjOEl3F+tBggQ8CzhZO1fZaFcCPB+3SrzEaRoSX4KqJuaO/kJh+8MJoaaapnOrwq
N0+d/1Mon8r0m+E9WLRRoKPXouYUjl98+d/2598NM5WuAbUxZZrYly5gjjkkthJkg5Ka/dMY/j7S
+grxhi0k+pxfffT62Q5DQQYJPExQtMsv7fSxF3eeaRVuHENNoyapbuuvXqLpG19vedO824H+2OTG
pA67nIKNEjGitp+X7gjBMrKDtjn5jtaHBzV5UbYIxpfh6d0YLZy5SocK0rLm64cQuIWCBK0WcI0n
Sciyo2821kbYXVvSjGgkR6Y3AhTrcutyyrmeYcHRVCgONa6TOUrHMvLvu/prL27mN5/XhAfObU1q
yswLLGMCS0ZlDLiTS9+bWoZg2ebN2CLU2TxoxxQVvh8e6mOU2lPjR2RtuePntaK9QkRiSng+Ckte
ElHs81FXosJNutI2/B+0yBwFKW8dsqFwizxiZakXxhZvgjbOGekq4sJFyo/mAc3mYuOJ/Gm0hbkq
yvPg9EzYBPmCCxPgz5vU6MyYsXDrkN9It+q5/Kudavgw6FxDrmzT6Sy3Ki+zR1wettkqYhdwiM6D
P4t0Kzb1XqlkrEpish9qyYnhgo9q7y41iqfr0fLzub40tUiHW4qIc+UnptpZRyG1w+c42Xq8bdmY
v+OH4ChUkQBVYJi4WZ/ps+5EmNxrYYrsVt40r9fXs+KAF1u3+GCpmfQpJPSxi7acPeXnMsEBzVtR
YTLK3ABzbtlaHOwKtEUWGnwm8SnXD9rwihRvbjpJauyvL+rTYOb/d8P/c4j5l3zYQW2Y9CJKsaRH
p3xyhoD0e6bhG5XgSxBUu0L4kkZ3fQIO0APQLJmH6z9gdaXcqjx2Ge9SlkPaVuO1ARQeOGSPyoFf
fYvq/iCOgZ34Hlns1+vWlnnqvFqF2wy/ExkLX446N8aIyqAYI7VQUm+9b4ujiqqDdhLie69+UsU/
182t7u5He4sU0khkxl417MVgvcR9tnt4/l3Y0x4S4o2i1EqecLG0Zf1WnurEquIk4cZBL/I2DcAp
UT4fYXg++FVBJ5DRXqGyi2ELErH2CRlJgr1h/oAwo166UFyNpoLUEkyog7ALoVlyZynLKvsdb1Et
rQbNj6YW5yKIS0OtckwN0zeQZmh+27LcHbycXvwpj8ejAlnm1NuCDFicJl/oHfR6sGu6Y9e/7Keq
0bsnfVj04twEnjq1mp4Tec6l2++7nSABmuj37XP2EDzI3/37/rHZT2iTIdDBnEs2OOXWGNOqN3/4
DcsMTY1Ln45J4qr+G/fH9GZ4LlPq7Uv6W8w27qstWwtP9hKys94sEtfwjxlQtgCkj3Ao0Zf7oxsH
rdsqEL1nE8ubih4ZiQYAFWbGF09K8jfZkwwUWibm8A+Mdg7CL4TCkTw8SdOz0P5RbrrpPtTpq6S7
qdqP7UH3tg7VnNEvfwSkKRQ+INXgNyx+RE3jfox0djgtHVmBEj99S2U79ezyzzTY/r8u/M1eRQ0E
vMscNThNl0epEoQ4NZokZeK6Ah+hiRav/CySwsbxo05qgTYZZWMbXZv/k0aoKNuJKCaZXQI0+w/X
HdVA0kaacdBCLI5aHQ1DI5Y4uKbWBzE9yZzpMblN84ch2aKtniPEp23+YGtxmEox0n2D/4WrFU9+
jcLmo7CFzfv8dmNnmYOT1Tnr4JNe7mys6EXbIm/vWojZ0+stc38XmKY91rtq+G5G2kaAWLMHvJ39
m7n9PnG16Y2oTllXJkhZ3PtzmfOvrp/97nbUf/TW6XowWr1mGNQ3lHnUkHGMxcM0DEIzH9G3db36
dYxQJ7U7ybKjboD2TrJFwc583RFKbS9Pv0d9IzKsrRThjJnaBhA3+g2XO5srVRYGXZy6AnibNA3u
Bf+QGpTv2tgRzD2dy+urXbM3PxYBwZE2IN5xaa/yFSUcpCF1q1C80YRbqZrn0599dWdkltO07VYB
Yi30GYxIcw7YWmTHLw2qSYcad6qmXOIFNBWN9/R3DPj3V79+8ZXmPzgOdE2zpAwe+4m2cDDayUT0
PCXueWiR20gk2wkoMg0l7S77kgfe4/X9/ESPyrdD8oJeP+NqFvWehfcYKF9LFRrc7jSFT7rHHZYr
7lh+VdrbRnnprP4pMb37XrGhlN2LIwiqO7979FPxvpgYfSjRYg5/C+FN++36D/uE5Xr/YfRkOUEo
cxjLLpDlF2DlvCRn0iU6h512WzXlL8Uq/mjZydQCu8fhNBB6ai0eS0F2Kh6ige0HpK+gOg5epTti
NT0K0bHZImH+RC40/zaAdXSN+XUz9P3SKRQd9LM+CLlr6H8hYXuY5Mg2qSXDzuMLz1kU76onfYp3
bce4iHdSTVi24BMXuvPkDfa02caa7S1CKCTq1Ml4GdO+f0cifMjjo7RSPaH3UzgEPUdT4QJRjew+
7CN5V/hfrn+YlYTvwtYiXFew6erepM65wE5oj2hgOyUbXye71NA3ruCtdS0OX+qHiVmbszaWEuwV
xLfkL4LYHLJ+47X6qef2/kGBSSKtQVwhmb38oBE1IxjBCGNVLx+zmGlDMQVWbgFai0WnjcVdkCiH
yQt2RrqFQlq5/zh6VFxVjh9EF4sNRYhwjNIuTF0f7EEeGud4rL5alOyvf7dPKLl5jTMUBVpCpt+J
L5drlNCBNGqvTl0ljO6retiLYX/X+l9a41fiW7tGtydd3fVeePLr/qeqfk2sLaDcSmUFdjIYueju
6tCuLR4LZVsp0+RlhDddTRzZzBmDt/S/GwuVV04DkEsGpma1FMh8LxfaJEMcaBULDbN/zMQ/p0G6
1wb9z5gNN5qVOUZoOJqf3Wm9dm+KDGUMu+u/YM1tuRC5FOngqp/mtuSi09QyKVM397HWqGdIPW20
5ezaHzfi95rz4LMQw4osFwG+y7XKmcLH6pvUDWpRss3WQisCKbS95AE2vr6qVVPvtwT9OspHi6u3
phWjh0E7m8r2w6yJNNb1XUjR4D8Zmr/gPPhG0na5Jl6yZRMaPd9PUW2/+Rr2xq6J/+WU43waYC+C
51ZFpp6a4qURRVCDNLdIJAS5N/edIf/pq1wEzahvtcfWnJ42/jwHpjK6uuSb8NK8QB2YDKISeopF
T3k4bGzYSo4CbgtyTnC/kLgtW0da15nWUOaZW01I2jIh0TSS40HweyyEsfHOgaDwVkYCyop2AkwJ
Ry4qcQs8v+IeVKJpVzBrZjI5ujh1pRKNVdB0mRvF4BWoara2RWvoug+uZQUQIIP1AdlsMiaxCNRp
ngSmXiISh+rlN2vfzZMuUJS4X7/tRyY3X1tUyraAfCs9KN7Z/2d0WV2xCjNVoxSjcV3tSssp6XiN
uD8zq1V0bixn6HZWtPfUUxFDNHYjCFtvpJW0FzYqgHmMeDFctNzcLkceWVXizI0rUT8YYeDtq0Id
7LTXmYNQikPFtNFhUoqtwvvarQGVNkogDF2Dk1kSaafhkCPANJDqGGLxsxSbHnjMoDqimPfnsDFn
j5KiYzGGoJ3TUnd6S+6dUIrSp0yXBCdRsvpw3QnWNgNsDBAs+r8Mr8zh90O2MzAKlhQQPLulEJu3
VW5J+5q86EYuSvHGLy1/X/XFuNPUQHy+bnnNx8FDgLiiqcP3mP/+g2UxGLs0NdGJE7Tp4BXdKYuc
sRSP162sZFh0jWBDpaQ2M30vQpNoBdPQTChLtt6+LH/K3elbr/2zWQ5dM8OsA9g4Ai1FlkWYFfN0
qHOxYhuLmK+YRKSOg3juJ+Uh7yYNTIKyBSNbCVQz6xotCNIPQsXi9E5pMKRZnBfozSg3UvYgkWQh
63qfK9JOS07dUdxUGFk7vB9tLhn9s4KJnqajb9v0X0z/PhR/dOZzm4jnlKpcojyoiEDU8uMUqrs0
e6n8/Fhs1dlXboC5dYYWA6+ZWSTj0m0syROqfOrQeywnRxh+1PlW/rqS8jANCIqdBjX5xvKOEROx
jyHWpDkdn6RoL1q7vuDRuO+61z55lcbW9pOXJN73G6OZK5nOO5sn0XiO/UtqnW7UB89TeD22iVzv
U7X5qcSt4sRGKNppYW6RUa/5zwywkizOHpqdi40UhThv03HMSazaCaBlKCLO6OXBk9TR/+mscwkq
5Fx1UWnHkiBu5ForcYeklbxOnSkKKexcfsacwrYRhQJNSKu2tTpw4vsoTg6VAuI0m0PxxuauuA3T
eeRBjG+RNi9RLoo3xp1SVPQh228S6sNR/++LN1RXGdxmTh22XGOR0UWJnsrdxHGMFLU6+WMR2Lk2
jI81hFyulcuM6giyfzRL39hoca0E0rlSBUMWBL38Y5Es9MrAoH81FS74NupVVnPXteMpmv5DK5dY
o8tg10wGopTF2wpYTyv1IwJX4zQ4ga8j5bm/HqzXym/AJEDJ0FKau9OL26hjWCGXLSAafibcAMb7
0sFPVxo7hnRsv8ufA1Rm7Rikez8zLDbJoUn/rTQEuSwzo9B1zEvkil78BEjxfKsNAWt4cUgb7aVu
/15f5JonfjSw2MauhkRc0xKkJ7PbQfw25J593cBaAwvC/hniwz6S5Cwep1ohBErq8aGy5JB1x+ps
eTt1l9dwQ2vpTiptc6t/snL9GaRSpFMUwGQSnMvTnDGrGIWjjyKch0pEIN4b6a3HkJGyG/LD9dWt
bR983AR+RuEQK1yErXQqRLPIayRtDXB+UOeIjp+EG4d5bT3kJhKgAmbDIBq/XI8uxnJeF2rpqkXl
tJO8E3P0B+oIHGr/xIt4480x/98tSk484SXet7POBtjpS3NVHw3m2OUohCU0v/zhxmjVo0KEtoON
ha3FCvaOh9NcZv7UhqGoLPKqiSuXKUqmfq3yoY/bHE7sDSdf20DuT3FG7fCGshYxaUrGdqhbtSK5
Sw69ELhScRyNnjZ/8SxuNTNXXAI+Dp4wIKwAFrxXGD9kknpRBXGE2ryre/nrZA1OFpUbhARrJsiy
gOwgHEOtfHFdxWkP4X+Jg1d1l9iZ4UX7rk22Wh0rfoCEI1FcobBE5rFwO8sj/iUSwCq5Mm87AyT3
NJx1Pd114fH6KVqxRLIKWgZw9Xuz49LjBPqtTCLmjZuCBFTDP03+KkaqXQob46Sf922e0eOJCVSM
MtUSKiYLaZGpHVrr+iSaD4Nm9j/8kvLm9dV8TmWwQnsTPA5FOeLC5WrEUI56ySeVyYLuTu2zbCd3
nrRT/MY6e1Hjo/htFoxD1cLebMYtCcbPe0moJScFS0zAgKjm0vpQNUXOjZm7dQ/ne51E2pPqGcnO
ywdqZIMRbKx2Jb7PsZ3yKkgPKprLRHGQG8kK1KJwZ8EryZ6ERrqrxci0E0kw7oY6ix6mmlTArFLP
g7LE09/0rgAVnvXaFpLz80Hn4xLx+UU4Ep/hcvGhnvaB7vGKC6XxFW7oO0X8nuiHti4dw9gKyysP
aKzp8NUYDAdIpMmX1po6DvpKJjWPCdDprq6L8jsRRoNGAFTx08AgVrAXslKzdqC11Tdwz6p815u9
HDh9XOV2p3QCQknDZBQbt+6aF1AAm2GthHDKz5c/rYY53AhLsXDhsBn9pyZ6qkKn6jdyvbXtRhEc
lBGccbxmF9sdVb4WdalHrlfX+mn0c++oeSF49zjSoJsOvwhRuSUPvroy6qEcYYuNXz76ulHMIjUi
nWgQMxEFIXVyLb0xyqhwSr3+ef0of34XzMVXOvbkXyTqyuILS2mj5ZmMMWju7bkfYkVo5YzO6AG7
j609Fe+Ny3cteJCu6yabStVv+TLISZ/JAQi6dfxFFn8U0j4wbhTmhW9q9U+kb8X4zzcwC/xgbvEF
+7a2ROYIgbpEzaNRCadB/w6qaEt8bM1RdIoec2d3ngOeA/OHO1GFx7I0Mt47/PWxT/xDPYz3Q8f7
QE5ckdb29c+2ao77nucVcf5TTa0dhLAtRrzfjKVjGIAln6z276RA/TH+Doot0NBqCPx/nJ1Xj9xI
kIR/EQF680qyzRjOjKQZuRdCZpfee/76+zgH3KnZRBNaYLHuQdVVLJMZGRlBurW0vmoE7Poq4JQQ
vKxVVSqf6sck+bdz5WNtusmvprOxm5He3m7PbuubUdRdyiwUdSFYXy5mknRCg4BcCddztI0GdjxN
NUh37izi1kFbzJU1UizaMNd7Pwz8yjI6/L/9VHXyRizdSQu+0bT7SVD1z7entMEKojGCrvTFKHaJ
AZaD+McGkRrDD4VEZjBwWCyDz+FQHEfZmUU7UpxZI8Urj/L02bA+ieiGDhrB2/AsGt4UHW//lK29
w62C/CWkh0V56/KX5O1YKGmFqWiFKxIKg9FDU78awVkTdwbafD7+HGm1axIt9Qs/xCw0gX5vOB2d
pekv/APy0L4rBtvv7Khx510lleXqvwzvWeqlxxUNBmLINQEoauekJHyonmZRdyRA34jmw7Qe7hDS
tVOMUihkv8Vl+jaXe6jEBs+P8gFueCSyC9d8DWbVmZrraTxX6DXbMslFHrl15bX1t8xQ7SL2Uumj
Jv8Qyxk2xkNSxG6XCS9Tt5d3bHxjAiN2Gt2YoOvrd0uO0ooaESufTToCW5kjD5xUxd0JjTYOKpc4
TAL6bIyFg3G5lYzCmNPQF/CnpZ+phTAYyQ9pmL3e3rAb5/RilNV1MBUVqnkZLr1xmt7rukMfkg32
cmjznQ27OR1gCBZs6fJf900NQRFpWlTVT2bfHUQzve9K+a5Vxt+357M5jIFfiIS64eKec7lqQhdU
oz8zn1RQLLcGHHWSKm1PIdjCzhW38dguecD/DbXskz9uHUEstT5I6LMIezZA4mlx4ISx8ClqBZRn
6V1NKgS6/L2i3vYMqU4iebtIya/St6g3/FrR4vrJIkhNz9Evfy8H3dwT8A2poCwtmGtCgOYXhN1V
uCS8sU2HxaEg+lVj65AUOyn81kjUcSVGIUwiS7xcwq5qmmmK6/opgFkRpbqrJPdzHh2r9p/b22KD
yEGySxABNceCprIOaa1GkoUxGOonqZC6D0kx1UepnOafuSYjnlEWsV1K6kMfGfNxFuX7NiqknfO8
dW0s9M13ggP0oNXOjPW5q6WBX2AkqatniV2Mr4FwjAT1WO2puG3tkT/HWm1NXcj8Lmt7Dtupx633
2eh/3l7PrQ9HvUsiT6RyQah5+eGEojR8P8E5PU/egvSkFt/hZvp7cizL5bN6bEAueWRUGs3gU62m
EaRaOTSKhIV4eyrKk6J8uz2LjQBdgsILeKCg2ABMezkL3WoEvU0IUhQhzJ5D5vktE4p7Mea/KjMy
D2mbinZVVPrOXtj6PoAjBOqLZDVzuxw46Bth1AcawdLuUFrftPCD2ewUJbZupz+HWB2tuk+7PNRE
4oOUqgceDLglnsp8+qha7UEUX1LxIFen2+u5tcUXKI5cDrNsruDLaXXN4hQqMi1OUK/1bq9+rxB2
6ztHrYMdNGbzRKMTQxBLugMdZHWexD6IpN7U66e6lH8IkSgdEVIKnFrVKpeOJukoKUnrFFmQ48wD
4a1LB2snwduaLy3wEDjIkyk8r36ClfXBGAcgg21zX0bWIwnMpyCKTlIgPbf6Dmy3tWfwLAPvxH6Z
rbM6cjHFkrqPMBMLpfTAa5PRDeNLO2/a1rn+c5BV0BE0OcRZOWyf2ogObcxbrRdhsMv5P9z7KA9T
+uRow1BZDSPQ2Rn6XUnAbo2iJ0uZg5jAfRNbqoto/F5X+Nak0DuBzQMLRr2SQ/HbnK6PEZidbVDZ
ddy3divVg5tq1dnX2z0L3o0PtehjcW+9813WqL4YG9SyU795qtuWvaebSK9lRQKDLhR27pGtLIAi
vUUPNJtCJ9m6PHGS4idWWHctQpRlSePFv3kMsTsKVMWdxtnCE0kfj+YsqOe0E5VjI2f58xAa+THM
QhMebNnvfNmNyVNoQN8Avg9Lvba4qSJzaowxbnjloJ0Fpq30nasrOxfN1uGnQEP394KskImsECpL
HqsurMPuST9Z1b1vHqLqoTUaCmt3RVEcZSPi5N/dvt02thFjoklOnk7mZa42bWMYMY3CafeEqoJJ
jfkpLX7sfM+N1QNXRECIsJIx1jFC7mcj10zTv4eUnfaxlBQ77kTn7yfy5yira7pJg0qp57p/Gma7
nD53rVtILwOV8tvDbE2G+HGhlpKV85Uu96Y8xn7a5tHwpBe/h/A+xB+u/XV7iI1PAmxMmW7ZbWRK
qzuxlvxCpLYwLO7lcfRWQqv2E/lg5d3h9kBXvlhgGMDhsG+A5peEbBV1N5M4DqHQDE9dDP1+CsvH
uvoCMD6FroIcj5XSdANMrVhYCEkfa+NBtb71gdPJH/Pu56B/n/XnIkfSjA9aq+AUL2n+rPdveqQ7
0QBLrE1w664+3P7VW8sD7Y8ykmVBzVyT4qIMM7nZl5CpjWI3t9yKbp1Ge4v0aGffbg/EpjW4jHjh
V4HUNKE8rRvd8NSUi9L3Q18pH4OoeJmCNNkZauPNhZYAfoumDtf5+nYdZ3Eck0QZnqZTEN8Nuoaa
tBPrg13v9ntfh4eahsYNNSzgN4uy3OUGjvp0HMUYDQK9hyfDe9E+xG4U/qqkf0vh39ufSuXPugx1
EZAwoY/xqag8r0NdpTegXkYyebg22iN3+LgnPnB9HPGKgF+FEQxgGaHI5WzqudKDJlvQ6LSWXUA0
e1CjlJ6IYSdQuY48GUhefIOpHHAyV8sWN7NO8BeDj6R6a4thA/3YPImRTi9m5syp+DQ890m6Ew9u
LCCoEPKZ0PS5b9bIvj8aaTNPJK2SWnlprX+XrHznEthAaqFzkD7SY8Qqwqi4XMJRbEw9iQg5u3Ge
3XSWDKcwsNtoQ4SfqzZ2ejWq3aSmUiWHZuOOaAn7SGbsHIGtqb4TatH94Alce2R0ZVqahQiUUiTS
AYXog+r/vL0bNz4h1e531Uf2PizAy4lSOPH7sAHiKsvSziIlo17RA3TVvleqUusGpvqvL8PpFPc6
Aa6PN6E8hbFlYoAb+jL3P0GVXtPA+Yz6KQrSswawoodesJDXkuBRUT/dnub1tQX3Ds0WBXwNZGq9
U2UVRjStsv3TBLnxrlRy1ZXNMHbDtp3uDKXYU+jfmBzLCcURjiOhy9ogS+7CQsr6gvGK9gxn7Evp
y50tNKhjqFN/rybq8fYEr28wJvjHgOszn0xZUMpV/4Sg+1mmZwvLMQN21cwOTXz5RDfZ6faIqyXl
sYcDR0JLQo2ExVWWIqmBMoxmU3hVLBk2NMD8Dldi01GleH5IW22vYL261d7HAwlefCJ5/unruNwv
oTSYmi8WpWfQ4adSPI0A+Cvj++1Zrclc78MsnncYqy6E6nWyaaiNmVI4ZJiY3hQUg7V7ye9Su42R
7J6NQfnVTmnysR8CxEemyXjwJXV05XwY7qfIz3Zu2NU+Wn4NZKHFVIUsA6e1VSRqldQrI1luPEGd
mqM0R2+5Eb/qGuIrVpChGuzXw87dt7HOPLewAqiIsc5rxCLPmmCOFKXxFHYwzcdCeN8O4UCYM4c7
W2jN5X+fHi8gKPFiSk52c/lN1SJTunKWW08IpcQ4Tprlw73taGC1kkggyI/0pIJoWddfwiLpzYMg
lXlnF4oQ/PK1RPvaNb3wIemm2rSzbq59WzfnXLGRBCnqQ13jzIVQcS6GNh3G5Q7usi5Gvf96nNTx
TYYJunAML389HYA8T5XZeLWUlliLBXF1Dow5c4vCwKyi6ZEhbf0gPzadXpwSYRR/QHlscSDpKuEo
VHF+zEWhu48jq/ms+iWKk6Vf73zOdQL1/iuXOgpsdeoYVwhUkszhFOZG4xnoeiB8EdcfGiGAHDam
sxOYKYb2TZc6mo4vitTqgh2YubTzod9PzR9BDz9iSZLBM967aEmtLpeqmPzSCADDvNlPTMnNZF8L
XHmclwZh38DPYy6i5jPn2++OIWTD7ljDDW3tfBqDnwOunRDMhrYiMpP66tnMcG2qNS2+R5QlD6iX
mBNyaNhh4hQShnr+M5rGvnXyNMeYwe8D5VWjFQgJDsWf50M6dn6DXtgovt6+PK6PDnYsSAUgLILr
E/Tky1nW0TzpyTC1XiFLSDjXjURbMqlDr1m7MPcSaK9XlHeF+JgbmOrHakW7aklSRZGxkBV3/SCV
Fadt4pBmDN90i8D330ajgEIphNO5VjoOgjx/SxW6VG5Pehlo/UO4LRBwwUmXRH31Q4KijkpBY38V
xmgdENR69fU0OedDBNQT25EeN+7fjwggTa8rglC85atbw2hUrU7UufX0uSzsRUvabWcV75FODw7s
s+EEFa69uz3oKlB638GgHArJgY4SxBqHiPrApHlKar28j+oPlA0jZI3ywjWqbjoQDTanTgpVrAYm
XCdmPf8vw0Pt5xwv/alrZoSIhFLWdXxuvdRrR9Wy4VvuV+j/W+rvJGuyOx2nRyfpaxTldX2PbbIu
yC6zp5xCrMaLuLDRV2mfJlLuNn2h93SxiT6leoOfgyrOdmWO+imq8uigjNF0GLuicwKi92PTVoJD
mPMR9VDfaSu5cot8CL4YfbtXnVuFPu+/jUwdFiqUPaQaV6dO7EZas6Sh9IIA5MFs6eLoVcMhO5Hs
CuDug0kh7QX5YsW5vSU2jju1xyWXozmMQGC186kllT2lwdrr4xwP9TpoaPa0BL0TT77Kwd/ZAtcB
F/1AiPIDhAFq8ykub5fZ6MIhpo/EKyBAfEhVer5UnL0cUyvp7sA1KPpye37LH7g62bRZcDPSpkuH
0DqPjII4jOfIqj1BjuejsGw8sO+9atnmtBbwCKwF3Hbd/EzRZoCGFjReN/oIeLdSr9SJA2xVCi+R
n85EegK21fNOFrkxLCV3nTEX146rMEePZjiAy+Tk6bukQUOD/J0J6PgE7U6KtbE/CaO0ZXdCNwQy
vfxuRilZeHYmjVe1tdummmPo7UGfIC3A1yqN4oTXgn37y21EsQQlIAwUYWhSAzy5HLMc6jzpu673
uJmsL4GWfhn1tDiUaaa5oZZMB2tUkA0lbLWTWEBXW7cojEaqVtpj7+9JL25sJA1GF/cW/1i4Qpe/
ZkSH1m/yufdo51U/hmMwH9O+2UPjN25ooEG0OSU0HtUrKeGSAkMVRXLvJWr23Fn+MTFEdxJQJ0KI
tkZSzFBeBzXcidA39hGoEZ3KMDxZ7fXFPEpznhtD3Xt10PV2CCFHarPvYhOeK/W881W3ZshTD30W
DWP6n1Y3QFaQhTe+1nui1EafFF/o9HMmxL3lxK0fP+txl39MfLO07FDhnnZFTPMw/amr7LcSqMlx
QJ3aTnjGnoMyGl8Av79VeAOfiXGbuzoRpJdeCbWdW3JrgRbf9QVKJTxYl14D+GHdWAaD19IVM2hW
D+uk/6GMVemUdXq6vUQbZw2kk64E2hEoI6/vyFIflAztdN6pse6dqZ6xx0vT320gfw/71m1KSJlq
uxf3bY2KRBTtqADUGhn/5f6OO70zujIavFrXPjXZ41z96tNT4hOHtAdNDHe6wja2AXfWArm9d/yt
k0JziEthbIvBa3r9PAYG0qKfc3RZy+RgKfkp/+0P096Fskxh9RZQqCAnVOnWWrxoL6doTnT8JGI6
eMZi81xmk3nXp3p/DHg5Tq0q9ifEaItzEE2Jm2nmV+LM9iCBddqZFZ4wLNrrA9/YVssjyDW3/HXF
npcCA0OzrBm8ARznAX3U9jSBTJ/Q1ZfvhHTe6+DZGg9BV0gdnD/exGUP/AFXzd0oCR3PvCeps1vA
krc5eT8CpfhKLNr+/ZmB3Ug0AyS3EM9WGyprrVaf43r0uiD+VgHhWPO/pTa9BXq1Q81eO3ct0RPY
G5xUilBk/GsBxphHKBatqPMmXZ5e0dN865r4m1j1pSvG8/wQyKnlhrVivNKnUjjp0NTPgTAn2KZF
UWhbkRZn2NPk/+idjsvoOFrlp4aJHX0QXDuMfdmOi2Q8oZ4iHwdQh50Tv67XMAHeOIp0S2cBU1nH
D00hGGbdJIMXq0aM4oDQpXekDuanIEBkve/jc5C19Yc0MoNzaCDQLMmwzgc9J9PFoPdYhrh0TdRU
3JaqyamuYuvYWVp7Lvocne9Eao+qgKOkmJofcdsS3NDqyHPoZHMybiE3KdP7qO9hn/btng7GxtfB
SoBai0n0Bd9izeEd6eey6qwdvCrpShdiUfQp7pvgNaLmdhiGvs7ssFHeaC2enHZWhmNuTONBnurY
7bthPnQT9NCx6dt7JLT9e5MLyqkpcJ0sLdBP+aT5di5GKT1vlXiIu0Ld2cjXLz+/fxHuXkQ2uLOW
EPqPU1OLctL5mjZ4/lz6tK8KJSpNeHrcvvWvzyajEEDy6HMtWu+18z9GMekpF5Ocu0BthdbNE2l+
DORiOKaGiKXl2Mk7s7q+74HjIbgsGCHhzLo/SNIbpZnncPSwmJMxfDeGRwSs5sXtuD8YSRG6bWsW
T0Oq7ckwbo2M2hQoCjRy+GWrSCrpkS32S26hZiz9UyQHb/GMZOvQayhAi/L02LbKqWzGPTz7+smh
4KIsDcJgNzIN35ffUc86HS+2evb69kQE5qIQNH7QdCwHhNNUOs2eCtqSOl0+N8t46JO8A5HI71+O
Z1BUmvI4mr2hHE5yFNmKlOLp+qGSVGfO9+Q9NmdHGwBmM4QovHKXo03dsuBaN3uoO3RubVXwOCxB
4aRrli1hfiFAoHSnakGddH3e2U0buxcgnUakJbsGRlzNdQSbgYzI2g7ycRrv4tDr6+/mfxqELItW
bwSm1jS+tlTSIp9QzKyl9nsjZW6Ufh/0f8J+T2F648sxG+zO+IAoyq11tGhcM6RBbGaPdp+wfhbj
J617E5PJQSHs9qnfSHIWnieTYfUXfq58+dnC0Rd0MbUmL6jJXRT4xocodOPEaQAhVKf90rapXcsQ
IzV3Z+jlnK32p07tFko4u2bpE7wc2veLvpWDefaotPYOMF07OLxB5pHdoj1YY1jZghYBzmlh5k4G
Aklh1Uc7qce6Srk8fegjAYXprAGxtXL5K1K1q8fG4Ffksqt88V9BPlzdll3TdmAo357y1nf9c6xV
7hE0XWhWKmN10exi0jKD6kj3Who6vDE7X3bjliNNBiYC2+Q8rCUeZ2mUx7FQRQ/c5ZECgDkQ12n8
U0H0r/0ql/VORH2N5Cxmh/A9lkG52FfBHdj7WCTVJHmRlt4JZA2vWdFFNkaqe2TN62VkJAxqdWqR
iNesyfE6TtlNM/iS1yBlK38wq9+9fi+2VLPwsb/9xbYmxWUNZkhURylnNSm5VmrDSiPZy82hfchr
M7Q1E3P4rmyFb7eHun7mFdqY359CygzSWhejraTaCLRJ8eI+Lw9UezpnnM29CV1flPDMwNYJ+JZD
v+4KGY08z8RBlL2uVz/JeG+ItWVH2uzUqXq6PaHrF4GhuFLo0yLLgg58ebLILHR9igzZQ0XtRRFd
SXysZvEYTOIJoYVTDWpDt/sOJHX9wRbKIqkdSRas2rXzN7pPQ2K1vYKEvY+kKcUMAXuKHh3MnZ2x
JhNycTDSoobLQ0AovKbW5PUcpHHG9Eq9lTytb7/3Lc18Xa6Xx6wIXiS1hEMkIN7UG1LgJlI121w/
oT3P1XMVtX8pkPb+ewjgNWqcRDYggZfLDdTXD4ovKl6Z5Had/aP4n29/zw0A+71MssTQLPGVjYqp
BTWehJLiNaoYx7bUKQ2qJj6q4erE/SU2cv05qqIhd8kzyGsUrU5hEsOga50mErrxMHTtKDihrBWh
k+J6g+9u12Y7B2mjWoe0LfkMXeF4lNAvfbkSVjWGZTzqimeUjWqnSWqcuqTuH4rAqtyJRg5Hm9n1
iuJ3jlSZPzuhm3a24cYxQ2SMLUh5aSnprN62QUuMbqg71YvNH0q3yGmdcys7Zr68c+tuHDL0kBYT
VtqjFwHDy7lOvhJMcdeo6PBPUFv6JrVTQ9DtukyLkyaW8aGsxvQopG146kdlV937+tYiWwCWRYdm
ibvWKluBUMa11I+qR8PSg4qFVizGL1PbnEcxeggSBAyUOzX6EUkRdQQUuDXJLbOXfu7c25tz49xD
OyMsI5yh1WdNTjF8bexAHlSP65oOESmzMXV5oJH89fY4Wx+WLGxprJU0+JqreMkSk7aO5VLzLASw
rWY+TZiADH2ARv3OSJsz+mOk1fUpR7VZBGaheUldQ6b7EmXRfSP+uD2d66eUfJKGayow1GCIbC+3
T12WFJHbUfNQKI9cbRgHZwQjQWgHTYGODrdJ6ur/8KmQcIH2rEEOvmK6qrnfECeamjcOwLvDZED9
MFP1WLbVni/Sxtei9kKlkcSWJsx1yS0NFb3hb6oXlOWLbsGnC8VHrf5doa19eyGvwy1APdo8Ib1Q
WSStvFzIqYxCq6gqzcN06V4w7kslckMRVXnpp1L/k8vH28NtgBoLiAhdib5ZJAHWnDMod33ZtZPm
Zdosdm5P5CCz5aXpJHXzWDtjFVoPAWK8X80sR8i8pSh5MoSc1v1JrVAEGqRJe6okKxLtXu+T2Uk1
ZTF0oh0QFS6tDX+rchbCwzfSobCFYBYfJ8ModVuJjejn7dlsZCHMhgicKRGDAz5frp7iS3qnRLLm
4bgkV5Ft+JOdCsmppAnaFJ1YwkRFfO4gyU/DaDPzna+3kQUsdzV4IaPzL2uwUFWIvhZgxzOC2FEL
/+OQ0uPWfFHC+Kn9Yoj3WTfYbXtMQ3mPw7f1XIGILh6lMrOHXnc5+bFKINyhDOXJ449o1hx4g9+T
5gWKNaVCus6V2NHlsaT9/O8DNLIqAGAI58TTazZYliy9B1qle34P1cYfg/4QZq1wznsLgwgZB22z
NiVsV8oR/XSqXYfbn33jhtOBTAkNF8I11JbLiVeoGBNf9cSiKBq7wVikrgaB2KkipdnJvN7ncpls
8kQxDqZNdBdfUT38cNaUKSRai+f4gGytG1vfqsh/TqBs+oozhQ39mtjiBf1Rr18DdZEZP0/5udSe
yuCfdDpZYWRLyI43gCiopwKmHI0WjQrl7vaibG2HBcUAp4RGjWLTajv4aJTxf1PFU6VvfhW5VWP9
phLpmvLjgjl0ZX+sR+XcJHuCoBtcrKXC+N5wjCUAS3X5Pfy5EMyYwImINjjLSnDy/TNf7atZjo6f
Qgt7FKv0rCbayVBa1+/OYdSe/Xw81lp4TkP94+2VuH6blp9DpMmrzo96D0f/QCQjulOzMJ10ehUO
g+kKT0/y9KXYs0LYHIWzBP5BsesaXTWSWQuRg/VELSicckaEP4lr9UDySq4C6xckxPzrp31RTIaE
uVjOcYevsTIlNkvfj1DsbObh5Dd+6caynNlZP8Xn24t4HR8uulXE6jhiqqSwqyiiFktdr1tVJ4qw
nDJV0KZpnCErnuZROZpBR96nE120L7eHvX54GVahIWCJfjnhq6NdhloIk03XPSF/neqXcPyVBuCt
e6/u5uz+GGb1bshCnk5iYOqeEhdHcP5/JPgqSt49xwNtI0SiiBW6g7DTtbU3udUJ5eDmWUcI4PGu
JufR8Ix7c68kvrEtWUDU7IlZaXNYl5T6sKsrQ0fUtaoX4CbUg4dwLKu7NM0zF5/W9mCWaGfe/mrX
F/Ly1f5/0NVXa8NZN8IEmcqebkSXMhFwfF98DSq/PdweaeOWYyhaN8ibwQCv4OK89SdtSNiXufUj
wnrEsM7cTI6ciudcfkjq+z48h+Xeftmc4B+jypc3XFX2GiR2RuUyhzRMrNvbwR4rZrkmL5+aZWpL
vzJfjjt8tYolDsJhkGk6lQ1Xms+7llXbk/j/P3+16fVShbHU8+eT4tlp+xpIn3V/T9Znb5DVHpfT
usmFbjlZo+TWhm77sfZYqn+dCrBU8PGo0WJgaq6RvMCKdQTpLC5fKwgODeih02X5b9C//nh7w21+
FKINAky2HSnr5ZcP+nKsZCE0vFiDWKlLceWUkDX+wyhoKy7VRsAHmvAvRzErsU4WJSFvyKXizhwk
CsAm8dvtuVznGkjZUrAn8l9ojMpqgyX6DNHYb00vFzO007NKdFIrNXH3spp7pHZmeyiqnylyNzth
8tbAUEapoi4PsrVGNXAmmSZBHE3PH2a8y/RMP9JTmGEoHM2HMTbSs9TKzUlL8uJwe8prrzjQraW7
DCkyQgJCo7VokaIMMNCFwfS08nUWP+MifMyi4TxnaDJG30cYuYl0VjXh0Gv3/YLrUCCl3d2O1cm2
muJMg9E99tunSIzujWYhNe7WmZdXe3Xu8bB5D9nAVlHGu/z4QZbGpREJnPs2jf9BwqV87QTRJ3Dz
q2dVUAvHrJTEBUZRT6U+A4ZiFIIYZ+ggWSi4Zqh0x0oatGfqoKJTx6r5FluDDhdUr9xOEn6O2Zx8
jERh2Nm1G68oPSHoZ5L8kAYZq1ux7ErVTCduRWOWnHjSXDF3i/5LKN7Nxa+2epG0b7e/5sZhJCIh
BKJYR3PGmgc8RZNVTn6OopQmdAcpNb77LaS624NskBrIxTnqi9c052QtKWxUfYFarK976VR5hXXI
jAeA/BYfEzuZ7cAKj/P0U/f/yePQzsLngEYjv30I9CeFspuUD8fIHB4a0qHaToZDbb525rmSH4uG
5tBDElJQ7fV6J256N8JabSIWBRYJ1EO6Atci54JKacPnVvTEWSrY22ntf5L02nqNWr3NnDFRxJPc
GX2GAZvKAVfl0ArgBufTv50a0XlZUeebj8iVRdAawqr45tdWFNiG7ItIfRtpDst5QA4qNBK5deUM
yaRQy9pf46zNmJwNSaS4UjKrv2IIHKErK1EuOg1xeIMWqd/TsFe0XXoQNJRR3TKMuwyeabxY++ST
9V2rGsO0NSGrvMWPOoHQ66MiIKca2h1tKc8pBeGpuSdm9D9ihSh9VcPEB4JoZPCLQkukjrvMFwy7
S6UkdpBFtU6pOahfglmpB9satfqtDTMxtuu+yb+k+MK0dtAUAUmLZnUIYQZl4sLdhNDhy0LgCFbE
49hkU9O504Ae3r3eG+SXdQ1Ie9C6Qo9OKDrp5V3TNt13sRck+SCgaKOedG2qvhdg4d/0oM/yI0vk
B47R5fNwxkrWUOx0lrXygJ5q/knsKBXt3LfvPbN/7gYadkHlKAPD0qecsWapUUVTBIGLBVvQeG5t
PQnq1PYb2MqOLMfSaCcdSKqChNJoCwIlWjW00hdDwJ3YDmdreigq+n3F2ZSPSg/lzZZ6afht1Wnw
OcuKZqeWuo5ZadzABAaFBV70pUdwFZhEjWG1cyMA7EVieSokNFilcoxdq+j9h2iQ24Mfin8bKP/v
oBBjAY9wgDZWCY5YS5FY9JHuTcm5+2wWqjsXB6k5ttHfwhXLSEga87jzFNEHtJpeLYZ01CklOY2l
2H6of7aq7g5c6C+zC6rhXI3kTfTOLv3Uqxgii0q1FDMROEjgwGqu7KMzNpwUZa8F5Ar0WkbiiuE5
IRelE3h176d56c9932reFP8em+ZZiavT0D9GeWa3vfY8mspJzD+0ifUjGfZUKtdvDmNDOYNkuuwV
ZroaW6usWZh9Ij9/WuTG4iOVVjvPtXsjrm2JFk8Job5uJ3BavtDlcbocdLVXFPhaSUqjoKeEP8L0
TcD6LvrbHGqZGLufZUU7lH9ZjZFaepNABtS9rortsI3dmp6SAJOZnddtHW0wDjJP0EmBQcAQ1sSN
rgt9Sa4l05OK3DyljUmjOOxxh7Y06Sh3rewGqR44SH800GHM+WujN+XR7K2viSF3D1M2SN7kEyml
NdLAk9YqnqBjzSi0SXyn9qjr+1quH30p3FMxXpsl0oWJDhYVYdTt0Flg710GStGMOaLaxL4XpYGt
JHNuh0L21gfiUfQfffNUqQ9WbTjiolDiC4/DVB/ycoJk1zll5mrCJ2MIDnUg2TWckNjc+31XaDTw
LzAhuoz8NDhL68b1tk4CETzd9yTpn5CPGFdHqfmQHNQqcHNxxhcHMEzhbZOax6Le+7Lr4GgZHbIf
RkALcKOtTR3kFsMfpUl9L6PlzS4iQbRDX9+JwDbniOgmtYPlDF45BQhSaJRIChNnDNW/igHhIJbP
/j+C7yiCF/nNqxYMRy2QjogO45u7x/Zep5dMEvsRBWsykCnEyFcpTFjIFH8IZT1Tze1AzI4ijeQN
PSu3T8neMKsrW9H9MDD7SfDkaLJb7SSUvyVs624PcoVlLJNZehdwQSCbJei83M9NinNE4luCV5vJ
SR56G7FdfYB+oH2re4TB08Z3zLJ10indeXGvmn+XoRcnJRJB2gLoub4cOotbgQaUOHjyJXT5DFdQ
jTOja/qLL7VIJ9f2rGg/U6X/JHTtCw6svwb0jVuVEG28l3MdAPslSh1z+nh7Ta6C7/cfBq0LAJ/F
oUZ8+cNCIPJEr7LgqW8OyI/g3uEoiABVxTHV7gx63WkTCvKPGSbj+AS06D/KxcfFRAgXNlfKzhKs
3C5+i4uDZX3s6qMc54dyPMdxDw5dO1F5bzbqjpnd9ZtEukCSyavIWl4pmEBHixVfLvnNwnGCz81I
lL66CEnH2HBMkaUrTRqpaJS+vVrX79Iy8CKXQ1hB+Xq9WGGsanRwB09WJD8NxmBPiElgynhIsvDu
b4d6r/MiwiYD8cM2uvwuqWQEUorV8FPlm6bbGvGxUaX5EOTfafQ4/vVYzAiKLw2XCxK8ItqmIBdS
ps4p1ljQEqjvnYPcv6fWt/Re7my462+HisofY60gdUNOy4qmJqzOp3TpYPcHt5gm10KK4JiH5tdY
UOdjKCbRXSDGzfk/TNQiWINPTHlmHfhWPtsJ5CJ9EuJHMTjqxWNaR67V7VWxNiI2GL0LWCbRtAGr
b3WfgWbXmZXF2RO5mdMF6PjWb6X6L8DDYabSm/b2EJ6qXHC1wtgJS6+fJQ3PiPd2mSWnXms1K+aY
+laLOS6/rP2EqK/0kGmJ8uH2Sq4RJhIeVPTJebA3RTR43QVUIbVhGiMOslrvR/cjFToHem0JoWiU
IyYnKm8ZOCJO9nXt72zXrbEXvWTOH/4/VCRXRwN1rHwUMDz1EQscsP9Sq8QJBXRqkKxKZOVDqZRf
/366kImBtdg7i4HU5ZCV1MmC1SmY1uKuHM3sWeVkxF9Z52PyP6SdZ2/cQLK1fxEB5vCV5CRJnpEs
yekL4SAz58xf/z7UxXtXwxkM4b3exVqAsSp2d3V3ddWpc+qGVuQvt+1dvtDArFBxpYGH/Q/J/rk9
Ux7zTBm09Jh1NL6T9ugDX3CLfOizx2rII3lnxeZU7UEbxeaf27avOdBMd4WULN5LBvHcdjPmSVnX
E6q1KX2E09hQPVXUzP13KzMIlRYjDgRaJs6tyGibgUkSERpvspSzTZROViGNK+nIK+ET2BWAtfQq
Ajrnrjg346e9mMaNlx6pLNqGFjhNT+tUtxfpIQiCYSto/qbR7SA1nwWv/ZSYa5HNlSCa3h/AvQSp
M+/w0ltFgxKDpY3Iu9KmYYt61GxLIz2KRvpT1lpvC+lSYMe5wXE0NJ6TqdNPo2z2USWOWw8JiV3W
JC+Qg6VOzGPMnjGKjt/I7cZQUnUbUnr995sHdAwpeB7qoL2XPYzlhMZ9DMXOsbGELcRQp4Ebvq4e
q1VG5mt3AQT3bGNa2oBmLnygFK3YKtV5aqqtLt3VO38T9ncRXX0btGlv+9t84p4/KTU6LMy5Pxh+
GXAM545AL5XcimKXHuXWi7+gHOy5qIwOj31iqXieJq943rUdzGuZPQx1kAy74rk9o1WsTE/ZRWLy
ZlmxDfYn5TLv7zJ/Tan4XQH0YmzAd3mu8Za94EvQYb4ErS4wj8j1PcUdBDayL4l7zbfSh4B+fbdr
aGcTU6HaWKnAKQ2LrgveLNpFepVvFSW1Hoj0IwfAseIYfdi5iV8JT6nv02wv1eZ+tBrDretAu/e1
Mt5Rvj35ZSFs1Cgrdn2k+Hei0gPHb8ruTTWDkedpnjjobZbQrCrVYZRrHrq5YW7J6nm0TsbNyt1+
7VYgBUd3O+cJoexigbsEPCspRbQZhemN4P8lED1bkuIte8hRa98ZRTC9/4VTUfqd+2hg7Fzmx1PB
9ORqqLIjTAH3lTQi9POgBtkno/l+29ClN3GCcR7z1qSHEf8996a4aUIBaSAktgmakIRPpcRtODzi
yTil3fRy29rlvuRSh+qVHiFSPrD+nFvzJt6Ull5kR0X/3Rn7uUMoreyq/6v6yT1Y9c+opd+2+I4x
P3dhTMIfBvgBjCwyNucm/aEJe1FCDEULUD8Dsjw2uR0LofWngQxpsnPaa3moKVaVO+Qc6CHoUWI7
KcGQfxXjXHuVIScabaMrptY2cl1p7UKMlcPUZPL3vPWKZyvQyp8+KJLOFdPUpw1SK7QfNYqeWxUA
58qAri0YrQGgbt7xKsvrrfOzElxcnx2Fhh6uQrTJh4NTG19is3e0NlpjJb22ZLziqPUxhfxZHDdD
4NcxT68cMIV+GOnN/uRn4zZBXzbwxL2lxLR5Zivef7njODTBhULFhmYEe+58zcZOR0t89LOjDmVY
YW0z/Udp5nfAEuog2Fg8pm87yZWoGoNz1zm9KzN4cxFVm6kcGiC0kWQXhYZaBPwA31IA+nd+X3iv
9LuYnZMqsfkcgDbXidES0qFDl0MPF2gDmOfb33N1/JB5sEFo/aK94Hz805RY5PnLjCsljh01okoY
ZB2Cil2cUUK08idfhd0LOVxrxfJ8li13CzlZXitIOs5x8LnlliqJKMZsUHNQ3U4XnDjeKYH4z89s
pplAn0IUU8e9cm7FkwYUAr0xO/bSHjYFO4k+d5R6+nxyDLGnLyTekNZYAeRfRp+zUZgzoDsCCrVM
OMlW3CXiOHH29PCUqCdexyuR57XJg6pw7n+ks53c5vmwysy3PN+a5eMhiciJ/eJPyWrp/9r+V2a0
NgADoIHLJ3VgeJJCzJYdfTSQY3osSuHz4D17IJH86fNtP7wMbWaGBDiL5iYKnvCLGLfxh1IZB4Up
U5LN1KkEuK2jZNNG7uo1xsB5zZeeBx4MFi6ej/M+XExeOFZNMAvSx0J+7/nPYvEqqrbqo+NCaPNz
NH/U1hqr2zWXAJ2GE9IDiKzGwiZtxzVoSATCqWR629rQJjeCHGR7exavZAdJDEKGyJaC9oCY/Xxo
Y0d7oSLX+VEKCtRVqBo/BlnpeONLtkcM3i1MzY7XIohrzkhfJ1uY5hOu28WR1ilNbEwy/dOqcV+k
L4l2V4lr2Yhr59RHG4u7gTxO1gUdAvJ1NEJce5gKmuHhFIc+TqGhccUbr3n+R2vz13xAg0KTWxlK
5SNrpiWbNpadzChspfgS1c1eU9akVq75BvAawEKwZXM3LDaz2LdRJHS87zQNsEjUEOdBz75Wgbuy
w+iPgzzYIkgBTrcYUzJIZTNlcXH09Szb1JOhlEDfW3k3Dmm4z6CnWpnEK8NiTLyOaTCkd2XZkjdZ
UVJkSVsckSQJtj51bxu2n3+Ui6a+Qz0K+PD8bjBBMSw21mCaYTSa6Kmog+yduhaqJrMQDHdlY13x
iLmXniZ+mHGwtDAjAGqPUSqYVVXIyvYvxRA8xOKLWvU8cIvHhMpzo4yH+W84uDYK7CYB8jUoUNh5
2m1J5bteoK6kyd6BZGcnGVlGsjnk+/goWuEXa8q7s9NqxnzsjHb4noxxGDlFRKez249qvm9KJRSd
lrJA5CphLLhdpOk7VaGFzpXatNRspOCNnzHYiJ/N6KEM4peNbOOFVe2M0ag+QSdW0aNQWcHGQ27I
2KhN0A9OWdHFTPBZNjRIQBr8R2hl1d8KNJPrDoXP/i1qzWHYJrrXt5/zTG/6fVVUsWKX8BfVttFb
crjxjW7OXGZezI/+qIOnKCDdXVm5+ci7mCNSbKS7cfoLsS45toreKgKdKLZUDnpaHDwxJetd9+Ih
A9XoGFNjjHYYBLVs1xUcJJ0lzsKCffhgIiqwwt9yGQBya8/dSEBuANaRNjk/W1Bv4i0K6ubIMjV2
niiHPG1cxdpJiQJ9rX8HefV2otnLj6OnqfdWAqKLw/rdPMkunpcgYpdEx2GWSGZrJPqxr/1tVuoS
75TQCbw8XIl0L07s2RBZg1nPk8rbklegLKM26qZCP+ZmBhgGzpmk4gWR2lVD033z0Hsre3TF4JK2
zSotBZhXrh/p9LBb+DwtOIHrwpU01TbiN8H6suJZc0yy8CwudBDYQM65bJdlp9A0gqYX2X0Aw7sN
J1V+r4Tq36mlr4NmAsQbw3xSX+qSjoUuU/Jt0ff6TpiVf25/ybU1BbXNonIWYmfhUshtqx26WYDJ
KsltrZ0qbUjWrazndSNAX1hUgtplaEGAluqQSurHBmBjTYWTmjjn/sp2XbOyeBWkFikb38uwUt81
JDWNbKdqKwHgpaPg+iTCKRSS7+DH8x0IwSvcDrmqHD1aRukFlKW9Fx/gNnOU5IsUmit++V6ROfcT
dhrtJVRR5t2wTHwEIoo9lRapR0Ko1AEHPMFMPWriJg2f5PhxVL+L8heRFLWoZk5D3qrqxi1K1p98
lfahZO3GvDb8D5+zfBI1uj8ofs3nKMqD6kHzqT801pdG3g7RfZ+t1FguI1JgSgQdwAhmuQtm+3yy
8f04MjTBQAJc1B+GODNsvwAO6RHNbUGbVkc59bkLuFKeOq0YnRLV8+3t/XERifANaDDBcUIVEEK7
RWJGVoIYZKhhHBPuRypdbpx++3cLVAC4g8GiQQE2z/mHgNGcqaysqTaPhSioTsxmd8WkWFOHubJy
pCiAl5KPgaNpeaTWed3miN1ypLb9VlDeAAA/COEn9YDwpcsz/Z+PFTIiVFAAbgB1U5acPl2IcGsn
xEybKd5pMin0DL1WNdfXFGkvNz1VPh4u/C/IWTC057OHEHMhyYgaoBjc3Wd1E1KfD58kz1rZiRch
MNj/j3aWG1+uKVSI2In7yTZhQonDL4CRN8WafvaVS362BOSE4gM/vZd0PvhDiIub3UxElHEobM22
VmzR9xO7BYvseoknHLpm8vaQEsNs5g3Ctm0zjeMnMze3HfOCR4HntIqMHu8LTZmD8EXgKkI0KRi+
h+DtKNg9smtp+iWQN1mqvni0m5Y7Y3LLYjhFWvZcDMML9cEZ8JrE5cqXXGT35s4wLss59OAQXDZF
6H4JIraWrSNvFOrJUlYfysTo96OSxRsC747mU0/alo1vHLxRlg63J+KaeRrBYf5lRRTSDOc+Fuhl
EVkZ5oXeglLVr93CIAzMIgMteeswQTauZ2jXaivDvng4vOOqOAJJbM4ItMX5V1e5qEWwlhzbn2Vs
g0Dx7gfVTlcyTldHx5z+fyuLazNk84f+bEV8Ep3usX3tIoc6yVu5VqeZt+LiLgMm9h9D81H7wbEh
+mnUdMKQktukCr8kb7eX6XK6KA7wDCaBAcQWap/z3x9xMdPuobVHdTx54TeNpGQ4vZnZwdNWHk+X
U6aSn4PaBugbZExL4J03CjEMYtVwnCzodIUWHZXBEbyvpFjLXiX3KThwZ6+EN5cnEEZn5BZ6d4jA
L5taxl4Jes2Xh6OkfQYvRvQBy/9jpo8rwdqVaeQtPNtCswiOxvnfPyxT3YrIYgXGcCzpvoTtx27N
jDZ9oPnSsxSWKwHV+yFy7hUquS0SnSQ8qU8vy+3QZ3kxpYrx2Lmcpt/N0h5MznCnVO1WtWPdgZfG
3n1/fW6/VjvhLvkBCr/ZhdtgsIu34a14Ku4yZ+3ld+mqfBSOBC0Keb6LtErhi23t9dF4pEHpoQfR
UQgIU2VrVOvXpprcJf08KpWSi/fcYEaVQGlyPNY13ev9YxCA3c/sBu7tf6cOmN/7H40tbrDWpAED
4ZbxaEwB7umIeeVaov9JSdK/mfqzqh86oXjIi30orHjUtdkk6Jg5NGb437KNWBREtfPiZjwG+iE0
hEMW2zoIpH/e/WAp/mNksfunLKeHWCzHI9nbnaGGdtKP9+2DH2wmYW3drmxF0Nf8l3zY3Pe9CNkG
+hotI66moxIBeg2/K7XsiOIvQ1kJOq5EwPBmEAWgOQJaC5jI+V6sDPZdprfTUahojzB25jexoZ/N
zYnxoRffZMlK3HYJGIFQ+6PFxV0X93IMRwgWjXbammr+uX2cIGNzyEehnTzkD4NZ7LPBlrsVy++P
wMVBMLPrg/WHevfykUgvThuKcj8dv337FNrbT0/3uf3jFNony07t0g7tT4NLiG8HTun4m0O8iecf
7GD761dp17Zk0yu1efz89eEl/+aYdrf57tmvgT3asl3teEDvgg15bTt0Zftpz3ZzDfd5Y3/ePTzc
/X26D+y/f/7e9sj3/sZbI1rcrJVlDkbdMyLNzu3T9v6+28qbcQOA2LG2yKPcA3M5WRvvQXetH/UD
bJuaE56aJ2ff23dA3+29Yq9c9tfX98MsLy7hKK4GXffnbzp5Wbqpil1KKmtLbl+Pf1ZPwPLq6fNa
iDH/0sVEoGykzk2t8AhcxG+wzvdjKSERF0XkxENhExfxypX8vueWNmCjoI8ZWB5tIouB0WYqxp6W
i0fJzp1fiArxH3T9nMT++vozsEX7qH5eWd8rxwCdgf8xOZ97H27KNFS7qbcwqSrfdSfeJ67gNHbq
vHybHfYHPBx2vU2/KUzx0flrHpUDeD1b37TQNopb+Dn03OZukbff+zVO1SsRytmnLQ57aYzi0JD4
NDFRNppQ8OxD9T2smpo4JdzUY3hUanhTVHHlGL46J8CSUXpSaPtYoqckqv7SqFTi0ejaxy7fZ+mh
Nn/Favv99uRfDvBdxJFe0Pl4RAfgfO6BXVZjFfnSEdbfunmwis5OCxS/3VHunExSNkb957bFK4cx
vcyKgiQMZyTtVYvtnE5q0kixLh1hZ1On1I5qyZGjv30Ch1d2r7d3cdcfoJl+XLE7D+Xcs+ceanp0
yELPFJkLz1a01uTdrEnH7EEw95MqkZBHfmX8Dbs+HbBN9lzq2UYyNrftXgYns1niHwBjFOeWpbko
aTmrW1M6RgjAePF9LPxo0FgOT6GwkgG5zE2cW1pEnF0hN1I0GKxlE9ntT9F/kcUvWRm7wZ0HM+ft
YV1fRrBwREOgluhgO/ccsTMaeMwZVz1uppNFpABnjKchNRpJsIB6UGH98blmb5u9NkbmiwI1pWOV
Z/W51dCCe01TM/loGvR0WtugeTSQzvWcNvwpiCsTem2MuCi191kRBI6cxclUiWE8RWYuH1M6MPve
DWtbpamyNDcpN2n5SehiO0FG6/YYL/f+3O8/sxaRGFW4ws/HWDSBPk5RIh9L8RM40zauN9n44rf9
Sjx5ZS6xMw+PiIiq8eJwK71ECUu9ko9DUTtm/jNAkzAKC9B3HPiWdofsyu2BXUiakQE5s7hYvSQb
ukkzalYvj+04Qfojt7PuG8AaQXHKodx1gqvWFvqghk2mzxYCi14RN+fHZvhda+W9Z+2a1O5LdJtw
szo0dpmv7xLZcDSFJpdge/uLr3oAKE+Oi5lYEq87X4s8SuVWb0v5WAjbyCN7EFVutgWQLpUwm5a2
Z9Dmv8bleyV3BQsMoSo5Eo5KoFHnVoNRKkC1dPhdoP1Bp8wZrHAjKm7BG1n8w+MVDYHKbg0o6lNr
f3vI8+9eHJNcCXg75TEaHJb9qJJW9VNbtTJBualBIVTn28lL4pWJvXLvIPlGgAoHGnw31uLe6aty
MtPAwxOi7NkbpmM5KU4etq6gZ1AjiCynQja8XjmMr83szEBNSg4IJMu5WE89qPpKIFN+zLvfUJP2
WBgFtO5thajYtMPMVt5qQXZvz+lVszPf1Ps2AzEkLxa0K+WirgTqD/Roj9W2FkZ30FPbHA669K2I
i1dd2MrhA3STK5HqteX8aHlx2+a0UMRG7GvHfCgr+v97IpcGFbLbA7y2nFwDMIWg8oY27mJalSRU
ssgLtGPkUYGPadxv/o7lQUAcwe+6Tf9URsbutslrWxO4y8weaBGjgeo5n1Nx0qgSs2WPfm2Lm2Z8
luGdLaNdn7+KibHtp9iWVmKIy8nk8UgwN6fjZ77ZxWSOsCAIaLlMx0SOlE3bhvqhFozqcHtk16yA
RSE0mskeL3bgGKiTkgfFdJQn4vsxRBoO0vh/FZgiHuEaJWVCcYH+jmXkV3nIP8RlOR11YUq3ZghZ
lzko4cppcnmXnVtZOH6eWjpgF95JHXrhDwb6aBskX4nuZVM4WJ7ar8zdFXvcm6ScQInQK7kEzA7W
JCdeHEtHL1L0H7lmjVupMwkPNC+obFBF0crWnkOA8+OSOPad2fR/ItrFQTZLgFY8ywi6gMnQZOE1
AQ2X8DgKedl0K9ts3kbnxmDsN5GcpqWabbYsBwXZAFIU7cpjlYq2MfJqH3iXR581/20y75VoZYtd
Tua5ucWuHkqhTy2w4UAcI0dLRocN59Taa/XvgIxzQ/Px8uEFKFN5UhtfNICv5b+TInkIwmiyW9mW
jcAWjHtB0Gbq6Paket97RNhu77c56riY1bkeApUFT60lkY9hFroVE+ceU/rn/4z+Qf9eJG8xpJG3
7VzuazJrc/MX7df0Yi19M6nDoBTQcj1Olf8rpT+Gi85LV264S3/ECK2eM1s5WJtlZV1CUXQw89Q8
WkkaOgB7GRO1ZlqDmv6/Gc8HU4toTk8zUy8goqJ8bGa2oRbZJhzgov4vZu2DlYUT9v4UdfnIgEwv
3TbNhOztGk3cNQf4OGcL94Pmv846n4VJDTcTisxJQQK0xoupJ/AyRa+3B3RtV32wtiwHznRAue4x
bZKW1Fur9VrXn5rn0fIf4mqcVvzhSmEAh6BmDU8FacELull1qquwU0rzOI6ZK8OP6DX1p9qSNmJk
ulN3ZzXtDg3Ugyq3jngXj4kdttJOytsfVuR9Kz7HnfFmxZ6tTDtF4vFDqTCIpVOq6PbouQaUZ3jB
bqQZJ1ftLu4IST/fnrDL5Zn9WCYdRWDBjbi4Q6YqhG8eNB0clsMEdpa7XXabwVW9Q6aaa2fsldSe
aXAnUqMkLuXBvnBrdUgKS6Ppg+D7a2Tt6UBPc+S5BDuoIMcN29HxhuavIjwGqWy3qfDPhBB0Fc/k
wAQ1hBoUdM4Pw1qYIedCoRw72GZdauSKrUbiGjbsSvhEx4WJLWKHmT1/Ecv4pSDQoxfqx1Ip7KxG
9HjDm8/4gg5t9dKfsqBaOWYv/Z46GGxyJiwm0Km/t599OOStnI4v36uASHVIQwhm+bVISTqJ8Xeh
tLqVsPeSSglYPk8LWCeovDOLi2NDbWMItUIdzGEsb8psorIvZzuAX7xvLfkX4MkIyXMTkqUuOaQe
+6Jp4p1GLcwLD4pcKBClJNWdKnXj3Vhpv2679BVAEl0DiOEQeYGeJZ48X2SzlWiq8wLj6JvSfS/o
D1XjPcOgYOfWF5lnEJrsrl63e69OtvAUp+qDptzVkrmRupO8hh5/j1vPb8D5a+ZGYRDwM0ro/Gt6
YegtzwNmIn8ZCCxMqBC+W5CnO7Saau2v8LfUO9aj0e5vz8LFxoY6EVgW883tCkXM4txt9Viu4RKz
jlOXbcbgG9L2jpA/GtML9Ne3TV26+7mt5albAuOkHIMtBXK9L97f6jTkbu0G8q407bUWo9m5zuZz
NkbbFuV+kCegPs7nkyYKNc2iBmOKvqnzZ1QwbAHR9YTaSv5tLYF+sbEW1uZ//7CxFKnzC05v65jp
f5uxtunwhBHh+6wCfHsSL2ILDCFwSkvv3LeP354bkip9FBIr8I6JPtol17Ac/LDaNRa0a8OZs15Y
YOYwc25F7/0I7YnQOxqyG1suUPw0uDeLleDlqkOAjgVV9c6BvYT8VwyvTwzMTKANnqZ9U9l+6kSU
tLrE8Z//febI6AGwAiEOqmLh6WLUqlEhRB7Pkgp6HVfKfinpypkyz/7C6WhSZzxgrOeWrsV7WKb/
QxcLXzhqelq7vZYLttLL6eH2SN45Ci7MzOAQGbIkcDyL5WmiRI3bIBGO3mv1KL2oEkUvp32bfHsc
t3f6Z63b0BAMr/2K3fnzF3ZB+JL1e0czQzCycAtDq4RMEYWjWD1EVPhHTbPr+Afy112T2arnygUA
PGnF5S+PKN6QJgc1D2waKZbs7OjaCaFWKP6JLne7m/5YTW137S9D+oZU2Yqty1OD+gs5Xw4MJhdf
OR9hGXVRLGRTcOqztyGUXsz2kxi3Lmg86BxVt1/TRn4Hfp5PKbbIhvH/BghPB+C5wbYK6mpCtOuk
cj6l9c/WicUTmms0YUGsMj002u8eUsq2/Uy3FKK0dI8IzT1cY7twLhN9Q3bJKKAxt9gwFVWUNYKe
K5MP7JEEzxyN8d5duNo0TrpnhX14Mr2HuPBJkGlboX4rvG8Ilq6cBxeMs0RcZHjxKzr72T7L9rdO
o8TsIeNxyrrnKPvu9a/T+DBCGO3p9aaX8Og/pWCHvD9oSM9+Z9VJho5T/doVClRTk2griNA0c3+F
v4bIvtzZRIP4/UzFy42hLhxDbOi4GlMlOkkhcOk6I3OeDJ61ssMuNBOYAVwcmRsqHUDMl7nuafRI
9EKCctJkNnPTuIkYH+ZXZAE5ny88Nnl5aAvRNb56Q26TSZEDECjgbFOf0l3ylX5oR+B9MRabMdo2
72DuAT4lzU3DtX05H5gL1wU5Pkt3wIwA59QifgK16RnBKManNnDq7FnNq2056znov1q533spck8r
B98VZwR/y0OUwhP12GVvQ5DJUjIZZnyqrLugepHax9C/a+oHQPkr58DlC4S6z/wHsCIitgQS5/sS
NvESkmcvOwV5twU2bYfxaFeMtJc1u/CrE0kE3NBz4/GL5GWfyqH758Eyt5AfUIICtU0XyfkXtGFs
FL1XakdBsJxwBGxRQ2dG1UNOduYKYuVyYqHtnetd9FHN74LFUvr6GFeyGXJvZVqzDVMBsMmgyQ9e
LtHJpdbqSW1XBUKuG4V1kwgAJMWFNHUSTGloxsIxLCTkQNSgN53M8qXNlID8F8e6dhramb7cvsQu
T3hAcORagVawnS92mJTrnVTIg0AGyKwmJytCTXd4vpsVJ3xee3Y9ehbV01CsxQ14r3RNhfeKa0Fm
Ss8TSURQwAgKnS8s+alUlfqJL/D8ILeHBAYYgL/BQ0ZpwOkyNmqXpJkrQOdrZ2kMb6xe7Qll5Z3W
wIZ2ez4uA0oTACbSCeAVKUMuH2l9EGaZYYrJKRAHaZMJ8uBgE0hA0a7FD1dMkTSlPRbQATnvZc9X
1pPhrgIrPtWDorjxjC0dKlrdymFcIwi85OphTLBaAbRGD4BDdXa+DwF5LgAyDdsoPRXoRzb0lJll
DYNs5XT3OrEK54Y8vLKPHzhEutHNKmPfJOmuqLeGlttVNWzHtPxV0zUsr+y1y5ferIlDbAHrHaHv
xYxLSpcEQZOmJ9GzEMPmqpd23Zi6XkEfzA+pah1D2yooFza7xrhPUuGfVxzWO3NuR0UBivNlsdk5
XdVGzo305Il3aqay5xI3XSsNXWxuGkwgS4XDxpxVzt9D/w/z76stewDxK+Ia9S5QZaetnyxoaVrt
RAV6e9uHLx8SC2uLIWmq0Lb+6OenyewOZtnboncoBvc1gu8UAhvtKCtrkeJlED7bhBBqfiCxiMbC
JuFY3VlDlZ9q2GrsQOryTSRnT/SZ/qzUsd5yWYX3URfCMN+mo6uMdXQHAQSMzKKVu4UXCT+DTFir
W1+bd7LosHDBfwdtyeLe8jtlbMZuzE9UzvCi0KBJvOkMeh6iH0GflJtJXafElNlMZ5EAU8FzBBJV
EmYE6QujlRnpdV/r+SnrEWjSalU++Cq94mWf+qSyan9v+j63lyAIrh6n3j0q9t9zySgPfdmYf1ec
YQ5JL76GNMoM2oLSdfl4Fc2+p+FRzk/as7FX7qOCtJLd2cNfBS53OzzkjU3v5RqQ9rK+PE8Cg9dJ
51GafM+GffD4QoQo3ijV/DRM+b6UdNt/qsbCrbvatpBijPW71kLMzEWw7vaAry75/D6CL0ZEcWtx
n1jhCLHJ5BcnsW1e63aMNl4JC4asTeouykQDYtQp+3Xb5sVRzmBhX2SHkwg1L/pnNQHMnDBN+Skk
M0wTVoTEaNEKTkUH2Oa2qYvIezZFgRkYHrEfj5Dzk1yfxppYSypOhvdDkV916/X2778ICBa/f7GP
JSHQ9CxSi5NsuN6XqEHHwq5KJ0t2OMptU/M+WHgm3XFzAxCvTMpti5VKUEuPvMQoTvHf4lA8xrFt
umXrtC+B+n+0NK/fB2fsJfTBEkspTpp1MsxD3rlN7Az15/FZ0FypWTl/r3jg2bjmHfnBWihPep/M
41KTZy3cSNpT8NNPX1YTEFeWam78I0LiRp//PrdTIiQXa+bIUiFrD+du/7ckYhL9Z6hInXgo3dvL
dcXzzszNw/4wLNMSRoJAzE0oykYv7RqU4Zo7gNoDRgNtAUGYcv77LcE0s5DU/ymRK1uoX/TxLvb+
euVBKh0dfegOLpbbI7qMPUhr8JznhUl6D8r0hUmYGrvGj3F2Wpen4lOIJA+8Sg8km/94L1CJ5OYh
goFgreHn2kyingTjJqk++DAXZmWSljQc4iBmdh8I/kZFzO72yNYszP/+Ya3qQIQwzsQCHYXCJo19
OMdGkvi3rVxzwP8hAgK1QfS2OCuIloC1KFiBa1J6SdSDUtMjuI/GXduu7KnZl5dnBaVwHcJ24idS
UucD0qNktOIwL0++vg2gnE+e5DSzB2MF5Hxt3j6aWaxMB+tdXtezGRyhye4CeX97yq4ZoPWKzhI4
lNCxnqf0w8IMjT4WPHjKk2nWjpR+ytZj/XkqFlPFDgKNYfKKBG20OBYSxFY18lTVyWjvkEKh10o/
9G5MiK8YWzF8lOR9NzrDZthb9WsYqBvZjmK7d6rW1aQtZZV0renqyuKdfdHy5MiiMq0HgwKH0OzF
WJx90c6Cv534z/UA8mTQLjB8uCXo61z4vS/kBHqSUZ+GbWS+Jv1DsVYzvHK4n1lYXCVR2jbImGBB
6UdH7P7q5n1IPCtFPtI1T7edZf5di5WkOZVnOSVKuBGXklODqCdlkRbNqUVgxSHXGPBuiJJ9EoGh
+HdTOCVdnJANUQ5dhBW93hE5BnVzmnrJUeVPUkTiYdzdNnLFD6CimCNxqv5s4oXzY3c0J6NpTink
2HEKG04c/zTy8a7si5Uo8DKtMGdMrVnGiGwVedTF2RT1NUcsKhQnhLrupXo3Gji/+qwYzwath6ka
bWNowD1B3deCvguSNS7ny7HCL0B2niZAQJ1wXJ5vdBVqasREyvrEh4DHfUvkF09wBwTrb8/ppY/w
bgaZ+07Jissv/BEVjjBC8bk+SQJSFFkOIbe8E/K1DODlUQ8yjwGR/ZuV1pdkvw1KDXLWTc0pUyO7
l17y6KBPzqigDzFmtHQebo/qijkyYLSNgqfnz7IOOzSK0vSx0hBQ61+EdgtIr6sdsX2pnKkU10qx
l3saXr7/WLuoxA7AfYNIak7lX/8JUn8j2L52SbIWbcxLfr6dz80sXFKCgBrNkLE56dnvMaIr1riv
yu8SYpeeG4aEGp5qN9Gf2zN5xQ8VZDbIZfEXe2Ie+4cLp8/rwRJStTmpO5iEPrcPa+Chy7CNUX0w
sNjUMHZabRxhANIwR3ckW3eVXe6G29vjuOLnZ2bmz/gwDi9OqrRCFfkUIpKrdvdzLsorVjbTFUeY
Mdi8lCFkoQt8MRYpSYtizL3mlBTQZ0A205MA9TLQ/U+eUayc7ldWZhZZQXMSDArpn4WxpiPPa4Z9
exqj7M8E31IEKK6aJFfr197EVwJdyNDeYbUgiObsxPnsNaOo96ovt6fg4B+LQ/dbvENjetfcxQ/N
X+9btzKPVzJQ5/YWp5KYesIQiVJ7arbNgcjjRT0UG/rVDvDb/rNfnI1snuUPfiH1YlQ0iogl9dXy
y1+TFf8Y/H/Ho5A9AudFjpwEF7nahZlW05OcMKY99dEnLzppiv9caRtBuNOrv3oPdY9PydGS9tGU
Qiqff878/e1xvnf2LE4PUrczBTT3J3psiy+YRA8O7DZvT5aZQARs96JiB/69nG897XGa3CnJnMqw
xwAS7MeGHFxhPazhUmeXvPUNi8NElnNvnIau5RYgVds8tEryYDb1vq5KumOm75O4pi9zZdvDxKCT
TAOVw0WwODPzVq570NrtSR73wfiWFYFd5NuVqb1yMJ8ZWTwuugz+fDMe2lPS33cGCEvJGTTIYMTP
yrBL/EOlfw2fb9ucV+tiJgHd4lMAwi6C9FyOUj2Fhxa3DR0FdU7E/bKvnrZWXrlqB3JheCTJRgL1
Pd8ek24FaaIr7SmMrJ89EopmIPxKo6+jusYgdfWMQTTjf00tzph2MpIe1HR7KraEBY3bmHZRbfN8
2/Z2kLi0B1WNO3xfkz65EumxNXVlbtkBqIqiy2KIXSRNYsEQrSh/CONPTZttSgg7KOW44Gk2/UQ5
nG+QOg+yteFVzOrT7cWcR3axmB++YOE/Qj1Ueoh46inpqsdIbl61YG0dr+6DDyYW69hGptVnQKpO
aC1saimwre5B1VfG8R6A3xrIYgnTthxhhMSKsg9/1DDc//kVSHa4kSGaL+0UINJ9t09IH5NF/UZJ
vt4Xb/mvbHB0+ifQuKQGPDjR2yoOZW2CF9eJ4gVh7re41ihnbidtjH5tfq97L7SZtLgB6EW34dyL
JPgBDUThEG6XbTWmxXwI3OrwWx62bWdHP+OD/Pm201zdmR8Mzv/+4eIKFdiOQn0e011yGLai0ysr
b7rLqt98aX0wsTiu2z4U0US25ivj/5H2Zctt69q2X8Qq9s0r2EqyLMqWHdsvrMSJ2fc9v/4M+ty7
I0FaQq2zk7ekSpMAJiZmO4Z8yup9HALyxQThYNVtkbrfKJm6LWJTxlwUZqUeU115CNWQKFO74SvU
9eWByNxMFBA/6iMj03LDbbz4Nsr7yWr4c6OO5dd21dVITxzVo5C+YH6STKo/NyIjorhpJtDti5SL
hoYVgad0O2rTvpW4cDj03RM/ozHGiPdBvHZoiftleiqQuF+QA8z51m0U3puiigX6cevE4T+grRVz
HXBaqJBQBfbbrIrLeODGhkih24ojkZpPmcXMcstWrFStoIfBwJFC9xEWLSCAUkMY4aUgzYLU+q+l
nhlu1y1PAGSOQH4BUtKK43epvRJ4VBpRS6ZDvdR2wj9ooj11/jQFVjXZLCLlW7qCsWCMnSJIQ0mN
sq+50XOBqObTgUsHc4wSV8F8Lix63RW7IdFIDZR4frbu389bscC5UMriNhzK8FmeTojW/kSpo2no
qXpTyw0Ct/uCvusclNWFUwmSsrWbEK2flGaOAxD1SxWStDI0m7g1C73xer47YXzeCtJfcvFedKSO
20OM0Vewcruq8F7FP0tu+FBj3V0A4qY2hT0JmVlJgVODYLd/7moQ6/A5y7O/ocToEUcyAJ04mnYV
SQhKFIHTB2eR815fWuobKCLDyTbmzMyzX52df8aYgf8DzLop+IxqMjASO+tm0Jt1Lp+y08DAnlo0
nUEXEnFTa9yzPpUsV3tV3isZwBvhYT5RoKIzqFoTC5lS19NhwSMAhtIPXXpUlW6fl4do0UmLea+y
/0K7vK0tCmuDV2WmhQMUfi1Yo10b2bjLm5X1Si9LwTgfst4YTVGfPR4Mqpgkl4ITFw+/eAngVWHH
uXEt1nbEgw+71xJrWoSRsQ837rgCUCe0iyPrjjw/9UINHKKeLk/wJTL/Xpd/eKP3wUxsjhwm3z54
gzUgccNuodsRVXrURpD2oaNvACAr8tgNM0qPlSmEkydX9qCN5hRlZIkAjBpu0do3Vz9z+UdTG4fm
Zx8G2yxhIZddj0JgyWj3Br3BWpW84hzRi1bPwnaZD11xSIAF10dElHba4OqaPXfOoBluBQwqIJBv
1plePnZ4YNMKfwolZGj7rVcLw6PoG0ENHcxVPGX6Bl3Uwp6f50Nb7voKvlVlGQNZ0Hj5KA62tl/0
Ny1kIe7cUkHUbVA9gD+PlgHqjgXcMgMUMl8OFWhZJzAHRz24csD0tKBUgOZKHQlGkaThQiqQwQea
wUrI3TgBDGCsOG0gacUJ0Hl8NS6nRlOk5VAnP4Br+tD+xBbt6sSozXoEUlRQmRxvVjPBuEzDeWEP
mKjw91AUv6P0133zfG1wgDqI/DFQT3EOGJm9vI+6NIPhXOSXQz+hnVatlw2QRVgVwWureimE8tSE
tFAi0D8sh6zblkBuqlDhsplg2LekoFcdwBHAmsGjTT1p0TAqUtM1/EFJQrPURAKAm69sOP37DcOo
M84NPcJ4r1ezcubY6gn4QxWu5g/qPO9GUYuJlOvH+zJuJJgw9o5XE/Em5rYM+l5wDVooMRPJH6J+
G0weSNZibt8lj1nQopIrWZIRmpHMGgu+pQvg00OFGo10az78cmlilYCoJ4BU0GDOBJiUqa2hUZzh
t986JoDEAuwC02IrXuOllCjVlAyWiT+U+P0mDVy07z2D0PtnFcX2/X28uaAzUdSCFqPI+C5T+IMg
L/Yw70FnwFgMS8L6/+faAP5jqa5lSOBntBbWJTGkjOHbXz8cyKF8N8qjcgWdoxzrKIlFrVFyfu2J
SUHmx9f7UlgYC7nR0bRK+d8xZkxD0l5BXA55X2m4PcUAqDoDMVFPpK1oFdtuX3xUDHHX+4aUlIyU
BjCp0PFD9/loUTsIWJR4CMHL0DVuBlbi+2d/vWv4afgZyGii2wJtqJcnY7Qc1yZtJh34Bb16WWOP
mPDL0Z91X8y1NsOTQsC1FrzxgtEFiKlBirbsFvkwV0DY4TcdppsWZRunrH7aG4JgCzBvtOJHICyh
bKjG5eIwpoJ8KLraSdTYrwL9S2oxS9LlP+6v6cbhIIgDIRwgYjGoQldLEb8VOWhTtANeShLxHxUM
6X0JN7QNDWzoiUb5ELVfkAlcnk43y0qxdKV+0NCnlz909XxsAwFWezRIm/QFhkC4n0o8ouNi2hvg
D2J8wPVuojsFFgjjLqstoitwMcYgp0WOjUPU7vueB7vHXm2QwosZ/b8MOXTtbZqHsI2GyDhwUWIG
cUIG9PqKxmbIft3f0Wtvdl0QuD+xmyin097lNPNiMw+pcaiM/SxukSggAQB3++KnEAobDKQ/3Zd3
Pe+7qscagGNIAzNiGnWCpaoUKQB2uIMSdcC7Fb1W2PLl6Dc6jyHtwQQQDvDCMDO+N5bjkkWk5X5X
owRHBugxaKGN/71bd/lB61GcmWJD70Qt43XuIB7rjHBvSkc2QWeGp2I77Js959zfgBsbjm4uIPCg
Cg9KDHrDJeCLr8XxyNdKzlq4n2kveQ1X23EAYpURLXjMVu4rXYIgTDTCJYDrCP7VNY9wtkBdGcNA
DOuV7OPZmEGgwoVIOQ8a9zWCOf3+6m7LWm0aQiMolHgpq2v6Jo/0UX3sdWXexm37ordgC2zqRnMS
RcoYm7kar4uocIV0wZAAeuXhFyMauBTXVODE7RoFaPiDVfWgFFDdoRmeZTV4VYeUJe0q4bLOCq8z
IShNop2Vp0xpWFVy1wKl5rHX3lTtx1CHO6UhnVYDGh2pK1k35Z61odcrhEz4VrihqK/hHC9XmDVB
iXQMIC+aYQEObt358C3dZgiQeM5mxVQMDJndP8PrK7quE5diHTBDbYm242NaCFWfdvpj3QACGjK9
UlNbtwx5wUNvx07qg+QhSrnOTcvivUTKwQQMXUWUaFGfS6MGLWTroxspOATqkln1wIQHu3qkZZT6
8Jat5w5cQ7plRhs5Iwb6jv6YcB2mgQFJFvY5YAryZ8ZWSFcKBkFAIYdnC3MFOInL7c85YQAJaggk
/j3W+7p0LvCqBzDqdi8YiSHxs/Q1b5BTlDtWxuPqMcUSV9w1BLiYFAYiw6XktjHkaOgrgPAn2egI
DQYXMfWnM3zE6wEFiEEoDfcQcQO2k3J3FCOsgiaTjUeNb9SPOezx1giRbLxp4tL+qrscRnoeQ+Nt
AUJFTfogTkPCwdZUzjSPQCbp40jLvGgpBzdv9JHF43FrG0CgAzpvcIUgHbj+/7nxCls+71dqp2YJ
lwdwX5UkEufRZZzzDTEqXkDMJaBpGIUOahvUEjgUrRhgyFzrqt0C598gQpOirwZcskRd1NJNtVm3
5XRUHgUJrdKFWoVmN+a9zemJZle9mIFsOWVhP17ZHDR2rkDYa3ZxxWujLFxbT1XKJ2l+yEUxO8px
JLhhkHXHIBRaM4ox64jJIGB46vWMuSwgY9zfmKuL9i0ebKcrzyTaj+ntj4BR3VcRxpC03LCKgY/t
dAliJDXrf90OqcLa6PAcFRR/RVDDXJ70XMcZoMD0yAc5zPg7y+HgD7HQeHOb8Rififqf95d2HSxD
4Lq569jAGrZSEXmqFkqfxWHsq+2nPJ1GcCwDYNOJXyoRhG1R7QScycksHLKrFxKUxzBZUDJMY8DC
UpoWRiByq1M99gtJbjyxFkOnWTrZTtW2IvFcsFgorvwNSh71Io9glKsQtmOV2q4en8BLmmIIREGO
1sxBqnZ/T79D/YsHGdLg1aDpGbMdQDegrVbXRVmLTLQ/miCH8ww7swYLAL6WbmUWcEIBYs6Zzoii
6Lv4mfu9YCqFObLaolcp1Fes0Jg83FlM5YIE/lKVOAHkkz0GpP1cQVKuAD1vMgAmRVZ+AUv1VxqF
OsMPuXGocOm0dbJnHSSkr4nYyzJX91nmS/GDsICye/Ff5pYFOHRLYy/EUMZAqFsZTEN5BuKE0MVU
mFaEOyGM3TK1yzAwM1S/e0n3KkFnhN1XVgju3Pn6KC8EzGDZpKVc6vMgl1emXZId6glIej5qUASg
/GpS2fc16dYRnkukFGnk0k7G5cz8Zn7kjMYCmWi45yqnAdf8fUk3zg4ZbTDJI6WvIXilNlXjwAIp
xmLuyw0S6kPs5vGrlI+Pi9ha9yXdOD88MoAWXYGE4GPRIBV6kxjdIqalP5casMsUE/sYTyYovpI8
AcORWWCaSEkwFMcQvCr85YVAFzP6tFCzwLAbzM/lhRibMhZHbQFkT9t91JM5L6RF2t5wxMju8o2Q
1aThXSHOPJWJpne9v5eyqZM0sg5oYLwA2dNzBJjArPDyPjTnH4w1XrUrYeIHAeyqqAoqhjTOdZGU
nZ6kdelzgt8qAKltQ3cKHhJjh4wxcqJASvAV7vO+1O9A/Hpn/0pdb86ZfzLP8aQVZVn6Awxc+tI8
K7/SY3IYdrIFlFqzdNFV/VA6/A6ju4f5oXpM7MxdfP5JfJrdzlE2rKt6be8vtuFbB88+KF9TB13f
lr7QcRYHXB5lks282Qg8iFaWxgTL6Pv9Pbg2DpcSqRetiaYk5Bds/NAeQx5mftkXrVPHVjw+gp8Q
oxbufYFXTgm8NPSi4BKtCXvAgFzueZdXxQCPpfSBDWQOAmeFuujlBYOp55YUPB74izcNmcA1NDjb
SKOtdaMul8qXAgIvi/tg9u9cZ7NWdxP6CpJIpLPQwngpIginAuF6VPtcAPQkFCEGawShKpGkVrK7
Gv/WTilvlROoVzNpyn9g3ic321CrNvd39MYdRUUTIBaY9f4Oqi4/pJiDGF6LUvmxPCJeW9lOt5gl
AUQ8C7Dixq4iO4D6MYCzUSfXqbMrKxRqkZar/LKfScFPfoM+tASDI/cXtO4cdS0RO6FTGO8xUh70
jIgh56myDHnt60U2OHXEA6i6X1gc4jc0HwOnKMoCtw45QVpKGy112sRz7aNs7SjBuAVUxTHZcfH8
LnD6zzlb3Dpk3Lbr2iecjHOh60ed6WU0hnNf6m3tz1y5SZPXukFWrNnm3ECKZiKa0qMRfDNVZsFx
L2ET+/d39tYBYsgWKouaAnrcqWsxiNoU5YNQ+0GnOP3UmcPQ2x1XMt7Km2LWHAtS4yha0S9WsCCn
ZVRy7UccCro1+uy4TnfmSv19fzk3zCU6l//KoV4nPYqVEf0Ota9oG7FuMAx/EgpAtj+U2QFz+Yz2
rvXXaLXUV6i5dTgV827U2YV9n6eR0jT+1BbdUS4T9bUvU8NE1RB0VKVY2YmQsEDubpkZNE0g4Fgn
Ba/ho7QMqdZazhtfSSKP73C5a6IIn8itptIT0LkQX/VL4XIZC7vyxuYC7xtlVTQoofKpUJsroEVB
r4CK5C9KCR5F/TTUemlNRXpUMNAad7pmGhwqofeP9Prur8UBEUIRhyCHsqrW2QVJ0YSQZ1zb+rPW
oGNCyKLXVlWT430pN5y5lSYVDp2C7ARSuZQlK+qc5+JcxuLyOfXaaFa3Sm3ElsQpIaB4+PaprMfp
NeF6zG+rPeekiH89xkesb+ulQuEjkB8CcR04AFAZu1yrmupdmglG60tNLRJwnyPn1hg/BcAJb5YZ
nY3asOKHBEpulllf2lnYGMjGJv96gHNNISE7iWgatRm0bF1+R9kCqh5Jk9bvkYmw0TzSeUuS14yH
/9bJnkuhPI1Bb1C0ipFcBATtaCNmAeja3Hb2/U29vqTrWvDwrpxnAGqgpASY5m7jHHsq9PVO6oIE
UE7qZyJGbhiGihmpPaPF59rWQSAAMSASHdu4L5ebJ9ZxLnEGBCr8DG7zSPgUhaDEyHqjMazq9TuP
gFhFDCCicWntRriUhAynhhHGpvPb5vcwvUog2sxfmoBhU29s4IWUNRo5u4AFMr+TVJedj9QdGEqA
UEgiUBUD5RBAvIWcYiyk0FiANbRuwB1BURilJbzHQJSnM3hzg4k/o1caH30zo1lVdYMEeSQzAuEr
W0qLodYmdlWxTLWOhna9BRYUwJDAiz3+CUAiKrZHLfozz+0Gky7lv9QRWi717C5jNWVIFTe+ob6O
idvNL1Pyel/vV1txbku+Rax7CE8UpQbaoIUyKsNZG7a+ln6ILcjn0U4KLnYb4yzA8sZ0jawQ8DYz
rPU3ozQtFpYDzSorxgFS3pfaUi95U1XBDHMtO8khfhHf1VO8H7bBQ/GlmeG2RMYIrPRmu8nCbTIx
TAqtqyIGM2C2UCFHsmgt61xKn8E2GAQByipxRpTPYow2ia5ataBYqmwwXKerznNaGGWtqywSozwU
Ot/IkERyeCAFgMqvmDF2NoBsiyxcOm+nCdbJk4tJU21OLNrI7PoGGKGKpgSxGwjGsE6vV2LmBXWr
6WaWxpiOU2MQdlvV0PKLJ6oZ+nykSm0zs16G5eu+ntBGBKtAAyhOCl2NqIrQqFmIK0O1y5bBl+Yh
cTmUf9x0jnYYQkq8YG4K1ht344jWi42nFsk8dDBQVy6uylHKs2z0MRko7uO8417aOdc2ajxGdsAN
LcxLtSCxyLeDKaUVZ1WVBBxfNRlMhHeiWS6il1QVco0cJ24SCIPrlTMnbugEBPZlBWRUMWUPLwum
/FKVQm6WJ0AXj37SBwZRxXKnGE37ni1C85BJiUQmpAntWi3jDYZ2hG0DghJGY+T1FV67v9byOtq/
8MpS9r0YC6kqS3H041Eet0j7PHKAUniTm6qzY24qD30cvGih9ChUAwuP/bsUeXmR1xISLD+y6Yhq
6eb3TJwz1NGlyU9CsT40WTA5iijNKB9FiwkfhXdSCSOBvcAND8YCsl01HyIPbd6VnYfV+DPJkuIx
7STRTEYO8JyZMiKBAcY3aWo1ko6gb8yiGna2arQtSPJqoDYN6SPgD0ezM+SAICACyGwZKKbKz09q
vBjOwA+hxw3qc1PWg4mBT5uDf0jGvAMLVVGUjLDzxvOAaizgewHdvPr4dANeEaZNFvHx5EfGr74U
rXAGGWv0ChotT09FfwrQjSU6cASf8YX3r+WNa3IhmnohUCQGH80MVt1CVB6VNHhuVOFtMtLHdtim
HFLu98Vd+b+ruqP0vs69oyIObPpLdW8rYN9NfDb5QpKAlUy2EoD6okPWzESJlFxnSl254Sq0rYSy
w5B9/dhfyqb0XC6GXmu0YvIHbQa7WI3BnEW0hsztuZ95oJmiEVhzAfwOuU3dMXY0XjfRMi1lrNbH
W5v+Hd0AjRaTJbTrZiT8MtRTg/NOeoIpVB5+wICZvrn9QscFw/m4tWo8UfhYZABQlKZ2XJuNVmqH
BRcs4VB7DBTBUxqj+fd6BJjHNUcjIX7CrMzluepSlBt6ok++mivHIQLzrowBwd+yAeiXF8Y53tg+
FOFkNHXCXsF2rv9/5imWWtihiKTOftzVXhwppNFf63kjYzBnHjkiGMtWaY1DAQ7BCHVnrHU2IlJq
Xqt9Fmj8LprMvf9JtC8O241AFUkHFLGQmKP3eJ6aQKnqePHDQEZ02k8tUHPRfhzPeIjvi7o+zrVf
EvMUWDwebzo6NkDnKRVLvvjgcR1JDOffDkqpsO5LueF04CmCOQL2DRrlkQSg9nhQCi6MG8FPw6Gz
syzuNhUvl6TS5dEdZ048zijcAxQ6DJ2wljQLM/GaBXRd3VKGZXCFLNAeUqMsnDDK631XZoKr8aNm
Rk0P9shI6KWjASBfhsN7wy9EogSmRUGqF1MWNLbGUGWzPuiJ5M9hbiFjIduR1Rtfck/UylEAvzab
CQHHIGAwYgsAi8Xbst67hlSsZOINU3f5KetJnqkp6uIap+T4FHWrmoUTWX7zE+yyTs1ydVZX5vIJ
BdcH/Gg0Zayc9zQ8imSM6ShIheTj+SO5XW8FK3E+pW2wK8z0+b5i3NB0yELEB1MKqFt6nGHpSz5U
Bcjq4N8X1SsIVRuD1b507St+k5esLbVQPzQHXe4cIFKHqE1yyW/SF+D3Ocnc2tkIQsmItXWrWbra
OrhzCrjD16IAJSmWpFrv1FLys3eV8zS7dufELRoHOTVuu5Tm6CkCyVlg0zfuMPKgIgaS0BO2pkMv
15eMMZQ0XhS/UdTtXM+yqSipYf/rk4IdXtk/1y4dnUY8l8Qxlqe00f1OGBpLS7uMzE3zsHQxi1T+
hk5A774ZbQB5BE/2cjmyOGTiFIq6nyhcbCla3FlyL+eWUQLW5v6ibuwcJk55NOwD6g3jZNRjxktt
l0eJpvtcLaugMhF1sHVOLGa0mwtabTkgKNFBR0vRuFbqqonT/byVms0ALzTGK9InPzpQmhzvr+hK
FvzelZsF/QZIo6C8cbl5GhdWWRVnht+KfHlMg7CUHE4EJzppMJzHhBK9FodmGdR0JcAXr0pB+UAx
xt/0StM4+PoZMUCXYwQfmjSC2tcd+5xI6eLPtSNjTlttahI2gYt/sgcOZcmQ0a181fahw0CjHxtp
JSAGIsFE640uwO8dBPGUEmu/HzY1+bU5bUhtkYq8Pyqm6XHWkfGwXVllWuhqEc6sMgeWK0MsITTa
dJYVb5uvrbf7ff9MaftFy1i1+EzGBGDuBBgL4sn6+MGyWLSxp397PeCz3xY6LU6DDL/t7KfNIdwk
ZGt6gc0Qc8WXQIuhwtKBE4MWj6x4et0rpCSHiWzcT/+BmI/es2cx9uuKqoKWRl2CLliaRlsPZWe9
Cc7Hfnw6bJ4+XZtzHztzcj2TpQYifQ9oifrlNs56qqb1uo3WXnCazWJ9ROZmsyGVZxP0atqS+ZKQ
5y9jw1jqVaxHC6Zs/yLzc8o3q+DBGn4sUPLRY65uvcXnz9qlEEwdXq4uUP//6nbZQ04s50Qmb5NY
T/7nj9kxTe79t3Vf42+fIEAI1jHmFR2Fust6O/VLo3Li6a2z9k5LDk+R9eR+EhuccmZAtkfrldUT
f1tHz2RSV7mfxyIIkkA8FRt+cR/nh3edPNrgfTpszZE8P/Pk2Xu9v86rLufvnT2TSV3tOBsnCaR+
OL5os68GcyHyb2Fb/oayeKF1PLL6G2/bqzOB1H1H4wU2fTHE02iGMhEtywvM3wnjWb15G86EULcd
IcWIZwNCZJP3g6f/dtOo662VQEFG3794qixo4/qenKZfc/LgZa73YjYvx8xkiVzv79UNOFsRdb9R
NODiDiOBpxklLNIvb5+mWey1zdHbmk3lHJnauK7hnkDqXqcG+HbEOJROlvrb+3oVNgzFYxzR1Qzb
MjcyH0PxdnuOtGaJv+67aG0j4lksdbjCrqG0nC5mNWnII4rDbV6xTPc52R8Oh9PmSd388X1i2j9/
Qux2JNbvlNxfJutO075kxEUAFhEgefc2WfvIdDYbnzzo5D00TfM3Q0uuolx6nZQFEdq+nRQehxY9
7KyPj9YMyUR89YRKCTG94+/wF3Nrb5rmv4pJNyw3jVSWA8rfp93Owbs6PGdW60aWiAb6L4zB7rz0
eSahlbjMR4GlQZQlafRSyhBNiafOed3vI3+feo4Tks2TbLkPmvtgCqZoNab3m+HhMm4G3ZQRpqla
pjmu4q9TTELSMbLXzEOkrIscg4uoWJ+evTVZjrOQJ9cntm1vn7+YnspVHw2tMZRd0XQgJxQjNGb3
0R4Ns/St0PIYPsI/XAJ4iUj1ANyGHlBaYvRzSEIqYUUfTmYtUMqNj7d0i6KyefSORybe2PpsXVuv
vxKpB0Bou0mYV4m7bPMxbOTChOM17GfiHXvGW/MPrsJfWdR5NXEfTgKotE45ebU+BOvkPMGyfLrE
zOyX5+PxN2M7v0tL9xZHnVkgCwXSqglMs/WrfzosJAcnLwH6wUQWsiHihjyQyf4Zv229Z6AdfqHb
9LiGHh6SbARvFCNHdftp+rt+6qUwxkoW0hbrt1JvHkm+yZ+t7O2+Hf0HPf2PEDqE7eoiyIcOa0YN
ofqhNA7xXrbea0/+u8V8q/JZOKKLvdYtJRaDDtaTCSZ2wgIsukIT+98r93cplGtZyU0ICrJIOr1a
BzWxR2u7tUbiDSNhKMpt3xyFmP9372hIgjwroqUqsGko8+Dv22gjxhJGy2K8O8zTWa/j2a4BW6NL
ogqCdtxz9Bz0dkC88PkY82THEPUPT/nfNVFWHw0AYhonq/Lv33gTmJYmllWSD97+yF+yXXg6VnCW
TTN7fDefE5ZtZtgVutIx9noe8G28Xr0358PZnL5tmUuIjbD1Be8d/loM1b/9zv1dMWVfBg1wM9oq
szdf1W0rW49buCucv/sN9s/7sv7h7fkrizIt5dzXSVpBN3e72dw7HHGcjTsQ10YAuUWgfF8cw3LQ
c+Qj4FrmxIA0K0J38bF79b5YK2KpJj1Djn6xXgz5dUUKGbf70W7NU7XLGrTgsGwHUxaVjFJKHpzf
wnqz944KLnYT9tfhTqwYivWeSpQFmbtArdTvU3oDrLK7//hFTsT/8f4+Wj8RgDNOibksyqs05iKP
1HRVegEuno7Y0IytzLQYfpV427H6j/LRPTC9EWUF//2QvO2rzccvjiDGh0NHNNslOkGx4QUIr+ZM
4DIwzP5N0etsMZqYQbZFl/sUCfYYRPcSAoTWXo7WjvH76xt49WSf/f5qV84MpCpNUt7OGRxzAxGI
QoDZxv+eN6yTWvMg98RQxlGGDQZOFpbxCmdY2z/aa3B9/85eYQ1/P19nS6Fcq0GPgzY1sBTAJDow
EnsnBvSnHlvpKdlHbmVN/n8pkTKAE3jYwyIv1sMR3c56M4iRkslEROOxnperSWB6dZQBjPtOA8V3
Lp0ap7HWk5oemsx6efaOX6ys6ncrzL3TohwnfQnzUZaxkz3kWCioqQ82ru+RtSiG8n2nZM6UD+Vd
eZFVrAn8Xu3p+Wsk4S/GETEUj07DK1WhjRg8XxVPNuuXgWSzWesO05qv9+TOln2bqvOlpPWoJyHk
zO7uTXU/8i03keLR82rWpt12nv7q+bcbdybK0JscTTQ4nf0+4Ullw6sAqiSeXGbej7V5lHHIAq7O
ex2SavvNOjjORJ6K3WdGbHi45u6VBWF4+/k4WxllJZYWcwVDhU2USE7ekN7cPD1ppt8R/+Hdy0zd
ZB7b+iDdOzbKZqT1MnVBBonxq8q5k2l73tE45T9S8n97G88WRxmLMgvDBCCMq7GAx6sRrG7jPslr
FcY2t7AYjFdLuOnEnAmkLEZdBvHMqRDIu+rHbn9wNmhhfGw/Te/rePw/7OQ63QdkCnD7rvhCqy6d
aSX62AMF/d9wZ/LUWxyNyMe1QVXcdrml/2Dc6mvDcSmM8mdG9GMOQlrjVu/ekL5CYmfjusYRNRP8
YbyQNzLRl8Iop8bghjpHfxqEIcVJlocmIpG1IfZj268lIZa4VeUuVfJSHOXUYIgYWCIjxLXNQ2fN
pritSWnWlrZ/iE3xpEyIYUzG+8ySSV30UC7mNIkb6WQID3lhl7JARv65NhhimFtJXfCoiPNsErA2
6w2R0QhOZLsF231hP3vewjHd3mv7dbmV1O0WEs4Qxh7L2r3teZUUP/kHXLT7ushSRepaF80Qh2PR
w0aOlvMWmbLP92ZnMnI5N57/y6VQl3luphJdUVjKaO54M8UZhSQ3Z3A6o2MTDgdLC1ctu6eFlAug
6Umnci3kWdJh35xSjix75MOYVoqheXQUNC/gWW7E7yPK/zQvLIW7toEX20Y3vVZwMRa1xumA+fsN
SoALDM/p822wZDuPnlgDHOth39k1Ov7BlIi4VOuu7V/jn5GDZk+WUWecC42GOYRpC/QfLGg+vu2S
E+ZBVc7JXiskFnYMzb7hUF9uHmUVOCXW8kWHrNe9xZE9CTYDerrM55GwUuY3im+XoijDoEVip+oB
No4zSNKR3o8gh5UNupGfvJRC2YMoL2WA00HK6/6tf/2YbQOwm9veatQ1cHy2TZW8Z4Q8cu+7/Y47
7HeWWR9QN0bl5799L+k2fYDFjhqotGGbYpX07p90gz4v22P3YbA0hrIcKZ/p/TLjYR5N1ATHZIO+
Sc0sVGKZFuO6MWwh3W7Vg0+u7UBffFLIDsMORH+YP9NnlmliXDK6B3RpARUxjqtaKmRv6a5BPj4O
J+K6YL2MyOt98866BDLlahRNEKU8j3N6m0IbHbAPFqDDAeRrr923e3bdY71Ud0wIPU7RiqBCi0rs
4d46RPX2AdVUzbQA5WH1rATejQLBxX2QV9U589n4Wmz5bN1JPCrBB1zukjiHDco64SbePKA3iPla
st4xmbIpWh90YT1ieRbM8WFP8v24MZmuL0tFKHMStrUedAuk9CamvmeCpFeXE8K9KC4sJQoNLLPM
8DRkyrK082xkgwQtWQ6v+rFGqapnpoJuBH6Xx0W5Gk1UdsE4tqtD/2YtyHhNVuDu08i+r/KszaMM
xlKIYTcaq5XMybIrGL/OMvX0TGxeRQ0/DFhF/lqqRN/GldnqGzkmpWO8G6w3jHEwNEJc0bazoTTf
ezZY/CsgVX73IgGspccqOLNUm57uSfRMwywwRFl7OLeC5fB74Gy84yVjJQW/AYvuGAkaQamfmxhT
8xClomfgTW3A/GKQA6pcLQFxGf+88iq4Na7vFzMcYhkNuvG7LtRWmsFedpJQ5tg7oo1+LvAWWfle
sw0X/YymSF7M3qysYs8wxoz3heYIEYu0T/P1Kcs6W17ME2dm6IJfWNEQ8yQp8yEEcEn7BnLm9aJF
FsKvzEHOEi4WY0U3Um0Xd5qmaBMA2J9LUyWhY+cViLikf1Ielw8k20KU3pgJtxslvktxlAkRhwnR
7BqAoSliX/3SyerM7ZhV7tXc3dNPyoTompznvAIxo/n6ph0cS7TH3kYxarFtD8BK9w3WjUzH5aqo
YKURgTmuriHzK5rI4XssFeHd0bQmwU4bzyQJ8TzNYkH5sOwxPWIVZnI+zOK6mdFAqsA0wRFsfYUO
yzu+bZBBwSNhpgs9hlRqJS2npBnTGc5xb2Y84Y5ya7KcqtWNuT6xvzIoN2cwhH6OunE1Xrvph40U
B/li1VGuZkZ0YFwDiuU/C6EyKbWeN9MSQMjb2gXampvcRNPRIzqOtoXr/R/jl7/iKPdGS0eJb2d4
Abv92z7fm61lPiONyNi61Rjc2znKo1HVQlKXGot6rXgShEwH9DpFeblplDEaOlFPhQa/n5LXvWQJ
j4+IwTxmh9btK/t3s9b/P/MF63IAoez0rQDgrXCW3d7BHzSZdr8Ns3isYzI+mKAzJKbumF8sPtZ/
8Ar+iqcM06zlgdz0EO8cHHRA273FzC6zDooySnFRq5GsrCt8wwONRuTD6YSmt9C10QSPttLtl2F9
MZTjtsEFfBQg/nF9r5A3uFQeu05bEBJFJHlIH7N3/o986DeFnZYkeAas3OZ/SPuuHteNpdtfRIA5
vHYzKGukoSa9EDN79jDnzF//Lc7DtUTxiMfnGjawbQMqdqjq6upVay0Ew5mMBy3SYDoEZwUah7TJ
MDsp1lynGVi7d8rBQG3bfXfDChKUQcbijW/w+V2qav3K13hXT9Ele0COVCy0HMzMNZqKZHlsnBtF
lyaeDpwYN3Zzs3ZWnoLIJUJiqOnr45HO3JRGCMkoKqFBNnvKAKaAkptNy5y3u9AGPyrx6yU6iV8u
molvw4SKPg5WBrvrby505RSqhA4D0A7xSOtD8hatUbX/cAt6jPDG6B6Oa257ZqiVrHavMmn1jGCk
vFnvyt3BuDTW88Jmmh0w+NQgOS4gJtwxoqYQU0dbJcDDHkoGQq5LpUgez+lcPiKx6PgcKcCgRD7l
P49icDG5lYvsrqJvgx5As1EhbYb+boJC7QYY+i7Q5cMSCdLMfgErIFicwaasKII0OcFdFV3IdcHD
rIju5GbVdCWtFzP0mVII+mbR/4MGPo29U0KpuiZy81RDBDjmH82rs2M2mx8hINKTvjCNS5Ymh0II
Uvch82CpMLcKCWzNCDk91Ffbmqi0MB9bm7sOoENkVIFEryMHud/b2J1GuYgEAZENWhVknydGw5PB
RWFEAErm3FARnRblcGD2nUwa64InLn1ha85V9oFYgVoz2KqxRtMF7N2uK0SHQcq84Q9f3aryib9C
gq6wVrymvplQfTi2S7e7mbMRVsFvihZadDfdXbkkthp6NhZtdI8F2qpuZcruwpIG58zS5F3d01oh
/L+WuUAeg7lGuxr26sjcNZlvtg1jRgHVh43CuNFsIem2htjW62kplv/ijCbxB1QTaI4DLylI7KY9
azETyEmXCzCk9z3V8092xBcULxE5ymsXoEqGxJ8N/iTsOY++Bj7eiYQNuDTJSlUI97R0hs5l2jcf
NDlcAk5LqojhNbs03MM+Mv1NST9A4UCUA6TnG9Bnph45LSETx199NA2T+XZaz5FccMTYEdoDz+EO
jvS8sJVmcuyrgcnTHJurRZAlQHjG7sEd7ul+tO224tqXXh676lx8vbEzybPVWgP/sgs722BdG71G
m9bUDiIpbWpEiU6FnGyCdOGCNM7Pf54/qE/dxoegEmO3RkukDZuDodWkAWul81l1wJFK9sIIHy8W
uDZujYFjQxLzTB73LL9pPwW9LUlgxlSSyWEjUEN+S/XFMu2S0Um89dqIgYg5phXyt4zR0UNC3YWY
PuOMIEHSBBkyf2BxEaddlKCsY6K0dTQbQl0ksZJd3OmDNVD3whyrdfMqWeUlwM1TAsnj3g2pnJhh
COUDWq+Hc/YBmY2KhJHtSpbz9/Gc348eoossdElkhAkZdHe3U85WnRunnufYQ67L5a5S4nUqgiG/
AUw4ikxFXpiK+/0EexDMgKwpqIbQN35rr0tYvkrz0LHfWMO2PRB3kLelw1oel+x2094amdwIZEA+
tQxCYvbL2/GvaW5VukWty+R0riHxKrX2pr7dow3huEZPq7vyjk/vm43hHT4Ph4OwiZ9wGz8FQOdt
Nr5JN5tn+rlUvPl9znv0ieO6XKWHrj+4sgMuF1sHwv7rS0P1vNFTwJn3ObGtwwagqWGz4ehgrAAV
gLbbUrZ2f/5hjiScRuqoBgL9zdsPGHxX4ovCcfAaOJigDJJWw6p9z3oSrdIj876EYZldkn/MTQse
MehmwqHQHFtUoeoov0n5wrVhJjzeDGjaSw+CiyptG1gozGQNwcKPnLDgWcipRr2D+56R7qWgS+yI
v+Do6TqCdQ/ikRKIcu5kcfw8U7skTcSxKzYFtYNIjz4xz8QC7miH7XQBYmZp88wgmpFDIBcFCB7Y
TuTzt2vnlpETlCCCsnGp4HQASgHPycFCffhsSWrUBjiVyPPn40Dxi1SdjPTG6MRz5cRzOLGC0UKH
15QEbUn+X0dfm/u37bemf3+nK71tVhC822w2CaUnOSYQyjz9+2PwdvAT51Yh3MJUOb5DRCHITDeR
7p/ck/O0Jv1bYsiv4hdjPx76TIy8GfnEV0dhxj7Ia9FOfPKRCUReF665lAXP+OONkYk/ugFfRimk
cG1dO37If89DRDoLj2inx2O5T1ZuZm+KtfLKROkKvhFt1fKO5ydhw3w/NrC0OafdJr2fKQ6rwcJw
ZD8qFIIEHR0Fa4uI+q7btG8RoZd2IZrNdFBgWLLAQ+0DnNuQxLv1iLCPU2aIesweWsXRw+Aadrm3
CTM2C27PlkItKtFndgslroT8nJbIQmZg3rf2Jx7JiB34/8DHDueIAUAcX3HMnNpIXvbrkD69jj3W
h8uzt/EMVM0X1nSmOHprfeKayNASPwgx+ubN/5Q38MxuBcAlgrrx9LpL1wcQNXhLMIS50Hcz5xNH
xF0f/3uc87EBVTeP0speywz64M6KYQBUsvnpv8YZd3V98RVr1luu1nvikkJfyihnwDbgGC6eAl+i
5zUZToYRP32KuwAlaKr9L3iI23me+KgoKI0yKFjl0jAT3Ubws0RAMN+Vpf08cyeGJZTgQIWPigpI
VG73s6z5QeJCasJu4D5f3HZtRWQHIgID7xG+3pMl9NEMz8etwUnqnfquUnEDDG71/QeeArGHzqp+
lnULEFNwu1oJRQFi8bVnNrRejXPityngCgD3wyzwJfvM5MR1dOB334q9PUUfY9PT0oPIXOJ1M7MT
T1VAT6hoHSzWdKub4Sq3mlX3mlLt/BfoIavCS9Pn5VLsQ8yytj5JR2WtGpEhHhYC/rz7XA194rR8
5UmcF+NDQiBe9iaI3R2CxhDL3+12wiYjm1QHsoj9L95h51KlmzmYeG4eyDEnQTkU4OwX4NnQV5Fa
0PdVCbs6LfZfzWT8N8Ymrio6QtOBvHQcZ/DUJHadUgnEOSx0kY5yuHBdnSma3+7jiYvyjMCkWTZa
G2iTIA6yz++bEjDH0/gqqj8+65YmcirEK3kS4zrOAK/Z43qhkgYvbOjoGft5wBiyEOZnMO43Y1O5
26CgFiokFQoEPXWfb8DyQoiFbiI0s6HtmCaGryvrhfHdPwjcWpyEodQLQz+ENCtQWS/7D9MK16sF
C7P5yD9eoE7iTjlUsRq1sJDpprRyCXcwjMMG1x1kPkvFzvlz8srYJNr4glQIUJlFVNXVTUl4qtu/
+cGTqluMFa1iE8IqerawS+aTkyuzk5DjaXHAcyHMxmS736OZBPmQuVZ1Qv6QXavjqrdZueb3aqkZ
ZynEqJMQE0GVLepTGH552yIlMU0OESa9MAax/uwM3Co3z4ye0IgGdGmvjut2d1u4GvMkxARVVIKo
Fqah6vckU46gYwGHyQ4wSePToM8o9Z3U/+EKeB1qpoSIcQ8t9nA0yo4tVVhbO6bnteWY1oEHqmph
6y4NcRJqAi+MNLFGqNlu5ZYWeCAeX6L/l/aIGyfUJm/4lQQ6YU/lRdt79575bxlvqMx7S7anpY36
C398sGjaJMB0GsfIbChgv3g76QgCXmO/r1+KHad/rXPaVeR8xvm4O/BoxT/IBOn8zlCsdwcqySPz
R/j1/zfD07JZ4LbcUI/+yhscwXKSkFo7dO16hnh+bGoGmnQ7yZM4VCVgTe9qTDI8lCHsp7nuCIHM
E7brpbPQo3n6WXKRheCqTaJRA7xXxCYS7iyZGR2l6sCugWdYUUbX9Hb7DN4dV9femR0I2x8P9hcp
+WidJwEpCFypiCoMNiyIrhCWQlDqbKI4WVu5Q4DvBW55fA8CShZ+tNW3z6tn+v7+itRkoO8HQIwe
f9AMUvZ29ieByhPzwstYnALyPje+GNxc1pzVGBTVk5p8Pza2lAFOX0ZUNoOkR4l5D39SUhsouJng
wlr7FhcT/s/72K6o7FDM0Ff0E/VgBMrHHzDO7qPZnyREshfWSR+IOFS//oTJwtrOIItup3ISlUoh
FVq3xdoGcFsCfjbj8Gk8HsDCZYGbvnh04Kfs2AGRT3K3Zk7CgUC4kKKthMGzIUPa2sIlrDoHxMi1
FUuSy4LrjDN0N4Ng15XB/ghBmKnYBevULiQhNDhrspO+xD9gjVqwMJuWXFngb1OtohcqYAJgIfRO
fLxrar1nQDJPXh7P5HwCeWVnEnaYxlE8YcBeZCneHw3r6fWVoyP4Ernq0oV9fmtcGZsEnLgCgfx4
3bIrKMVkR/WniS8cVI+7xCjtflsDUMsubMfRcR+t1CTSaGrfJCWHefR/3sroJWU2tbqwVPN35ath
TYJH4QWlw8UqXnLJ20iDNfJXnC+XkSRpYbmW9t0kqWG7ypXLHhO49RN9gBDgoOr6Ypa6tPcm8SHh
wyDyOGVMF9/Qa9SxJPrqDNBj+PpPu9JAZvSyiEectwnxWnD8jyL1k6jBBhqOItGT0LOlR0cEQhxE
P+0Wl5jV9+KD/+g895vi/xmbNm4VUsOkbRhIuFXoez1SURlUCQV3xaKl2SNW+8cSd+vGudpzvOv6
Em4XaETSSPq2yOM4f+O8sjEJFX0B0mKJd35LGB+NRwCesHiyATlRZC3svxnWCgT3K1uTcJEOFaf2
Dmxpq70uAJdl8uvOiN8P9VKruDDvuf9M3SRYABKS5CzPIAJikcanqY/jvjaytV5S0z6fz5ZGM2Nn
7d7r3QEsFpufHzAELvaZzID7bkc8CSCd5niuU2BjamYydpE7a7Ne89slEOEM1+itnUkQCX2xrgPH
hQNsGx2SdLigjSwdyRb1ILwdbehzQk8nfYloaz7zuVrRSUjh2iZyhB7je3nbvylmvR9Oh8u4feji
7Wgueo0wH0hfQWrlTpOyqZtccNpIsssNnkNTIvcojzAv/lp8Q6KFZPN7qz8+3sY9MnV0qE4q4HBE
bRT6ybfu57J5VhSxINminBJe8km3BOMZ49LUgqDJQAni/Q1M2pPtISWukyrsOCaScaQg9JP7u3SG
zaY710Yme6OpvYhRm1RCfzrRP8rP8MDSt238s3/zgZNCqUfvd/8F/e1cmLw2O9kaopjKTjaMZveV
7vlj43+JrmfHrkipWyCDMiq6wab8frxos1WSa7uT80dM64GB0N4YNBWM95csCZySO+MCXrulpGRu
U14bmx48qVpVRZxJ9lBTNT/Ezmb49CJL05cYKWY97R9Ld0lrVUqNw/PjdL4BCy28hrtNcwH74NKI
Zst014Ymh04DgVKvHg2FeAkCg7CJejrYfa0ndDFAIWaZy2j8wf/sBMDx3bpZIKqVWI8LFhIwEQLl
TX++l1koFidwcvgUWtZEJS6sMFPob6ql4LlbAYwr23pnNyC6vjSTv02fjwY2OYOGwK0lgYdF1Orf
9hJK1W/Mis3JoOnyH6qvXkau2n6Df6wTOm0vl40x0NckAiibgt5m6Xtmj/rrlZ1EGwgRdE0v4Hvw
6mTGRmp158ZYCe3itWBuRSEjDt4mvABpEAi4XdECfHB1F7cwxCRkr73xoJM1XbwPPC85+1zid21p
sqgiWOO1oIal4RnpMxNRhUBbCZEGMFCE07GQTbCZFkLMnNdfW50srMZD5avLO8kONNKHemyxFUpn
wxPee0Y2LB7V3++l95bxN6ebCcLBKoDJEnjdp0inpkb/aNFLkv32xoFuKQXgkXDEMyVNz1Z5oTvE
kFCJPdF6FTvgC+2thUEvfcBkURvRQZrIi5INPKbzGWcmbzcr1qNu/CmyFPjaFJ0EfW4J/oLl2QPs
euiTRQ6KjmEgMijZSannL3ihZd81utvVKD0j1SCK9UpZ4CK907CoJTWXRl6bnqw0CrKuHHkwnf3h
ja6wRX4tA+peO8DBtTr/rr5rGmWdbQi0eLRJ0VO2MOtzG1wZUcVYdA7iIZOxs1qCgQ+egkI0SL2O
+5f07J68iFwu7auHd83vx/ZmkQDX9iYDjmP0c9QK7EHDDPm5x1FZb4iDRsDsFXBm1L97cwdeZm0n
gbk0NTyrR+vXSvgfOts0QA6hq8fLkjZmYbcxxG3ZcCTvU+wIfUusSDzl1JrSphrfVvpV+3U6iQMB
cGfJz2Z8+8buJH2IC8Vz0N2m4DoOXmqQZrzlaGm1vwb42llci/afBMy/m+FjU+1XzPpHWewVW/qC
SU6RVzzo/Xh8gbuSXtGG/IWe1tPLm7h525abb9fsVwuLPlfGGTsDIE8qQYUZPTu3c91n4NWIAROz
2/DJt3kdDzr9NjbHMs6p3HqW9P54l/1ydUyC2Y3ByRD7KPHdqGGwy4Dt5mLq0WOn+yu2MZhLvP7c
PDuH541BvJff9yWABgAZqEBYHaKHYOFTxkNv8ikij3IEJHUhkwadwNuxl6midlpbMrbqmmEXE1Gx
1a+CsQr/SUKfEpdtWuE9HRQitT9xaob1KWh1X+uIz2Yk4z/zbC8FBQkQAiMwga7CYNf6JE6OjUqb
bs1ENeVVu2AO3mDkoP39Gy/hReeu1ddD+H0XuQJj9lnaV5lcMDb3XP4I1ZrXPFD+1tre4YzsxKxz
hza1/Xje5tLEG6OTNLEfZK5V45yxGVYvkDuZwTfDGdJ2QDpjUqIeKbdn7QsLLMtpCY05d62+MT45
iyIvVrxIw4iTGmDj5zBidfdJFs59pqc5hLaYM58slL1nGgDgIv9slCllRC6oudipGWNLPM1L01Ep
xxOt/ttsv0AZLPzNi3X9xyF/FIjRioiJecAtHQYLe1WcBOchYtD5xmPORylKnv49H8enyczoGANt
pNCjWC0s8jiPN84xCk0LaLlCxxC6r6ZwO7VWWYYtOsd2VWru00P2LBqBqSgkwnvhwaCNAUQPjY8L
Tvm7Yx/ZnWyuIlMDyeNht+TW1WuxdUdoybmkwgqFFN3es3hQi0xilaZlJ7ppuVaA9Dnw1s+RockA
byZWRIWnx7NxX4D+nQ1022AiQM40DZMSm3ay7PCOnb9Ac1AtQ9J84fHpK4/1Qntm2FEAbiH3ud/p
E5uT8KQ2lZN4ogCgtfJH2GoniW4uS5RX909Kt0buKpopuEPReefYKJLFKxx6CnnbZnrjGfJTaKHZ
Rn1SHEPqCQtaIBMnMB75fkAjwQ//eoePXwJoPeQHIVmLf7mNxlreQ+grkTFcwcGD//HrOBJKB6We
OOiw2Xjdwk67r75PDE7ml82lwosbybG7YlVVAFs33/Ve2Q9GcTjENkK26aM6yK8W7N7nWbd2p1ob
SZMlDmbcsbfhz/YtPKRQ1fMSEn445mvoj2A5oAzG24v2dHqOTs+nhb0869n/TLQy8TA1glqiUKqO
nUqELUnFkspgTvETshoE7MfG7vtHxsGiX1XkIP7AKVMgR+3WWsWKHmNvRcs5BU/JzjF6EhjANFFx
A5pw4EwhiuFaA/qB3uNmfJ9HL9fzz+PvuM9zJt8xySk5dNSlKcc4oBOwwhxynQa/o6Hu6775ExhV
Tn62svHY5n0j7cTmZEerHsNxvOoyth6lYJTtdmb0xzb9kNjrPWk/RIF8yuaK327619NqFRnK52ev
f16Q5S5ltuNWngZVBeKsgPtz431icnpobu6WkDNnwK9kvrgoAg52c/Te4oNIw41qtfuWI5vIKHGV
FFfapvoINgXd5BzRl7raZqPa9adMKhG90BWMU+NTymglVa8dSyVh2z67HAk6dNsz68eLwI1Dmwwd
KoXoHoZ6JSeh0eE2rGRqW0F+CF6OPKU+II4aHYQu8Cbl4YHo+7GxuxubBpkhnJYKBLdhdJpQxqwS
p5qMTSZVtAc/XbJlVPRCHTT7sZ37QuevIXRIQtpOwKpOBgWRxbrIlQAJCdHjc/3RhCivykfp55PX
I6O5rFDyVxbJBO6rSLdmp6DBJlRSlDxDBvVVPcRcigHZ5aZsImlfkliaCxwaDxlLDbLC0FmfUoKF
XaulQQpbzYjtODUrU1i1l/DDHuMFAZgH0l/Gs/iaHvFeBVjNF9ym3dZ0CV88d/TffIhwu4FSNVfq
NMGH5DIRD4G2kR2Dp516qpU/FY1rkrULugb31cNxnq/GPnHXMOvZbghh8mW77/Ts2zQ/Pvbb7XaV
gc2uPCbwYpke+792mZP6YsQ2N1YF8nccz8lykXbWg/CcJkqCgKem3zB3dcfguDTEA4zE2JFr1Bn4
q7ase8wq4mlmrVlqROXu4L9rHW0bq9TMha0+Bsk7/8URgnIpQBPoP76dfugpil5dtwiiCnH2CXqU
fOoGemvy4PT9TkdNkCWK89kBYwmgXwkWBOE3pFwNOAmYMExrhbFT7thgatl0SSjzvtUEPy9pozC9
ivqGJE+iIJc5btfXtXfh1QNABjQO1kJ4ypg3WQT5bWIyNDZk0AE47ksivKtbYaCY4D7bSPxWCoxB
cxayzVl/Qz+5IqCzHJQEvyHnatCQoC5SH5iOy8CcvGrd5SexvXTda4nqXgYtdcrnL3xfEaF8a3g9
GBSjGcjwErSfikIb9CgrbqoLA8miv0xLfc2nQ2q28l4R9AYYQ79ayhfv6nPjCmkSpLrRmwpd4kka
4yqZI0Z+414EU3GghRC9iQoSxiohQ03ElKqCkRRW7tIeV7T4KXIXUorfhHS6M0GoIMnQEQZBxBRz
qFRtXEa55F3iBG94TyoY+HXkccm6/axEvf0cwDytly9Dtufy9yoDUYYMZnnlK00poCtBHuiSGYOl
wFQrWgtjbVM0UuZzOOeXWKOcS1j5LGrEN5reYCUjVkxWoJzl7DSVamYXruXXbKDDwV/XDkEHOqfp
6caTTQcd6t8OChF2tXcoJIcCKK8ypPZ177OF9pfz/dhFZ8OVJmiiCkjTuKsnuZVX1o7EOrJ3YQLq
HXMSvPFU3Xg00k0wwlM4kG4Aj5iQp6OoR6tQN7LzJjQ/lc+Vspb0ytRWrbtY3pk5JCGyy4LFZLyz
gctkErhj3hMVtxfhY8Oey4g/0OypVlgiFe4qz/fN3o8pE5H0WU31hFlJznPRkeZcybQWl7zrPqTg
W3ioECINRhV/mgb3eOVKhj7wLxU6k7N1z+nRJ1Y4/ysFZh92JAvtwqU8pzPSZsyDWlIGDenxpOD6
Bh+ZzFqTaBIaXPPaMkvZ4R3WBNLA41/wJeQteI2+DbFxFuRh2sb+xVszb56ZOk9lsGJ/Sly9D05O
MjRVpyRk/gx/4/AjYPdagGYBdsX/axD0+B3iqK4OVXhcAif5ctp1clG1hX+J+iftGe4j7eILnhnq
/sTUPlh8zOKvjAr8oLOqlT8rzcK5O3MzA9EMXli48ZiDMtpkInwmHgrOY4JLDoBBQ8uBpgpN/5bO
a2ow/bbNwSiya0hRH5CuMsW5S83cNVqVpF/uMZT2DoO0zyyDY3CuCiotFCHuk/jbrxv32FWELjqv
HITx6yq063o08HEwIQQPey09OyxpKv2xX89ckBWcCHiBEKCkPHLI3BrMi6Huq8GLLwG/y6CH8ck6
Rh3oObtN945jIsT4NlusOIF4lzSgAxSdlxAM9wVOaJizArDxEosXMG6aBjpJEbCNECaX2kqgdvPk
vAPiheiqt6/1OrqwS+LwM456Y2+yBWI5qzongL2E/dFw3AE5+XhW7/OZcUAicndkUrI0bRvp4oRT
XC1JLmCvdCEI/NN+/Rfdafd3/Fsrk73COeiqlN0iuTTquj51W8GsttoGxWq3WKW6uGXqBd8Z98Lt
YQieT01VIIIARAs/LSoA71ExguClF6f4qTyzq16adPd45maujrc2Jqlg6o/auDlsZOu3iidssJVt
xmK3RY9Xqce25lZJxOUK4VoRJWWKcHe02OWrpkovyCXq3kC1KwHveGlwL8xiJ+HcWl3bmrhZ1uRB
JA1lelH+tAXiDmG3nrcLgxemOspvZU3LxoxS4/EAZ+qsSDyR38ro/Mep9MtEcRVNgjoXEs1XsovX
0GZAAqG8hcm6YUzIDnvCrin1ODTYJ+EnjwaCenYV2m69Yk6utmOkD58LCM+R3F2pgGO1RAp0PqZR
slKUt4p5qcv1UBpquW58VFs2PTITtOj1yBMDmtbPzlKt9H73oUaJw2t0K6TT0/twlgiN57dtfvF8
XZI+0mQv1gsXkfvoCxOoIaCCIPO4cY/p6NV8RUnpMI425BewfZOuey4AM/DPbCut+nVyks+Pl+f+
yUFTQfAmyGCXQt6AysWtOaDhhJ5ly/yCYmhTE4WjzdorLK8+yOtSL87cWUJjthaGyDe/5dxilpxt
DHS3Do0PgDdrqN4hX5nSXgRB3Mac32G8HcB2oERzUf4Hcrglzd4pqfZUrzJx4cS55/QaR31ldJLT
K13LAr0Jo/vO5i9f5lfwHA16tOXAOLOp0NhhGlSxQHLyLK1p0KweT/rcEmvjbQJ+D92xqdNnZeMI
XFvlF2nQM4e0nWqFHVDFmqYnn35FpZKljy3+MjHfzbLMY9BgNOHAG3i7zJEmVE5e99Bo0oXOTPGu
mCQc4XhD/clfalAV5UQzEoY6rB4lBuebdUpakQ5n4GyIv+1lmuDl7TMPUMPlex2ZWYRWowKiQR4t
Ijq4tHzq/iYZ7QAZqdcZ2G99Wg/7zlsV8Ur+4kvaMKs8MzLcTRaZs+61B3CRHEnnMDAFJG3TTcR1
vK8OjVRcPIGwVUSj4jWIqZubRdhTof3wU4t1XjTPDN976dyJutg+C3/xyCRJIO2niQYGN1NQDS1e
BXjeKQG4LtYNYFS8zuIqiqcwZaV1uqdsa05PNRP/UUI9+/Ei/TbfTRbpZhSTXcnlUSazklxc0NLu
a7oCwJGyF8DKNezKn+ELaAk8ATlW8hda4O77oK6DwOQUy+mpoq7KgIbDhmetXu9lPahWbWJpw1PE
7kTGSDOzcKh3loRj+qR8+GchM3zh1W2hKImH5d5wj+KfyjGUdAeNROe1Y7aFJcgbWTspuNT9zQOr
iHXGfwk1qwyPIWcOzMoJTV6ixSHFnTs79EFmhE1ORY8MFholPPyKt2EkEshUgPldmRtsYXIN7dsn
76v29FzjUcrB308tsK+etDCd972dk00xnodXkdSvSkEuVLG48JtgvWfejrUV5yRCLc1idZB3ekRG
akuGvxkke3F7NRKrsHxz6flfGpdtuqwymgaQXYIIhfu9DVx9R94wHojJ1OIiHNsf5U96yA/V2jM5
kEC4drwzE2jNHHs6mOHBJcpesoIDFFRRnr9E5JWC7RKSRCw0yNBryNIXaPleVpLFm/4xWLg9zpQg
Ve76SycXo75IhbBklOLCKiVNyp+xXVt+Ts6ShVUNTW/J3n32c2tvUl7Os04QChczwx0Ls8R7zahY
O4AWRNU901k7JncQjxG0i+uFCDzzTHNjefocKSSsHCNmYG+cwhd320jn4V3ctyotSyLX70O/Rt6R
6kG4SSVsDf75savzM6fe9UwLE1dvQ9nB9sdMayue+i7tUHQGGujNhScQ38SbnC6s021CpXeHlpvU
SLfCegSnPP6O/7A3ZZDJohkMxHyTFZDwEtrG8fgd2/xTPpW02yZ6MZi8jNvnFu7CjnqP0TpLSP3D
vmZPXa7nKLQcqm82oNofZRXHMZE2uZU2RhAShzAl0XLKgNmoNsddEx5bm+Gsdtg5tNJjvTm4PKm/
glODILIJdUdZGNNM+o61VQRgCoCm4JXfp+grf+PaPtJixS8vfat7HZLHHznVqJpEq5rfsWxOg5w5
FMq/vjXDKnIo1BRUDcWXyYqqbBNLvuRgL4uGE5H6pes8onx4W7d5lpcYXWdem0ZrCsrUKi7Nym/s
uxpjLvKA5DBBefFQ3Sn/ehVvytW+SF8BDBKz1RD8kRqfVILlQ7GgpknEL2QUs6579QGTWlzg1V7L
pmF5EcN1BJAo0u51Fa7VctstRImZst/tWCdRSR6SwhNUjJXd7JljYA8m+3kEdZBM41U1trKh4leN
bfv0tQaVT7zGXY1ENKGV8ZmR3PyJ1isoJ+Cooq65dKuauRHcLMTEgdAxKPSxOH5cuOayVRyIRO7O
j710poqPnA3lRVwI0Jty56VyIqPsWbm/Ozoo33PJjqSVdIxD8K8qF7nf5rXFZKYCJiEGiIl9XqFO
a1TdewdexN5i/ePjD5qp2IwfpOBOh8/Bi81Y6bvefqob9Y2M1VdwhNfeoTNb5H3ImipogDK7ARI+
EktVDSAewjhPEZW+o02yBOCc24O4WoKVEaybyKQnxQegleUslyrsQXD217npeC9D+scpATBwuoV7
ypwt9NEqijLKBYvT2mWehWHbyl51AR67+oNEhkGFG8VCvD+g8r0wvfxMxqCOyFSAVBQktZM7oKeU
TZcOeXUR2q3Kvak/DDiHFQXkPyR0LUEqqeoaeRlu+HChvDJ3H+SuTU/8mpOzOPOTrLoUf7ivUBCo
0OuiRNNKBXmUT0tSi3r6LEtWdyhFnyZAGaTFVl26aM88AQMRdjUFE6dPkzaFqHFZXaAsvLaDZwlh
7l2xnlUUi4+Kzi+42GxAvbY38eNGzNyM5WDPYTcQGwz5fQ6N2SzAi8upatdqTbmQsBxVmpVia81C
NJ3NvDROGHH3vwfIZMU1YXBSpqqrSx3jQSXbZqIh5tTp9lklGYUW0JJDG0BOHNle2GvjL0+z02vL
kwXvk1rmSrQYXYKyJXWCpFiJaTwYLouXwL9hqQ/VZ5L/ifvnst7y2trtX+OKdu+PP+OeAWZ8CkSG
LCCmsKzwmzBdRZSQ8zopUjABPZLgJ7Cgizqf0HzfB0S7ZB8/6uEk4Q3HNzl6kdbxVjUCoyblSlrz
Sy4wjvhuRvDMJqISPLJWjt559Sle6NdCniKk/x9n39XbuLJ0+4sIMIdXRlHBtizR1viF8AQz58xf
/y1633NGavGqcTZ2BAZQsVN1ddWqtfrkYzr0lYU0o7pkRqYBYprzJ1PsEtFVQiO6cM/qYBbl5vFk
fEd/d18A1lEkCFTc7gqxJvwiu843WeNxl8KSXgYkBFs+1UXWYqMd3imAODUO8MLNaE87cIs4foqS
fPynxWtrW9eog0UXCO4ewsCQRkOJHMAH++H4+CvXPCJyev/9SOKEln7Fa7GEaaoLfaqMCLdrtqtK
lGkDA1HjY2P3rVXL/tB4Fc0pLLYrmfeVuAz6pk2NK9AAQZasuzP6BfDQNKdLcp7c0ELqj1KvWj0Z
VyaJfdApeQL2qqbx2gTZRDxcQ/8pj81YoTwGVgqIt2NbHgtXG67u4gLa499j00A1Uu47tMUJJrL2
FvoiXDCX7gUQnaVWDkrpx/O6uogLove7pR3EkLem0zztlbLrG0/dcs9DkBr1DCtx95wqlAt0uYzv
9vSVJSI+5uah1NIQltocRPJDzkh20FTvj4ezUsZZpvLveIg1C4SY60WQqXlIqXnMT/krrjY5MBzC
Xs51tnDDQ+NTkokrESC46kWOkzlN4qHLcTuF3RAFotJLoKduQyuGb0zKH5JA2SPfD1Ji+m6sEC6h
80c1AklW4w3byRCt7k+1cGGXZreprNZMX4Kd8HNEUo4zWLs3IvxbMAa3t1h3RB/s+JScaAj5la2D
XQNC36VapqIH73bcWi0hcxszjZcO75ECqe3+2KMtNbIFvKGHfvw303xljtg/QxSm1cz4jVflf7oC
4irqzzKJKMdhdS1FNAQtyylDieB2TIjA47mFNK/XaUbif2UCuikSGiB4zQinqrhZWA4JfolYypIb
O2aK484LfCsQoZjbguyc1la2umEA+0E7F8ovvEreIUwtiwwixc6rzdQdTc4U/4TgIJ3RllqjTdJS
3cjIXPU5cfFkDF/BMg56Q0N4BrTCEje8Wetfj8/mCvIHEH/k+VmkGlDlJfNg2uCrWlUUncfleuVU
HveT7czA0ozGbpHjUgwkpdFwLLKg8TCl/Q6NV4otGrsejWGjXu1S2kW/toOvP4hYbSWZtS4X885T
uNdINop0xwzbKIlMNdYDMdABR0M6w85UnReG7XzhHRliG2/yRHGNaxcABIw0bcEtA4FGPmRGbqzV
vq87b5eh0A7uMLd/njfK6/Q8oRsayfXUyvR+b5Zb7lBTrvEVv3xje9mtV5ePL1Rqn7BYlRFF9Zk7
tGNBubuX/Uy6LkgmLTAqqJcoCuGTp1lsymzuOk/IADQbD22587tN2ryIvk3ZYosTuDalLTgc9DCi
xgEUH/7ndjBRz6lKJwaDFwxmewGcCZAsB8CKHOSPBzRyTvsAbDSqMZgbFBYfG7/LO6H+IKJvA8ik
Rc5IIVGr81iIc5lW/bmI3cuMI9b+9J9B9j3sC8ptQG7cb0syqoQQZUEOiFT57NPOL9KY785dqvND
ti0H9hDGUBIL22M8uUDOUiaW3CT/GARZ4QKbQfMe4bLkiOXjtla7M8MjH4y+wV5sKP591cSCG0d5
H5gcEpQDKfE0T7SoP6cZKr18iOaX/9G5fw8CzYeAH0kaCuHEE0/WQibPoro/c7NsM9pLJSR6EFSU
cdyVHRYzgJBgaZY+R1YTbvdgJ3dcPy9malN26r3qqFt1O7yp22DDmbnJWIoVQdOmcjlDcwq3fOrc
cMPrA/wdZUOSF83yJUDLiayIshhYv4kBc7PazAiW+jMKLdEGLyoVdAR6xkAuaReyG3bPF273s9g1
qH7876ZVDXkZiFggMYPvICaBTWO11pLxLKOSEFnToYA6fPzUvSbiSWrOYuf2/EHmX6Tcip/AtEex
T7ocjHwREUJ6VMAlDu0iwrxWhlVcVOM5ikKjYoB7VD1UoxrRbRTKy1VY1vPW5yy2BDR2AMcBfCix
3uogMkMQdLClsDquVi0+iv1BRLGOQU8z/DmqX0qfmTFecLLiZGJo9O1vv7Fkodan+j1stkn5NjS7
FL3uwi7hnCK3/FgvW0PmtoDhnrh2KxcWlwDtWIm0u+feZd5+PrFSUu0PTK1gqlrF5dEDy+mo+AWv
ifaVJrom6KlmpB//ZndwANWKAFNggxIbMwpFPwnDfjwnqtk2m8YSul2567e8aJXvBXeawJOkuX3y
JP3ogA78N9ahMoPHNSIRjQxc0evfKuzcjueufhXHzqjRfzz5Oo6z7gP2KHA6X25ytUYexmViiyuM
Ynjj1JHyHcvE3u4bDb3QuBLhJRBtisQelYGYwcNyZM9smTBGyYsZYs0ppziB5fVxYwUIDgCtwfjP
ok8EVcjbk1AVPDONaMk+p2qiC+lhmuyBfeFi6/Gk3vXq4rTBDmrw33bgxW/tYBv5SYQ/Po/P2qmo
9WY7uo2BcvDZ36uMXgd6v832+x+DO+3CbcRRfPvdjfhtXsHFCyDVkjK9Nd8rPZT1CpiX9sF4iAar
jH70HMqJ3ALInSmjvSsffo9WRBQL/yqJQHDemps6ecRrBOa48lxxG6XaNLmVCdBhivWoUYx2Ljch
RJSbrDzEXfcZVc0n9K+MeHIqmptfXWHgJmUZGwkPeWLmhTnJC275lrEGefGYOnN8qJmXRKCOeplE
ci8BHinIPPrs4N6JSZ6lSkThNOLOUmOJ0zE/i7mhMq/ZK7/U90O8YerJDLrnkeF0gJjMJMkoIfva
MqMRCdgZHrkK0Anczrus+qUylCl3ToevWXPa9Mh3MMmCfT49SxVLCXvuspLLOmNeVTSFQGdAvrvG
iilPRl9hQTQIPhT9bQcFm4/nZ/fs9qCm3r93JsDe+ilEE+Xm+Pb4SK2t67VtYrYzoeG1IFxO7vjU
NW/1rgLov52dx1bu8HnfQ1QlwNoQ3C01ptsp7eIsGlol584HjA3skKKDdw7k7XS7MByQ/TtOAoZo
98zpiTXrYLPzBAt/fy5d95P+RaUQunu4/vNBiKHA6oOlJtFRveLHaSX77NnsQalcGOePw8flckiM
2ejswanM9Kl2dpvT6enpCLat98fzcVd4WMzDh0GVVFMhfXjXNTsAjDwmDXdWGqvxMtA1pHJtCMi/
x3kFuUNB5xFBHvv5R6bkW+2FYn7tjClA5OFSBFnbHQdXNvUBQsuaOwtIaaaAd9ebOkyBVzpq/cc4
ZGhU9kZesloJYoWJKQznKluU0B5/xuIzyJO+cMfy8G6CCGDA7aZQ0JaUhOLInXnZLlKrGlDV/izf
+MTuBy9CMPPY3HdJnrQHKD6cGFooUc0jfFjdSWpTJhx3lounhIMKqjOPGm7jJ+jDtwM6AGZpI6Tm
6NuabzalF7+JULyTE2eUz0Kmy8FelowR4kPxbLG9AX24rP4JbFfqFuNhbnJ9yqySJvx3VzNatgqC
SywWPBLe7/ztLE1jC2aPGkcHsUJ4mXcRimLihgPD1ukLTIiP52hlYyioBAL7jBw4d0egAtxbkjLQ
pD0LFyDTwUH95/Hvryz5ze8TSzDLQZULUQsO9d9If0jo1XX7nSo5m8dm7iLzpYb6dxhkPKKhtBL3
E4bxgTeIOZkd5fxSpokE1mTKFFQVg9/nTN/UDtyPx59/V6jDmt98P7HmrTT1rNzj9xd+SAX/DE/i
tnf1MDIKiq2VC+DGFPGw0IShVEoNpvzDz8iSDvHx8VhoU7UEqFeZnzLyJWFafp//Cm3U6ql9NjQD
y59fGYimpOukZUslOvrR9Hmvot3I7Pbou/9aeAforHCUTfxN2XplcfbDfAB2TYT8UAOVN01/5nS8
wAAO+QUsnTXZ49PmiwaiWglKbtZp2fJXRtGiKNRZhmFCvEI2mM+N+vr78UqtXUrwMUgvIT2IFxP5
xkwYuUnGRTzrwB7yE2cU217vXmKIyO0GStVr5YDemCJ2RRxFoyLmE6TcfiQ7xRIjnd/RiFZpNoiN
ofXIVoQCbLCV0Rh6+NTRJmy5oIgLRcXrCg8CdL7gTU6cnTBV2JZJuWXrAVFnADTggKJ20ml27l7P
SwvZlR1itqAEwYsMrtFzgLK1+OkGruAkL4DQPtFYHpZfejQiYs6YpPTrPMKIwMbvU56iq+txNQoi
BsQDSSqSGL+dNTqwscOemg+izRNxRsRCqstm0VM6Q9f1FdBx0RbQV5C/0g7jige4WZDlsF4dRhmw
9noOYWgXvNo/E0OwBpMSHK2c9xsTyydcmQgkdCvEDLj95e0h2Plmbw0uS7kmV3z/tQ0SYBWDHVWO
QYV4jl47J33TTJos56oBhNigGkKMrZBhrhIHvA9gFcIJnTMDAJ8feyzazxMPZGgWlYWY4eebr/il
cOYJ0uiPLaxFX8Ce/R0BcROrPse3PhzA0rBf6NhVr6P+Z6s5p01KWXDaYAhnokxF3o/IdJ5NCdmT
zijOlKGsng4IzKLyiH6QuyRNmmRh33HgsweHa6FH+p/G5Km6biu38ZL8/q8RYknafKr6dICR0Cwt
7X9OIy6O8OrXidVglUqqpg6/XuClzBs26HYkiFTRouC7Aj/irxs7xFoEcdQnTQ5+dxOqwMe33JVs
bsMNVDLkVT9yNR7CsQ+zMMBpYTxL7JJBEf5cOiZl2Vfd7pUNwqVjPdgiijGWtzek5YH8QLwCLe82
0Pn98XikQVXvsH3k3C37/MpxaXLU+iNu93O0cQ/Kq+GdoJG0uzyZe+/r8dBWXeTVyAh3X8xlPUSJ
htDymNqiu5/B4UYbDm32CE8vhkkRqy1GE7uNHu23X8fHY1gL9W+2GuHnJ7QlQ0YXy3PYBU+5ez6/
tuB70Clm1jeaBvIzUEPywOHfLsqcqHndStKiTJqjO/IPGmO8gsayt2aEk1BWwyUPVjkSXdeDZSRW
ixDEuobqTBaHlxFYAPSaEkesOcprM+ShKdFhNnVQRFCdaIO3uhNQgMdr++raAHFi/CZQmHaGAaBg
viqPv/yKtxPtWK5542sjxDHxi6GdRhZG2BR6jI0uHAtXfua2gdlsin9xz1/bIg5KXIHrSB5hi3e4
vb8pXFo4v74kqAEqqIUBeUF4ffAegdV5hL7HrKGPVBfdeEZMRDkpa9sLxBcSMojI4Gjf7XlXjqWV
+zipfUHAC+gimPV7vkM2xigN5EThxXaQRX37NxaRc1GBPUf6ncz3z2wwtQVkFc6RXhz0YFuMzrjt
n4wNkIdHyfzN2J0xPtNW604DY/GgYOr5r1lia0yFH/tMrArQojAlVo9POVrfwG5nfh3B7/b1hc5D
/NVsVGBTJXCa0aLb72ws+Qq4/gBiv7DQRO2VAh+AmZ5tXIFvb62ZHBRLf3l5feWeTl+hFVpfm9+P
55tfru87uwtEBV2zS9cJcbLz3h8ytoyX6xCW0VuZeTI4c0tQM2+fDIvDcvvnGPU6YIh16qjXXnPf
IJX/Z5049lLPR3HLw/rbG6zvbC4xfFd2A+fHFm1yJ3DeRmbu0ABuq7HGtVlitaFqwbVyA7M+aMHU
3/kWgqWLgsvjuV09PFdTSyzpGJUiG9Swwsrm88JCOup4RnIhJYhdzSFcj4a4L5Wm7Zi0h51mC07E
Qj8Mr91BSk1gq46/KT5UXLucr40Rt1rSJi0jpTAmHpZE2ZDqwsZ/0V5/gmHsY7Did99EuL50fI8Y
cb/L5JeCWziYSyMqIeLU6sxL/gcUoIF5+tp6nx5KDZSLV1pCxbs9jforysAo8Egy4Rpbf5ClRB3+
CfEul9RVkKRSdNVZ+EDHzbIUZ9cVXyYOEHTWSDJL//UrAVk5ZIDrTWm1gFs2Zmyp2P7bze+vJaEV
2LnxVTpfX7+pPm/d+SD5D0iDBEQHCcIR+CAtpgxJoMbij+V+hBjOuXBCO3yvXbtxGj1w/V+5Ixjb
6Bn8imZhomXbfbxZ73DY3x7w6iOIXRSPWZHMKT5CeE73AppZ01N2SDztUMFaYIe76oVGrbj4lrt1
AkgBNUd0u+GJdBshVYNSC2U1I6Vb9qWxEEMZCKRKyjFcDfcETmARg0GOCnSAt2bKQS3QxFdBOeqC
5ld3dgcR8AwT4CqLsvNWA/FrU4Rj4QdGkDOlEM+AqM2u9J67ocFVjvbxpcQAYfI6aHa+VDswZQr1
0Vr8dG2Y8DW9CkJWYS7Fc72PLJw+Q0bDAM2h3QPhoMCFS4oHOE1jgYUi3mh1E0fAHinzuWwqXZre
4/Y0xU4lSs77mAKazNW6mNNKVitDQ7sQ6t8A4OG/JHQ3H8Up7tuePe80yWoc/xdog4pnGkP3yk10
Y4Xwa6nYlj2Pd9s5lr6CT6Yzeqi8zHY6/p5+t6CrUEJqlen+6sVpX3pRwFosSbxCnLgk61NFwHP0
XEJuxE8FW5vfmhC1drTbBblR9vUJYOtGNHzJC3mbct7vB3xrnRhw2VbdWPXccGZ7c0b3Q9UKtl9E
eim6ZSsasrKpE34HSiaK3fsLBHZVCVRmAtgYWZEIOIZ06tRJLQBLmuy03zJKo8/FDNRmaYnJUzh9
1ZodB6APG3eSBM0OTXkFlNdpC8Pvf7cd5T5bCQXwOSABXDqKgWP9vkuuIlwxCHgl0erxrPxqxONc
H6t5UzAf/Zfcg3bhhDu029DoIVfcxK1RYg4iEXEvJwKaxbCtpXKNVXd6P+4rBeKU8WaaLkwLmiBX
LYafhTnFzwMHWkIm0uf8cxIPbe5R1mS5EG8d8e33EB6Srfohwu4fz3NlTvlOSXAxFpaco9nzGHAv
k87HhUnFSX3HlvdmQVID+gSkmMjWyzkdiorrh/HMbvnAUMRXpRmdgJecpvyI1R+CYldy9hSn4OQ/
aehHHItD2bjJ7Ar9QUiNrHoZuUFvw7MwObL4rEYVJbRaxv3oA4l16kO0tDUsEIDxIFxKjQmdqAt3
TM7PlNN41wgMZCy24d+pIFZASaaQAZ3neA7qt8Q/KeB7RhYUffhJaTPyWUHz4GQKgD1hCrJtXRm8
f2Ca15g71umJ4202+EHZE2veSQGMDw0TKIajYe321pSiuVSFgBvPWhqpo5VnZWIEYiJ+apM627lU
/WmBDX+upcq3WG7cMTFQkihjfw6pmlGSkPfQEXgMzBCLlgfUXUAwevsxaRVlxdj6syc9g0/L9y11
Oxd6ekr3/Wa+MJXTvKmubHK7TDXkQ3OIRWccTagp+IGjom0Y2h+l9RbaGfrojt3m8VTdXVDLx6GZ
DzBRQQFdDeHHg2JkFfCIsp5fAVAy9FWJprJE1ssyZHQIEZRQCe7Q+zAylfXY8r0jWTwpFmkhtwPA
4vt1d+W9wCaV5AM3sB6uDf44q69jw+uf009lWyeOxtmRaIxfozOUhhAa7VN0DiNK4HF3RJYvQCOj
AIJs+HOyMCvyVZ0kAMh6qZQO5txncBYVh5YPvw9pIepy3G6OI2wJSKPjPwDkAkJ0uwtYqerCsSlY
zwRYC8o6l876aC4o/9GalO/hYYQlYvM3HZrRBDZjPXRnmBLevaDYx/911mgGG9nRdNFgjQqtfHbU
61vwkkoOWsa782R+/YsVvh4zEVFGqZLLrYQvAYhr+YgDp7vOiw4EornfguDIoFSJ71pWFnbRa4NE
JFm2QdXmwj8GW1RgzL7XzcpYxtdbAbTuwZxIiwnWNtG1TeIExU3AC0GHhd0d7J8/tScHKTkDHF00
Gvv7pzIxOCLoiQYFPrZaDPU2VIxLpLANdNAeTNpDYG2rLhkzJM944ClJ6lgpzkq1R8LFK/QgMj7C
2qrf59cEDRDg/Jn0sDN/x38eb5U1NwTCaRZuAHQSdyS6aewXfN2MrGdLjMG9MiA8O/I0kQ2aEWKl
ZL7HKUxhJHU1fdxrOBUGm4PU5vFY7ngoll14PRhioVKFaUaeg0+tRLt4T3+IrvoWa8eFHLhSrHRX
AKMTGSmEF1QrVHSRdgruUgiLffAbQrtV0FC6IxzAUGi1kE0D56Ea1fp6gi5IPBpTW708eUYiUDzb
2m4BCFVB/h4itYhFbx2bXFWqOvji5DEF5xbNjsuogNe1I3ZtghhQpciZNDPC5M0nP9Hfks8PG0hQ
t971+ozyR6prYDwE38qTtdkcQYr6+/GC3ucZMaHX9gk/Bh5+NE7GGKLqSTWa3syPcwQVSdUEv+Ow
lWEZzgVE/IMOsRjkWB6bp00w4dQQnwxZqkqTVwJzq8rFpmOalGJjGQF5O12PkDgaTYljOdTK5PHI
ljStxbKuWlZ241fnx4NZNYRMrYy+ZAUNysTZgOiMJM5CPHtc6MWCrrVfxWyLImVP3kM3sWKoKSOr
ACgBdCKIFYvSCCkh1Z+8N0HHPcBdJuNSX8wLkFfnEcxm4Cd6HX5EhgW4B0gKpt3Ja14Mmste27fX
X0GsXJUoWVzHzOQp5TGUDoy8A63f/z6f1yaIhUsjLquyHAsnsmCpVhZewUmvu/3MCxRL96moZU4l
EX0hSyrqribYgv2hAJp19mJXumQbble3evwzczNwu4t69PPxwFbD5itzJBZEqgY1hArE5PUgoTUg
BRGao2nnpgsEuGLsgaCxvB/+8/svBGyW9XmC2BpVaeQuz3A7ZLJzE6zgQSbO4ezx06FSej0sj6xq
BuifGjoOD4bPqLMYar/3fSMHvA2SVQhJ8azS0DN661LRpBwkCafOXvYkvwWVwdndVql3hR3Prg9g
GhjIB0PbJ+jUovUh3b9rYRuQ+0X0bGmDIqGwSpqmclx1rNcHnyN/KtJ3YCVxTnVx/syi1pnBkwiO
nxAtc23UuzGoHys115VLJ+kNeAbUaFP5ZtZ+gqrYlIIvaZ51ltKqteaQFxpahOx43aGlkfAi8yyD
AVQcZ088HC6gZ//Y4V4Yf4023ispYpWiNvOnpZZsnALz+PZ4Z95nEjFFV9a///zq4TIFUKZp8mn2
xmbbvQ5ASSjvLGOPwjFqTJw+Gmn2fZ4HBnG5yhKaFvGKVAhvlhfow+45efb8UZ+U2BgDzfIjSElB
0ZzRezE8oIN7i34Q3uIBPKcMd8WLyWjDQIctZFlEbMfb3RjLLBIHLTN73baxLqNtFpOTMpYBAbwT
CFyghfrY4OrqXhsk3OYMsYBRlQLWGyuQSQiB3qIy1IP/PDHHn10CVTYwguToRex/BUBQlk8M98wI
poz3jewMIhQsLQ0iGKMGEiyKE1xME/ckZAHRXsWCjR4sBkQkIhc50zJZi0/j9A8VrZOfTULJF6ya
APhtWXNwmZFdonXrx1rd4wBmOoPq+EbzxrfUo0zxSigs4/L9rxFiTZM07FqZhxEJmuA8+lmibebA
scoLGYNd7oFg2kO/xAh4ExuqdeACqlO4ZXf5ASy8m8dfs76/0ViDFBKPC5t0swJKKDwUTVgvUMRf
4C+z+Math8Ri0i/RP8uDHTN/ushWkDDLJZNifCVaBnZ5aaxBXwmYGYklVYp8jIW5Yr1hZPSxu4B9
tWMNVtaTdNuNs47UgB7mnF2Es86Ub2n8QvmAtQVfmD2QTEdnFURobs9Xl86ZmodYCz8+dfKlLI+y
072pgRGGNkqVJ2GcdBHkyxOqaaCxzc22exYYmuNfXCa5swG6FBQFjTUgAeFvvwJvmlKOUpn1QLIp
sC/VW62ZkduEpliboJh/POZlTu+NId8kLF2gKKDdGlPQAi4OacB5HPo/I5wjQdS7hvIOWvbwIyPE
JTFVFT/GPYxojTPKb6D/h5pR1l8eD2X1NoA7+M9YyAsT7MIN0NYM9s8EBR7tR9u/ZTE47I+qdEhH
qweNMEcJb1enj0eTsAD+XhFkIbfTV4wKx6TAE3sCb2lPfUD5+e/a5d3M/f19ckhtUvVjxxa8JwSB
POkNK0ZHJMFL3g5YOc31KJjzCZoA+fzJDXV2YiBqKepBH+SVGeOpOOqi1uNmEoMo0uxhKlMrlnzQ
Pg4a3t9W3iXafhSKBjdYzDVgk2o7vGhmDrG8zqro+NFLH9IbVjYwye8xS7uPEHJVgz7WM24EpJRm
COYMaS8Y+dyCRiAPpmRpcR243OGkfmiNEq+MQp8ZvISNvMykZ7ZHcIJm2FR8K7hcFc0JrG+NDnbU
tnDKaQ7tWJ6lVPelirnUQz2O9r/ZJ1eTShT2m77ItAzgDQ/N5cg/gKPWQWK8nw3o3OTOY2P3VXnc
Hkiu/meHfL+PrkIU8MhPFdPHnFfvOdMGzTmazmY72qh/bN5on+dXXm+fpr1qs2a4684gTqf0xN4X
BYgvWNzu1Rd0rDjJUrXsUfZFZSwGEi3NsyTsq9Qq55eAtcZyo+aqmdY2W13Qd2n2cm6K/nECH3rb
W7n6oqHX//G8rF1719OyPLWvPiosJL4qZLiEFPoMYE6cjdR/58Fi/djMmke/NkNcKVODTuuphJkA
Yp/CXgmtXnMEpJqyhnJUV8N11COXzmNw2Nzxemiz3Ocph4WWdAkMW0jr7qK33gWpODxqDI42MK1v
Qp3fpNv4OPwEqXi1pJypWdC7Ktz3cv/9DmJmkzLMC9bPOC/rzfalBT/mTt3ns24Zav3+eHbv0R6L
LUT+2OGI/e96cdkwHTug3zmPnSzZCdINWPAKoEePwWXr/2qeoQuW0bCqqzHKtVFiTf25yqZJLrhF
JgrE/HouL1NcgwDUVJ97ry7tNLEeD3T1AhNAyaVw0JZBAH67W/kg9CW1LTmkvfhtkZsdIDa0HpjV
E3Flgwg+gqAEGwAHG4xgsEc5t9jcKxa9kmmixLWrlxZKcbiu8GAD/8rtaLBmudSAzMdTUzBD/pQg
pFhQworl3ru7t77Bl0u+DlIltybaYh6EEe9Frygs8IGjrhQH+1LW2RdpdCMa6ohmjZi6KQy6VChg
rfadEZzHgDchD5K0xqn8F68OdIwBVPrPuJZFvHJboAVJAr6HJTVF47Gehy9VbPX9z5gGcFjbDeDt
VhbwKtC5MjEkvp6CsEXc5EVfSaCDvDvSufhHwY46J/+b+/DaFjGoAqmxIe9q3pufWUQTEBZnuF/C
oBgaqE2e6235v9LoIYRFfP13cMt6Xs2i3EWSMmkwmIg92uY3gnRJ/zw+sWtb4soEmbNSZ64vBB8m
OkPMrHn/0e/yN5UzQ0oCZNUbXRsigolyGPtJCmBIqmaXgUh9OL/5/KDX0F2MIEz0NIqnDhBUyING
svt4kKsR77Vx4qmgjkXQp0XOe6G2nX0Ti4dedg5p8GMOnCTlTFOHSgQSvjY2Tc9jqE1tQyajSN2g
fGGabbmPiteZBZFka0fdpikp3nf1mkEZRQZ3G1Jw6IO43S9iI1YZnza8l4XGvKR3TFUxA3FTl8/j
ObWl3B1bMBaWZooagD0PtIfpcmWS3gyCpGDIkfG4AKXlrX2+KRgfZxSZuNao2xNkbCZzNCRLKLZc
7LDyHsRREI3RXrSI8nJaS59Dq+CvaeKoMPxUty1erJ70y042kj27OJ71noGkZ2pDntUHCTIYRYF3
Vo7iBuqbKSiheBYqEbzOOIwjQsa9C5E3eLzz1i7Ev591R0MRS002LDo7HgoHOvKvUHl+bGDt/ELt
TxPBpb6owRJRTMBA/MMfas4bkFp1oPo3lPoYGsEZWVdKgLxWzgXMl4W6GtIwABARyzsVUpsG4ohY
1OR++uZTC7guYx59Kpvu2qBweaA8B9o1CDwSB2ic6jQJBo7zAD0Zkn7ja4U58o019IlZ15UetS9p
SWPBv2+EhLdVMYvAPOJSh9La7e4twU/TT6WK1/cm0+fwSZus5kV68/XsxUpOO7BVU2L7tfqEjNw1
uPdR9kTJh7DYC0I/T4nGeYm+q/eHwUkV6CwYgSm+Pt4lq54BowPHxqJ2IZEpumqsQRRW+ZwXTR8D
84dR3CH4LTdubpVOHRt8aLKsVddG9CMedhVHGejqel5ZJ8bJiM2k+cViXd51hSN+VsF7orp18Cwh
LUzTf1p7YYC6EnmhRRcMwTYRt41gjlLkKeK9yUlmAwofaAis5osAQS4fXOcJEkVWfciTTfYLYkon
MbUKZMxAPy65HGOOwVceAOkx/3i8BivOEZidBSSPaghEqokLsJmhXF2o3ORpeMXPVWRrKa3uunZC
b2wQ91w3Zb3M57AB5g57YDJbZMS9DLJjoCrrQxwcRmivQ22sLAa7qJ45ACEfD5L6BcTRzeuJ7+YE
he9isqKmd+oZL/VGtEZEZxyza32IBFWCXvit3gyjLWqZWzUUkNTqTEMfClo8ioi3CLHdwLPcjN3I
Tt4kgOvHVwwmjimLeSc8hNAMRDt/bRBxp6oUpVLNmOnJmZx4H7qh21gf330nAdiexldkl1zxWdZ/
bE9LD9PjaV4rOMA8aDFRM/4+17e+Ku4kbkxHVNgvh4+fASRbIEDutJvEcFDZ93Dvooei2YTOkabC
tcwdccVfGyYLfVMLoIasAVjQzU4jPynd55BfUpny8qJZIc6KWszF0NfYRW0G0Wet6l6aTIUaD3Ju
bEcjZf3/TCbYZjkNkBDg0m8nswz/M5kdlJUOh+ccXSARSLpedczmD1Xv3Mo+HX+XlEVc26Z4IAGW
BPpEMBYvXvMqugdlIUhwJBTlOHmbBK88mNUf75J7TjJs0isLZHDPCWNcI6uFqqw+oGP1IDs9sHzP
Z2xOtGS+aQftMBqt/iszlu6hSM9N3hrRQ3FGXeXPu85sW0cyODQ3CAZkVKH5/fj77pisl0N0/X3E
MjNpKwV5hO8D2g75RWT9Uju2CwdyxS++mxmO9eTFVmLXTmankDXLjUFn0BmEoOPxl6zdxDdfQmyB
TB004B7m2QPgUDSgFfiRm8Vhhhqf/djS6ma7HjPhIGWl5ppKQyF4ocJDwzX05GNbdUMTTHjYbQGK
lCdEicMud2j8C9/BIHl4r20vO/JqxyXwJpkmf9v+gOATnl2AOIZupiPs0LHoo/7yq7MXtYR282f/
XqKxGZx8uZEe0LO7o8KEVi8LVHDQ7orKvYAel9vvgdyQIPjhPGEu6nORbIqjag71kyicMo6DRkne
qTqEJxX38RqsPQfB1PfXLvFOymWpU9sUdnknA9Km+eNrupHZG8oBp9ohLqI+GoQhSGAngfgbuzWl
WTe8gQb2WgNfADEOtW3UAlHIJ/kkoYIa8ZU8sDAj/Xp+PleOG0Bt2Zzfihz3wMZ/ory2Vo/LtUVi
YHOAND43wGJVvuQShDVEY0iRToSyTL8PD5r05NNgQ6uTiYgOeHRwSELllrhxQRQjV+IILOShN5H6
+4gSJ3A1We8SQ6U9pJcIkTwo17aIl06EvLDKJxOebZ1+uAwqNFKU+WBaUk+xJCwu7s4SRsSrOAWQ
siXcgQrGXK0aOICsWdX4P/K+azl2Y9nyVxR6hy68mbjnREwVXPtuks0m+YKghfceXz8L3DpSN9jR
mKt5HOlB2qKILF9ZmSvXqq1cWWvYhdwyXljkzgXlllma9CvZqC6JrMMKFdPiFjQ2aYmjcG5Wr11I
4OhEfRQUYCFJNvGbg3IYEk5ErzfBk3tQKLeklTVycn5h83/c3oM/pGbHs//c2OTsb5XIad1inM7V
YL69mC+11YLi28TSvbvTKPTPVvuHT+NkvOb0VFjdMaI2JGV1937+vXkNhY1iUDg2qHkbizInB0Lb
qWGkMcgFVI2YrPow1gstUjHng2yUgNYvJR58Ehqo6XcsA21JzemVVZjI6aMvJ+xCQmrOCthB2Tap
H+HXstYSBlHZlfiL+LWrzZxgV28REHID0yGA0wLNvjw5mcH3Mqh4jHEF3bFQCiK2o+ZwYOu4G7XF
IX37YnR7JS1q1EHOwV3GnTZds6BBFxRkcAD3mKKt8yRTvTZFBL4cjIF7E7iHnjE9FPD39PYimTM0
uR/UAMIhDoL9x0Y5vog1apqbQ4YBzeZoj6+68+ddmoxnIAspuoQwipIQ/Wmkp4UkQGsUzxBklAzE
VCSUJezVFQT5GPJhP97u57XQA3iAebzNkTf5OZ1x0WhuFMN8VkCkQtlIwqcIFdDa96nIfDlMQVmG
ik2OjCMpoV7hGqE4PNxuxNU1hfgAxwtIWwM9OznUqyRzQG5dccfEtcLVQLTXU2laFWTELMNwn7fL
5UEBL8EKVNC3LV+7wLRx7yGBDcJ5rKnL1azGjKAMBdCD9TIkG4RdWgNMV+B/Q4DpIOxrMuPuXZtu
DUEXhF3GQQcf4KXBLlQj0R/HeyV4JO3IqfhKUOSRkS1BKiShmp5DM1ZYPNr27a6OPZlsHbBpjA8N
RPYhczQ57vMO549Q8OwRYkpa8pK771W7jlgCmXBFCHRUBc6M7diTWwYnW0jiE0ntEGg7Bu9culE4
iCmARvx2p65sUzy0ObCc4Wkt40C6HM2YZxk5zWEjbjZ9A9pWf9CTaoay5lqNwoWVyfIU5bTMPB9W
hpK6y51/CG3WAOvaO+idUaUv27gT7bh9ZLPZOvNxkH4MoqggRAdqcB7XxGUHfdkTfa3BaauCGtdV
7zVuncZGHBpAluRdrRdMTrpPRSY9Q6PymL7dHt8rXcfhwAHqNZJ1c4hpTexnIhc3Q8UDPMoflPcR
ihEaFqds2SdUZ9tAIZSGYwz722avACIuzU7mdRAh9KGmMJsUB7l3ISQIVN1GM9XWLhqi+qgUVUxN
RxNi71W6YxHnkHRx3TxqoZ4XM97JOL2Xc4DGgE4a2ikSEunqZOc0bluGeMvycP8WEFpazSVtxt+/
9f3JGCOELrRRPaCzTAV9iYUIxQuEFqk0rJLiXpQZypYbDYXb/SIdNlUzcyRdidBe9m8y2AhCdE08
9g/iEemp25fSgwNV5/gudF6H11DeKS1VPiARSABgvT3RV1zrS9uTrZUpfSPkEvoegXSnMJsyI0y6
7055aRcAShtiOZdKGB3oH6Mtjj4gKsFRijtx5mu+6kMpR6xdCKsIcE2oPoMzpI5QQam0sngfOjx7
X5d+o+fNMEjQufMkaGgUoSwTMWeBLWxisO6aXa76qyEOs4z0Xtu9hUPbv6ZsPHykipvHxu2B+nnQ
YZzOWj15Fgy9H0GXCwihAorcbCnbAoDbobeSupIGajRjbZzxyRihamEE7o5gT2h64udnr3WOqzI1
RbXU0ZdOYr5Qg4e4Nm936Od1BLVysKAAuyxDgHJaCVVHaiskfTNiYGLAGSPa5+WC8UJdyR7BE95G
MU3TuRDIz9MU4S6gV6FLK6EuY5olVLQaXFqiCJBIWASWF0evXeMxM67jFZ8CVsBBAoZvnBfslEsr
acXYdXyPP8ol8P3RsiyIL25qjwdK1jGbJg9IWQy6Wpt+/FREVh0fYhDTS8H7HLbq2tbGw06QINqF
iDTKiC4n0i3DWg6bmD86G8hc0FyXjIW/zFalbkANGDKkRHi4Pa9XUtDo/Qj5RtkSLo1pSIDx1L5m
JaTq+kNKSsSGYyrq3Laj21CX/oH/hig0KrKRgYR6CSb2soN4NCmK30YAEUS4iQBjzD7YV57G0E9U
IWHhkfpJxn+8a0+BNdPRaysYjzaggDkwsKJO+NK038uMw8D5OHopQR6rJyDMW1QrZQvFhWRVGcvP
fAHc/RFPx8Vt01eOMBwFf1n+vj3PtifqMuPI5TPhyDUhZTKLbUncArppDJHueDNnwZUXKrKuZ9Ym
LgjDD23KMOgn+5Xp+VbQF+4ypigHdXaFIaI+DPy5yF6HHsnn8mlXt9K5bf5yjCt1EGMnhO1s31Wk
thIdKpkouqOsZ1AGTGUrjC+NT/8g5HPZ6cmdX8GDr0MFhpVMD19FGu2kbi1R9gEORhTMOBjXbkHE
lQQFJ+5YLaZMllJSIbimah0QKt2qa2ijkQ9XMjNNBzi69V6Hcg4Sc+2APzM4FbrjB04bvKbBtQsE
f086nvDwY9eocZeW7frVOS0jvEHmXu9zVicrCYHurso7WO3iNZvQsrZq+R/1DLwR8qgfJiGWdLli
mJavockkAG/DP1aMuBC4Qa+gFCjxx1wgKrOIWfWFS75Kx4x4kw9sxrHbOZ26K0cDlEFHqCluUQ4c
SpeNiEBsmrF+Ihxb2i2it3rhmhjPOd9pXPyTW/rcynQSs7SLUIAIKyNDm/jS6bXFveRP6QJp/LkA
/pV3K+57PFzHOneIbk2f6H2FayaSv7ukx7ZYjdre3Z368N6+q+9HnmgckVf8Ztih4tczhYyId8nc
a+/KuXfRhonr1pWDFKYS2hCi/kajvr8Xlg6o6d7mKZuueAoXpibLyI/YQKnH7u4GIn9YrkVORFh+
pYZmz8qZXdkWKCEBaGoc2jEce7lamKJ3gm60tZGMj9lVcv3reMNBlAVAxW/IwtllUfOym2pCKhwL
M3kArXNs3/lWqbOmkT5jmei3rybuymNmpKf9y9zYnDNzRaioAOKOc0QKs/xqLQCrcR2yu3p9X9vN
rGTn1U0AGSkFoXmJBWD20h5kRPMsTGrh6MQBaZeNYPDqJnjzD+BwIeK+Ke7YYV0m6Vw/r65F6Mag
rnKkef+mTzzrZx0gmNaGLX/Un/jlgKdKQLce6Y7t/cgxOYfXuQIyG2NUuAVEFn9x4rhez8xValj3
XpUBWAIZHFYPNerU0BOHbBYvhIYbqXriRBiDdZb5pM1S4gkHToED5rVG0x+5aOUNyyjlaZnaFUAg
2TrkdcW7bzkqFlR+ETw8L3W2+YiQR4nmXKVrg8Uhy6CNaW5EuScb18uAmm6lmj8+6tDGbexFSKGU
iMMRL7wc5ad3/EovwdtIwahzez1eIXjBwJ2ZnmzkoM2lMHZx5/QH/oBkn17p4ALVNSL5RDixhWE8
I/ZGIZLx/Gxtm42dzFa2X3OJx4cANAKh/cPjaXA5eZ2Lqi6Nx/UukABRHBCccaSiKAg9tP/gLX9h
ajLSsuMDJzzA1KOuP4nLHBLIDOE2LBw02xZn0C7fiq7TGwjUBJB75WWUwk3f0oi+KW4R4mqVnspX
9lFZdXrzIGxD40Gh1poDh4xHvENxvL8XjseCEOOU2GuCeO79wTVnduSVKI103pbJRCtdLyQCowKO
jUpTcDKZkojpFuciFteWMvjjUNoP7ByU9CZP40bKQeGlDsKxku4CjcSJ5RodXMPE8MPj7bV7zfMG
DebftiYXQ890vNOnLI5uHcUx2r1Ihzf/yEAEZ528qmS5tDP6RWesXou9XVidnKgNsh1l0PLCcUwB
9ASk1kt52TwQWd8b63VBePN1GKhnS7T8uN3ha1cVCG0QFYBIFsLRk7H1nSoZ6lDGS0OlTeOS9j5o
n2+buLZKoASIgCZkJqH+OL2eBp/z+RKdi3qAcrWCCPU6iJfejEd/paZsfLaATQNx6THKNFmNfOWq
SsygKy3KyfpH94Ta4X0JRobGJiRev2OB4kn83pBPxngTSuL1FjczmvK14Txvw8QLLSXRczlfFY6p
lDIoawrLSLISYdBOWu7lxypM+weXk5RP2dHkWk9rB+XiIuMpm84dUAuo5U0VG1XbJxwqRPIepHQh
XAwiZyH7xscQpydpg6QSGeW6JCq4jIftHjgJCm+5IEKcypWS90gW48iUnVgxCqZ+G1Bysu29OmtI
C3r+Z+Dx68XAdXWuxxojHRW+lB/SLIn2fFo0CFlUfJbTpAeZExUSWXCNEogmF//u9c9BqhSIlXJZ
ZjNiDMesUjQAzr1A3YSSENlZpAy2l8nuBy8h50trUUpplFQJNKXiplqqCc8soixRfBJxmdJAwzWq
E9TLR2xrJAXqMAm4BACdTrzilY3agiVy29YORaVu+BZjqEqCuATbkNur9OqN8ffUgT3z8sYASSMq
OxUsn+AhVwFylu61HnxrKWEW3soxNNd0vZmA3JVM4PmShbN4abNX5bJPkHI9emuZeve7QHcPnMWB
GCIyIkua2YhXcn4whwwyKqix239UDKAkNdGCxMHqNLy13pibTWjnACZBwlLagQLtNc2omOtyRCmT
WvrMbXG9t1BbxSGOCCRKAi97K4m+08tdLB7FRm+Yw5AewkcRhUIFYRdYU4oAxqJyU3fbfg4bN355
emlCgPU/lqc3iJvycTZIvnjUnviMQtK3sPh0nTZW2exn3IGrJwB8C9Dd40yVphAP1ITGhdslIh7c
T1q/qRuABmayF9dPujMb4uVAxlnP+xILG4W5WYFdBKRBnn736ZjuuqHEWNr3X7ayeFRn379XOwfI
JDhUkRuDdsGlYUYYmJ5zB/G48mHm9gYc3aQfc3T27YnHViN0rAjjt/ujAYJ6AABvf//6Bj8zMPHT
FKkLZC2DATWwHcsDsPApbZDSE5HOUzIojh/SWgY367qtZpy2b2/zVt8mV1OuxFiAIOPGxttsXnYm
0FqkzYH3Ad3gep0vttslT/R78Fi7+ty1eM17GmGu/5mzya7r3CALXI8Vx7KDTf/1gvcIEQ0UCC3u
opWVfZ2e44ft8ggEycFGDOEfbfq/zU9RqQyXsUIboOvNE7fejQ8AkNgrtN/dV0A/WsHMKrp6yODB
Br8fz1OA7CdD3Q1pyXE+jtRRc2HT01jSK6N/WIJo58OZI3S8NrbnxiZjq3Vt4A69hDCCaIRLhUZ3
9v9cO3MktQJGQ4NOOET5pMm+SJrQrZw6EhGqMLMVa0If5MOu595s12IIeNLjCgI5sgQ+8Mud3WBf
qJKCE9IvqPNlvuVk1NUhb9pqt3huDO9OLfQtFUJybI6hfn97a17zEAH0Q0UTCyJ6tODSeKTUsZA3
vHgM5Le8f+3Th5h57XnjtpUrgFiM5JmZSR8ZQUgiuRRwej2Np6ZHm30AxFRO3h5c4mE/iISsmYNK
2jWtqAw5XKBSe8Lomg7yrhoZh9sNurp6gA0BOhUyZciRXXY78/ic5XtFPLIvzC5qLblepLyOCgp5
/08MyaPMOZ6NmN5LQwqfc1qqetKx0lXZFN5Yx04SowntTPu6belbInJ60oHWQZFGvm9UOE+8KMZ1
mSyOYSqFlqhCmPvBHAQaLV42JujP71G0++mOwamIcIfoy0hI+AAuzXiPqmRfB7ff8XZ7rmUzkG8G
EZIiINAHYtnLrjsxo3Guh6Wlb1q6KdZQ8NACWpyiVbyWlp5Mazq3Y7/11KdjcG5zcj2rkuMxVQSb
cDQQ/RhVysCo292bWGbEeidro8qpYY8crAf9cabD1zYyio4AXwHaCfDZyXFRVuLIdIDzlrnPIs0U
oifVuxPAE9QlBojPgi6jam7B/WKwuueC8Ffv2HPrkztW9JshFdV+7PpGL/baSWFR+kvUgH6B/s6e
6eu4mH4MNMKBI0541NiZDPSgOh3H+LJ4jFEOUy1yyy1o4il6GDSoC1f1LtAr7/220at3OVyRv4xO
fKDa75Myg3sLn/3xyYHyoEI2u5IsPtv9fn9K12uBQlHJpo9zx8UVBwmcAcAHwH8H0Zo82cVhHjiB
XMbSkf8CSUmLMK8OspqOsW53cGz/ZFAvzEx2TCq6UVh1GQ4LacisIVAxpowf0N5BBuK2qWvRFkC7
4cmCRxDsutMnuyuHmTQ0uXRELJKMlKl31t6i0AUn98CzzmyNcTVcdAyXG6xhX7Ajvuob5n4Wzw0H
Nm8jyW2PiRq5ulejY3Xr1TO3zE/a8NGMwgJQjuw/DvbJBmwRiZcKV22O3S7ccrpgxxuExT/B12X5
VNqcKkPUS11rDjPd037shonhyd6TfCkAc7zXHl156xQr5r5aCPHCh9SNSprqVeE/4p56VF6j6CY1
Q898014j0YjxPNee+bIklR7f5bq/yY99vQj9E/gpIp5Ga88qHFI2qM4o9RJus+E+pLs0os1aO3LB
SY2pp8cuKaJdl1kSxImhmFba2b2c7wuuIgUK1BgS2MlrDg6UUjNdHu9c0c5Q5rv0AQIN1jGnt7we
0xA5SpIA4SepRisAjsJXJNx2Y/X+JpdigsIgJNsr5gQ2E8QFRMPbiG9BOVvaPm6lH0vlbA4nTqTm
+EhGq0pzlFDQ/1jmVKjAh7zmwOaHxigHiTFKz1Dvbm+HH/7A9wQiJ8UhEQ5tw8lxpoZe3yjjBHKm
t1MQq3JcCGT8v9mYnF4N9GWdIoONlWih+i1b8XN7+voy/LsXk/XfdVmv5i62Gdjq9WRXAarwGGKJ
kHzlvN7uzE+szWTEJku+7fNEarjRFkGxoJTaQmRIh61DMsLR3GxXHL3X5gQTrk4TIDB4A8N5A587
Fs/ZORL3cl5WbAijVVmbtRNFpOfCzkjbRREDcdRV3WPisXOMVT9xoWNnkcxArTOOMWCpJnbTIFaS
BlMXBC/sgHo1HtUwW6hbj3jikiUCKCc7S/7w+XX2ye4KVYeuABHr/e1B/xFLmTRjMubATfYJmwTt
mO1PTAZp8AJddgwf+Zx8FyuCedved7b0x2Y86/dkMwZSOohdhfEWc7PyiKRBMsAPFoWoV++pRJQB
CgLQ/3WpvFd9I16Eip2+c59Nq3t4YhvsBwcUYXq63arZ2Zg476Xn16niR+PSSyM7rO8kjnpvbvag
0TiFYmT91PrrEEOSkFLWQ2bl9zPHxc88G2ZCATsDXD0odyC5erkgEj4u6ziT2mMpr3wZMeJ9stcE
WqU4cp8lJ4Ecm5SQaJFLEFdAyUhAtDvOP3WC2as42Y0OxS8SYrktEQJLaDeyuJBmcTbXjtLxHhwZ
LOGET6P/PbJjIp/IaGRB5GXQYQLlQyIu5MpyOyvyl6H0Ump7SbifmaBr1z0oEEamDEFh8fK5HB0B
r8qSkasO8h1rzr8rh44OHfinc38fCC+dzILSZ1nwJucEBuOjcdpLUc8gX6dPARQ5QqBARa0ehL1Y
PG8nazdkHKWUahRZPYnWE1aICqWyZzwsrdSKoXdDgVTr7dBEGcjGuQOySpc3CaAkowqmNHMwj8fD
2Tb60ZTJeDCAlAHNP7BHFrB2IWxJyG4B5nbimT5P3wBTQ9zkfBRAwdCEDAwVYDj0uY/O2at5RsBt
Z0iFZFaQwVwJdQWynJe+TmZOi8np9MP4JJTg+kMjpiXLHqv0IX114vuBXfqN7XM6V5kyMxNcm1wF
P6yNi//sKuBYRq2YHtMbIpkjP/htC92cWo+LXRzO1XbMjutkuzuRxnaphDLMZMEabmnmrJ1ArxWE
OwGtcPrbktHN0mt8z9Z02QBvAWIFTgZXyveD/7yLftErA4/ZRDoUsm3QZzED8GlDLgLoS+5tjuHm
ai9HSiMcFVDeAczzckjrgAUrKqD4x0A0pIhKlR0sNMHO+z2cSC/6KjWrwI3LOe8z58W1ucT1yiJs
CDYa4HcvDQ9hrgROj/IzofacR7nuW6vjkVFLE5cnQuz1L73fxI+MKgQLjlV6O2Z6lOFF6XM8FF8h
F7dWqYjpIQIWbjekPHBLrPSa9cGcnu61jYxEOCqZBF4Wf+gGdzHrpZGDhvqlWeM29Dgr1QU1obcH
ZBou+17co6cBBIk8YqUm7mjTOGWLdAYIQQsdeSIa7MHSuY8PshF8tFYFnnvGkIy1YvoLyWr1eMGa
OVJlIDc9hLq2gGoB/HXfZGbOse932nRFnrdrukJSjodqMtql8J9yHNmNWZXQZURYx3VfFGiW6UJC
/zw9/+u9+1/uZ7r/9f3y3/+NP7+nWV/4IJKb/PHf/7suq+I18l+T30hdfL7Wv6Vfv91Xr5VfVv57
+d/jx/765X9f/hHf+tOW/lq9XvzBSCq/6g/1Z9HffZZ1VH23Aq0a/8//2x/+9vn9lYc++/zX7+9p
nVTj11w/TX7/80eLj3/9Dooc8EirqKfWOBHr51sO9b/O7f35P29fY3xnmxZfaRT+tiij1+Rj9kOf
r2X1r9/x+P1DA70GP8o+jDFrbLT286+foPQAUdiRGEccf5KkReX963eGV/FLyEiqIFqRAeMcV2OZ
1r9+pv0BiQyEbjXECXAMqb//p8UX8/b3PP6W1PE+9ZOqRJen1yACN/jSSGolQPRsKgwZqa4qtk7u
neplX4xatE/DXApi8gJCVeWliclNW3FCVXADTOjq0X1tnqJdo8BSq4Nv9PYeHZf6xVa4tDRFb0SK
koaaCkupUdj7OQDqz7N//Lw25jIRykXEZHIkukmdhKLXeqeWFlDg2g4nx2Qfsq0/c2l/R7p/9OPM
0OSoEblODTK+804J6DjAqzyAHqSATuIbovINQKDSskIFhbOvER2vF71ebAUDtMSyrpohpOlSM9ZM
TjFuD+70dflrHs9aNTlooqBz5SHqoRQMNpqKhraZfmpGbVbQ9iheu8fmpROJPFedPA0g/TA7ruCz
G9crHF7MFZhll5xePHSLYR1AUeNUHpsVt0QkZl82NJBIslwqD/+gy6jsGNME0GgCPP7SNpMzgSwG
lXfi3hMU/RUkfUlp/ax6BOq3KLzchaYPNw7O49tty+OHpyvg3PB4O591WgOBYsFy41LrDQXkUQUZ
Ht/nbs6fzgUW9LmVyc4shcaDKlXjneQCElcke2ZzwsUEzzQYFFEGDk10hjZzgOAplPR7ShEwQoKN
l6BT8d2us941fgqfidO8E1g3i6SsTNftB6NVtYxkEg/Fu1ZgKZ79h1gKUJbVLQTwgZO4kFHbAip1
WvtKDv7yGpXhHoQ6I07calUY6mGn3AdM8YLKTcRY1MCIndiBW9ZZQNl8pb3i2UoK4VOuYXwQRPJ6
mJSnoR9KgxsyV789hdPU649eTo6LhPOUvmN578RbzK7ag3/szqfcFkrlj/0b9wzo0oz7PUU+/7A4
OTeSwO1RUTF4J+FeVCmEVsDpbsQG2Nd3jEfVJ5WfOXB/OkXfK+jvmZycCU4fFU2Rc94pN+LX3AZD
PIg8jM6M1tA/R42MZjT7gUR6DKFoDq9NlEi5hgZsXWj7INcAwA48XdGitCMLfw53jM4DXHR7In54
smMbUZeFhB9Obv57ns5W26A2rJdUaGOxHlbaNtaDl9sGvqkKp7tV5cZULQtxTMDoL3drX6EGSyx8
/xSTnsoW6oM34V16V3xUwFGQHI7hewty76P6PKw8vd9VJwhaMYb/Uq36elOpprzo9/w9KCwIgsMn
V3eMLoCeKFEWjMndd/vcZhXifAZUAweB9IFYT8gZB1bP9/VHuHcIcOcryN6TmCfu/rWdTc1+c4Dc
6uFkLUdezrGVx3gAEdaGt2gQyQS7qJmD3xUko6zR3rHgUl569+oCYLzeHKhDEME2xTeZFNR7YYmD
f0KTxEDeS59L108TJ98L/3wCJgu/7/shETnHO410dP2S9Wj5GNq11dhVqitQZK2sbskt2bW3FPba
epY+87sI/db4TPZB0mQt2zhYASHJ1uLSe450aDvTYtXuQ/qg2MFIsK6HIHNZItlBx0WRL3NaLcuN
Zxar7pC87V/fu0Nk+KjTCegTRMF14VkFT5budSTYpCf+rly1LMk27WqOuHCKhPs1fqjehR86Ikan
pbAeH/pA+nr+qQI4PVkUvI6H7btkcvpI0KUYOJMzQ74fjHrnf1S0Orqz4qPjCvoxgnBrQYIBTxlN
udxDvOcywP8F/sl/5B/5T+ZO/JBBSbtMYiMcdACpUQLdzooljfGPW1YnzsVQukBpJrF/CsxsJ9kM
2Zdr0P4s29VcuvLnOw3HEGR7/+rgxJcoMiXTHAamEKSuSLzBieDgrZgYzhYH51yh2zRM/GtKz8xN
PIhc0NIQYjn+SbScZaejmn7rgOGvW3dQWGW23RtA3M/sAgpYekHaRXmPumfdnwsL/4g/TTo98TCU
Po4GJUansSlBcZTZgxW9eTsPwqvuEqEaI9ugICfYOFsWZ6d1+1yeVoz9GgNprAMG4mFkuLlcU0mU
dFzsYAxqA0zIerCLdH8V6Z7OoDg3+2qfc73WkR0BG7KrF6A/VCnkKG83ApmIa2tMRtyTB54HikGT
AGBfa26GPJN/elq8xeCde7rfvD2a/haYIh0rDmofgN+8LTZvClmVgJ9yyPwZPACFVobM734hopZ4
x1OWxsuYPMnWS0kCM7YecIZ45p0RUnvt6eaI74La3h7p1JFO7+3RNe9jsnMWuIWpuQKvS4GkskA2
LkyU5OWwUcxVar2gUAgFZthexFRA1SlaLDl0erTuzM2u0VujRHEtjQi1en3/ae6f796Nfoe4LW9A
oASpfpBEEChSkVWjy8sdgF8vDx6All9ISpDN44sObr1HkBaT90Lv6W4DeDco9+yUPEQE9glnCuTJ
dBaMEX8PAGcC+avjqyW+OpDP3cuIFzmk0Ea93/bkY/MyoAv6itGNux0o+tZgnCLSQjcPy0fU4ZEN
+vOBanfzaH+4porGRTQjNhjeHfrx5BiPLw4YNFK6l3B9RfQeyRLIae0wluPq6FZvmA8XXIQx+oyI
DllI5LCBbpq+WVTkwerIS2+9rOhHpwv4T6h47DG8qO/UcZdraHlp7YA/1eBzaSh0o9aAHoabitzJ
mNV+L+MrYzU69p2J71cE5cvI6Y7/8o7okWGphHZLAZU5xnI75sgXe7MjzzZKjO8FajV0UZI98slY
t+vT9n4V0S3Zg73bp2t7qYEINdeN5Xpp3K1RnKHpTzlZ2TW5L4wFQlMwQuFpEepgeX29Al1M4ZGO
zD/Ws0hErLi9awCSTnC8b2qyBZuqDRFzTC4PXND2nie24ZGPwZQwoMLy3dOt1mSWwnIsyCDbY6+H
gPQASBZbMgbOuMM/oJjtjnMXkEcwt+hIZyP1mZH1J1QgIWzirIwlR8eWfabU1NmxkpvKu+0ahtBO
mtHNzteNL0NfWp+jo2NsPzY1XdaGRo440FjS7o3EsD4HGti5samXh56CI68xG50zK90Oib0R0H5+
+Yjd3WNZbXYPjW72tDcK/fi42UnkyVawIxpdtVjLsEch6sfN6oCWhzo8MgOcSIjdrWpj9xjqJNW/
BHL/9IGVPG4jhXzFumEfH6mxX47Es1vrGcMXk69H+6klGN1eD7avKFpRyRYEl8+g7TCWRnXo9ZH+
oDEYRCs9Eqwcgrsdf4N1FU6caWOws6UHACy+On6vBi+TBIIzNOhoHNE6lPc79P7w9AZWqg7MAxhe
gp1nlqRYPDyymDHZGoH74NOMjixBKcK2WCZ0Wdq3Dzjx6s19dr5Ncgw8o8o+uPf9k4Lj5YlZPQ36
26bEqnnETGHDglN1I9IRZ5vStwerQk7yHWGDfHFSyXr0XRsjNwV6/8+8Qk0V8MTlUTc8LZDMAoeT
GKbwETn4zhH41LGyhRsiKRGYFQJQ7U621ZQkBlSnsOBuj8s0Jfrr9jkzP7mBNU/zZDEpR5+QP7yk
226h4BwEua6wdWx5J5vZMtzN8W1ce+wgkA46CGEs25r2mfVCFG4IrX8qCz8zPMnZa3yAxwaXvybI
x5FkyFLqdoUyF+W7tgogOAlmL7znJVmdvIHiWE1bjoFh0Jct2C/1S3xun/gnvEiyjbJnHv7kYv7/
LALNjVRONyLOn+1vL5+v03Dz92/9Ci8zQFT9AVIswMYEzDYP7oa/48vSH1j1KiLE8OqF79zRX/Fl
7Q+QPSPci/ewMpLE4Lf+E1+W+D+wmwGZBKwOuB6s4/9JgHkSZEJdMjdK3kGZFtKvY4pm4gLyyNL1
TRJUz5HSqaaEUM8J6gbQjEsyhiIjzT/JJcqhUGYTNRvH8ZU7UFR4r20lqT7QDWH9fDaC+1/O/XnE
e3xI/O3yj+1BQJ1FFTOqfsAlMEXE+4PncG3pi8+gFVNXre/ny0GoItqF/FyO+dL7hSkeQFuoAGE3
QiwTWf9L/9PXkp6NlS54yRxLjRcQjiRQySJqnZMeUMUCUDMwZt7u3lWbqCeCXPfo9k5jEZWk9Umn
wmaJ6ykFxg43o+Hqc7zhk+fMn307szOeB2dRFUlpmrZ2++ClMju8Et2la+SLVxbw8LkC6glo+aep
yes+Vzg2EnyYAoAanZKpgugCq/v0PddtoDWIbMzNnHL5MMQxhq5hDMHrw2Pm8Ha47F4EfIlTBAH/
VhcBC4KrROUXblCIgCQkYI+0FLZAxFCJG8lwuIzJaC6nqas3HN4AlHcltaRyx7hwroS0RhUwD4JJ
2kgF3rSJkgHLp5VsKECwtY15E5nFCA6op1QA3jNhuBOUxEHIt03VN7VqXWBmsq6TiNBzcaIPPoRP
gGmR5GcHkgf2oLCo26k6FPOQDi8Qq0TWX6A1NlBOIocPB4vpy5o3IghRvmdpCeK+QCirjzIFWJi6
0SAUBjIO0GROWid4yDo2dYAFjfqOIIWrPnS9zGWkbpNetJPBD0e0jAwZcaGVfM3yHdRz0jhzspAE
WR1DxjeFYuT/4ezKluPGleUPXURwX17JXrRasixLVr8wJHuMhSBIkCAJ4utv0udGHKtboY65MTPn
5cwYDbBQqCUrs8jyYagBM1BiuA6136En3/jiZsgNaD7BizJmm6nxNGAoinZx0SR8lYAclgCZcY4t
cyuaFvRmVTCAiy7q5YaOpnlYwGR/Ljd/n6H9+dirh0SPDgIvoMs6qj3gpc553PTujfnO7HtfuZtp
XP4dknhdBbVHf23oYaUIvGPvTWoJU1N3XuW9oRLQlBPzeMHTui3zXg/nYo9T88Va8HFrXxGNvfDI
6TYpEz0fpP/mzfCBWKwLx3WQVHmFHjwptybRzTduGX9MTF79IzvRAz+XZ/VhTCs/2n7ulI59LrYO
5q8ogxvEKASY1t9vfeh7Cpe8YOuKJrsYccKuAsPbxQqmOBOIvPd/uKhw6piJh04PpGVA/nV0yiyr
BA1G1bzAO8pdzQdSgimjLpcFkLioAjV3mqBPRb02vxkqr/n+b3a6Lr8ujPZghEd5hVW/36lb+hED
V034gjkz8I/na8/ITuM2ruNz47LvrfbPUihpIxaA2AvaKMekkNm8ZExgvuVF8zG8n2sX7bJJn4ui
1wrYf5/L/6zyh2UAqBewqR3rHg0UAKbUdMlLq5koeZr0t0FlQEPt+HKddxE5UzICbvh4RXy3EDwK
mMPH2DEgHe+P0HSZbKY2Dl8nLjDi7LuM7knMBDj7TT+pm2jCq1lUJAFBvlIjrbcuEyooaca7HAEu
C/W+STR4pVo/bcDoOKftW6AJhsWnzAi2hQggqy9Bw+jwdmFY/M2ifVBDPEroqWjEEv6KZb8khclU
T2+jirDLeYjweFMfHnOPOEr8clRXYykiqlHCSwkmaNkS+8t2mYw5VFyE9AKDL363BWSRWExTzvYJ
FMNC73nOgMpIelJ96ZO2qvdCszrbgTFb5o/NlILmVEs03+KaDhhjB1YQZMg2JHO3jfLR/wX1a9Uh
nGjS6VKFU2uKpbXmbm5FV4PAco4hF+otsbfLx8XPN6iOhU826rLvLaP4l8UYyLasG49OJU064EVy
BzV2vLA+8JEpXUcbsiqPbttqsDlwpDTxL1gbgAJ+zConLkKFKO8eDNy0vpB+4yW7isfTHUxxkmWV
+BLgmKhnV7bhAcgNZifYng9hE+MODBLjNj6T6O51Xl9trAdSln1HB2gQ5AGFwG4bSOXf54qP6LcK
XfX7dOhmCwkO65vS0aimJfS3+2XTRPNMtwyT+L8H9P3RLAFXzoCBbb/f5syjOS564uNZ9Ro9l82Y
eXMRkMCYDY9riBvTGR6griL65BKaPdR107gdUwHI5uORhpg9xV1/dJiQeGpab5GlSvv4q6J532xF
mzeoD82xtIWp0uh5ckMbb8IBHKmLcH1TeHIUepNa36cbUOgGoMSRgE+BP5ouyDYTACEvJcvFtHGp
VHORhVAb3oukYU+jzvVz7xz9WS85Da90KPT1bKO62tZyaLPtNM7k12RtjWnd0NUQAeVt/t31Aftt
G8HEttIhjglKfCHsmXRgB3QiZE+dYRFk2OxIQTfaBPU9SSMzlm6GZDuEoVOU97mGQms4uKckMgDO
+mZs4TV961TZeQG05E3Iq3KJUp5DIDjr8telCdKnuRqCKwv+GfAXpO3MSxLnmCwfltm/75TXu20Y
I/4Zkj6JdmHrtHiUDKCcA6KojP+qEfRkX6Cvxu7oqMj3eBh8PFfeUs83KgiEuPHywZprHs+zLbJh
EbJQS+5dU9IrCHjYwNbAPKQz+JdN1YlSgT7kkSag0NrmxoKcbPay73k15C8dEYhcoEpX/2h7tNmL
OtQLClyuIg9agHIUvSJP3vHF94fSKJV9Ff4c/4MSc/47FMZ/HhpQZYHrt6fBZU8c/oPYdom4oHMm
GYDNuXhwtYQ0dQ8o7leMXbWY26DKbkfV2hkdUD0gzlpyq7dxkK50+nOE1gPth9vIUlXjAPWIwFBK
/Stt+BxvRRbLR+KN+VKEw5Rs4cimr2E/Vi86A6dFiQmG4GucLRAS1s34uLgQpN46pdMDGTJxYGaO
sRWGKY4iTVr2DUA26NJymXm4jF6VbOK49l2xjOl0m5E2qApCZsKLZapxVKOa+h7N9mj4Oc22RUMK
/VRotNZx+tbViwKSVS8kgjW4FflfDcPvNAXYXJt6qTaNI/JWJ8R849EUsbKTy3xf+SrCfNMkgUGu
Y6XuGZhJ26IWKb4E5JGHr2G7sJUBoea2wFnqqFBkor+WWIoWvlClKLX2I2JmaqinyxHe617HcGmb
OSHeD+rVyB3r3EZ70gCLitzOi2QpmW2WL6DG9ccLX6R+BbBDDpxcU9HgIp4R8t3kjR0QnQa+mDd1
nebzFbxVEG5UGrb9FggyiTEULTrIxEAhF6AT2ybPiY1NjGZ2Re403n+A7sNmBFl+LV1XzFzJl7rG
+CNUBZkrBwJ9v52W/uI2misI0Fcc8tb5wCJbDiKfoEEtI1SlFm9McPcs5A6KljbtnXaMjOUwWDqX
VFSNV3BNjSysVGxlkBDGbqhfLXBwzQCJTygxpODWGkXOytoyb96AdHG+EuHSqe3cBeL7IvDnblWY
kl/Sb/GoD2RuMOo7Yj6/cHQeYUdt5swmCozf4/wSrsqpTcYBU4w5cP1eo5q4nJJxDLe8k95N2Bn9
YhUBg30WL83lPC79UlRhD2S5ZGmXXYZtM8Ff5oKZwrM+jHolQzFF1KUs3lnMZHebimZNUtixz9Eb
Iklelcm0JA8RqenPRllkO1XHzHUgOv6gassf69hjXUl51d+gnoH27jKOa/jlQD4BfO6kIXHfD3oq
HasHimdAVF/HKR7uwlq2gH8PfvobdQrnlSSq0kNQk6HdTqZ3rxONjNvNzWK/iZhO3zM7dQQkjv0y
brpA0zsMiSe/FCIINFcoyHg2vW78rzUbkp+Dq9zvJqTLLiMVfKBMtO42kcmSZhNQgySOssw+es1M
/f1INfKteMjBOjTMSwfx6KCX8yXVZLlwwZQdllYgDYswavMouebeFruI0X5B22kokQMu93Oi4p8U
QKaq0BW6X8Ui5+FNjMtwZ1SbNAWZuGTbuZ2qN6sttAFpbLVXRhik2Si1aFPyoae/SCrNL6iPAe6L
PLn+jeB1uaYSEGTTYlgBnG9lq6sMUmHIPp6HmfR4Wl0q4r0JUitLN5HaL0SbQMyh4Yxt44wyXQh4
ppsxy7qhIG6kBD4iW3NMMJU8ZE2b/5y173/j2QiG9yGpdNHmEE8sFLf0UEeKf5/Z3NSbJl2GhwEw
DF2Alr41G7yX7GCYql+EHsC169VJ84pYSfxspiCF82pHG5TKjOI+XqjuthqV0HrXOoWch7Ipf/aF
Z+7Dxlq2xZsoopLb0F42bJhvXMCf8lhjwk9R/jQosC0Vc2tcv0tbPJlAXofRQUtVT6UGzSHbKW8e
HxaVpWxjEXRCQdOSGSN7VQZvQHFXWOH71uag74ZqaxkKwW8DAJcxzgc+v2arba0pHBtcFZiiqqSA
2qz8kkxk0FfRoIMFeEBqUWixnTBbWK41F4x4wUWziLGENVa3LvE9sC2JznwLtEIUGdsYnpCDioxW
DGIPfiwOUzuNeKj9BqK0XTPZqjAysc8R7mpdhoFuUWOx8MKBWMRNCLT9t9oZP9vQBNRcZRdLDukj
Sxdvk1hD9ZXoqdxVPaQewZgkm+ouaOvmtfNajJbg1oRZwSArExSeq3AEDKBT+yZrRVF2gEyshVpT
PnI17is/bKZtMKYiRNRAOrwA05g/M6Xbe0D1zG3tc2rKKJsw45bXZAoOlA5QKeJDktyoSKXlKD3N
dpUN5vmx7l0XgL+nJaLwMwxlkggxRoEChLhYfQu04MZO4IhMO6t9JWT9KCa9FlRq07f7MdBwId7s
EuizdX0MiDvzZ7fzyJK+qWWR92YMOdwUnvdLwrMJ3gTTP18TZwd75fVTBh3X2NDLRTdDtxmd4tF1
MIdVs2xpJ7pKbLp01MNX46l6KGgXRXRHSIsyTt208FX+3FU/eT0SdC8Qyt81LoJmedCPYrgITDrc
gRc+MJcRyP3SgkYeKidKdyovffDpu+1CesY2zCUY1ATv/HCPytTk7dLKq6/7YfF/NG2T//Q6uITS
pyCP3/ahX/fF6CEOKemQ5q4EE3ro79JIjV0x8Hq6pSzG01ANXOEPTRy/0zlANqRyEPawSgsE6n3f
LVDbQDZcxE0L/JvxnN3pHHLAeE2y6VcmZoa5hQn5FwpGhowXiRFzUeUyQV7TDRgYwQAVvkO3ROoA
sU72WlGvu4yRwiU7DQrzh4yOTha143CZBunLvZ4mlxV8WkJepvmS/pObKuoKqZR4RuJX3SGUAUn0
EnT9RSRUtAnGnkIOEF4LvpiG3lve0uVi6fr6QeOqbUEijlgnQ2b8AKPI3pI6vYH60MZTD5GFlRUC
cwnfkcTKpYQQ8TRf40EeXwMVQEEnXqrpLuvJMBYJKBDAldnJ9imAS6tuF1PVK7ndRJoIHOEzhcCE
Z+gTHXze30xdw+k2nNaN2UQO7KoZx+Auq1jaXjOCInkJlc/0B0G1LS8qJMgejiFmV5QkMDI4oPbX
2Dd4AMDFGWu4/ZmDghxV+AllNZoDi8Xi6ZmhjPEWCBshhEYKG0PZiS5XbNDDU9JS2F4d8jDaT0Gr
HpWP4tGGMdHYkokQp0rrofra5Lp9TDrdVRugzNPrAVI+tKhM33x13JPfkJQ2By+aPcDXEkmeMSqJ
e2ho3T8hN2dPBDxrh1hH49sMcrOnqTJhX3RIjm86WXft/ZSNE8VRJqSH/o8fjHehn7jHaJqatwUX
Zy4QGMQv05JigiqvGICsfDIWc1xZToc3agf1c6nSvLoKg6Dyrj0ShHNpkgjzf20u6h/4Ef1zQ6bk
G6gg7ENMFziiFIz1N3VIWkTq0KBH5TJO9ZfR8Ow1BR3i12YILb5Mw8ACE/Sg17lkKWf7pqUEOQ7U
HQo0w0Jb5JFbfrYTfwMNnQGqT4biekS5GTGCytxmFPAohco4kprFhENULOAX/t53IwqqvKX5zmCy
BvTYeEvAtgplXbXpGJiT8KItnitUPVOk+Swcfgyo0qDQP9M2uk04S/y9qQNmbqKMpt22FjWKX7PN
7bNIw5F8D4asUbcLThCATOBfm2sWJF2y1fih6TYb++khtX2H6L9J5uFyasIpeKaOgcU6xKxIUqTZ
rJKtX6vpN1dTGO2EB6zRjpGUJ+XCBifKDtTU82VcReCqq1BfLVBIb7+DDWNS9xSHdgH5y66/pDMf
x4sWT0Z9Tfg8+lvW9+oqbrvRv/BUO+MbUD7VO6YTNRautVWHYCnr0hIZM96+MBBzvGsDEfOdv47G
XlEbOrGdNQhuENVYT11RHeX1wRGl+1JAaASN9IT2/JJnULC5pI3f6OtcVFX9DeUHFT1xkBj1W5wF
yPvwSdJ5J6Eq0G8qZ9bnTQTs3piwHkqba+KX1mumxw5Djz+QItm+gJyIfGLgoEKc52Fju6pDlpML
xD6Q7kB9cFOD1eJWWi+q8GcOutmnzEp/k9MFLQOJwG8NLNr2W82MeJ5gUaIck1Sg+VHHNW5Cx9vh
gkc1Uu2qnxFb+XqM9B5P4/JdxT7K7xZFma8CbUNVeKTTz76MRor5LNjDNZQa1hQzrJv4OsDsVAhd
aBX/yKJezeU8xSAckosXb1HNJ6L8H1Tcg7hrxvBlTJL2ny7niyy4x8Nfn9dOTwqaGGaB2kcCKSW0
XTDv9r7wVzV1K7RLshfecIgMCes/h4iGdv+PVTDaicoohtuScC14/tW4cs7qxbglf+EymbdyoRkU
sM8yX57WMDGRjlpwBvpNuNGjKnQtExSBULV9sWM6bNCRry7auAfZcNAiMB6FPVNgP277Q/sSxSx8
BozgQ77suEprU25MNvPqxeWDK9poBj5k5t4tyqxqV03BE8v4siMWgtSfn+ZJeRgQfrTI0CnDIxgm
x2Ji/WwinphaHfLUqD1fVqYNBDJl37hqE9ej+fr5eu87CShH40GFYleUJmjNgQXsqDg8iFCnM/LC
g8y7boMPSTYp3Oimy5JzfcfPlwJNyntDSTFcutAwRAWlIe11AAWuTcJMX0IZqjuD3D+xfPTpYSYI
fDw/hM0cWT6ZDML7lKqDAZ0pwmGp75ZYjY//9uyAgfEgohUD44tO1Lrhvywf1SZTWSfVAXO6qmBI
SZGMsrcR9d7y85U+2s/fKx3dMWs1Rtc8pQ4ko6BdQR1zE+bd788XOTG9FdzgJWvPzgOy/5hKT8+g
RefTrA4SOrO7vs3UHaWBfoGMT/hlzhy5/Hy9k4GOADRHGLiD6njgo59/zCE+1L3sjdPDYYEcyQuY
vVRT9jWJvzU9lxuTiO5CWfpYSWPvvYHaHelDjUpl2ydfXWKSAgyw+oeNjHem53Vqqbh+GEvNgedY
mQ2Pmk7+Qvupw607xHDQ+8FHf2scYnLpuvHn52fwwYdNwYoMeR0Evvj7yIR6dEfwMlt9MHPflGkb
1Bt0D6ozTuWj/YAwCNfcXzEjx3B0aUCnO0eNOQiZByg1Nb+cJOBMQQv6zEpH6JTVn4C2BM9OBhuK
MKV5BNKySA7TmQ7DQZKp2jZjG1ygiK/ukNb4F0RXM+STHLsdSD09yb4HTMXM3a3zh+CfeKL0jB84
mfzDz1llBPEl4dHh3oL3V9R2kRsztcwHFinhl1U6IT3KmUj2EnFIVARItIJtFej0gmu0OzbJMHQY
Qcc9u5/BZvMjqYwGHDeqwAw+T7kFUBLFhQrNkXy5VIEA1X6dKFCALHKkF50Om1uSKvpLhg25y+K5
cxsHXsDvJFRtVuQ9CrPlAjnXrxPegDtSV7474ytOnq51y3gkV/kk3OM/swl/eaUuN2NezSm6ZlA4
LBPUKEGSjI6EQSywYVnMfiAIMK/olbnd58b8gZnh66+j3LBmEHKcOHiNoT/mj5AeUPqA6FbfTomP
oRUdD5t/vRRIP8H062EICdOER88WpvubrHaVOci4CQviIUoGe82z0P05xoeT7ikABqvxYEQYh+kf
U2x0JKbgHFfugIbO1pEk2yL4tdvan//BdIUANQs/c4dOjhFSnqt2MKIdIMkQBRzZrBQEvtfH3kAh
Vbax9L8htvaKAL2qi395jFgKtyNbdwckxR/Uzl+2MmUBUVLT6ZCNqCpVvJ534xKBRyRIqzNf7NQz
YK01TEwRJsK1HtNPpQsKhlWXjYcIKu13xLTVvT/EtpRN4MrWTWzbaUxnuci8WOS2P4hEHkM4izce
t8nT5xv/EzC+a8Pj16Tgqg6R30LCIV8fw792vsim8wjvpoNAZllM4Fq7sFM+7dA1RavY+tlDJZYK
Gjh98pBOnbdFrh8/9U0DFoI834tg8F4+/0kfffYVKwNd0DX689an4q9fRNJhRrsgnA7j6PGbqKm9
LRtjfYXK9jkLO5lPAlfOypcfwaQBSIR63vu1VNLNE2SV7IGk0OIs0NyfRgAIcxCwuiFd7vI8Q9qV
jYF9yvIRBYNQxiDGiFuAAKRp5i8k7cH5OAQLOgrpJIHC8tJB/Y7YnyomCglXKOghu+1xUG8JKiVP
/kzIkxTMe/z82NZjOfqQsKvURzwZAlBxbMKBnSoneWgPs1Nqv4hJbvqsUmcekpNh7fXE8G08QJqQ
Z5+4AdmiBrA0ajlgDLXfEp0mX1znup0Ou+aBhQmEThoDwHij/S+p4P29GyOc2GLBDjxkdJeaZrwG
0C26QOZnz1zjk8ht/XHpmi0E6OeAiPT95/SDvjbcieVg/XgsELw0W6bpi65wx9g0t2demI+OPFoJ
T3ESYHv4w0r0l6Xm6GmsUILlgMYFGp+VFduO2u7Ma/LBpgCRQZULj9kqknMUSfShqTwedO5AEm+t
u/Jh3y4cU76eI7fB4P8/doXABQOtUBqDAMof1ORfuwpGApBJ3i6HOfHIFQlA+uVnQb391+aag3wm
w7sMSsrwWNyo6ShvCO2Xg14cPo6cyFvTQsTn81VOBjjX2UP8A1odePf1S723CBsHc6Zz4R8qkfZX
o47tY5bUmIA1EfpJDUp3e9OPzaWvk7xoh6g6tCidFqAvljc8VhrlLoQMC6plt2HGw5JkHHF47l+P
NfqeahbqjAmf2hTiUxDeIWaJ8Ncxb0bSxJ2qiO8fupryXaeBc1djxM5c41Mfi1Xg7zAQuVL2Ho+O
9WDXGZOq8g9C5dVeTF6zWfoKvJFmDs9s6NR8AZyDl43WZwZXcv0pf5mT8EKTi6CLD1mMMj9omINy
SvvkNo+0vUJjPtx8/slP4hTYLJbyElwYuILjqezFZyMgTV5+WFnS9mkdTxIdqyQBcabTPirzfNl3
qE39+HzZDx5SUBog0EfpB49JeIyMDGKJenZvyAGQrOACXsGQL51ObHXdwrq/EPCL37ZL3Y1fM0Bl
B7SxWfyjChotSpeQ/DBEaIuXfpWjAPv5Tzs1qfWXrYUU0Log6zkKR9mc5C0mLKqDAXLlG642+96k
/JyO1wfnDr1Q1BlAfoOK/DH3QhV0QUWMIId69uutJwMIXFBfozPIev2FJ5yD+07RMxf8g1VhWviS
eL4BVTzGvvo6rKjS6OEguSCXFGpZ/9S1CF6ENGzvjyre1uBWuvn8QE9NGsBIiOCC3xZiPgi+35v0
sGiXy9w1rz2i30tIP6LXLHuU6IeW7YW3jE+fr/fBB8zBrAf05wr4x4d8v54OiDcJbdUrbAwhIt61
Ww5Y3xmfcLpKjgdmLUOkMRSvjkuL6DnqoDdJ95rE7lcuIgjpDc25x+zY8SD1TpB/4nKigAnqq6OY
Hq2roAOgCoRdVXoLx5Rcp8yFBYvbeP/vDi30MbWCBAJBPYLsPFy3+5ffUSHKvB3i1NfGZPoaRA5R
aSmt7j5fJTg+tXUZWB8yPbg5VBCP3BtoQ4BOG2ELjs9Ntx37rOZfXO4Cuye+De+WhIpbNCfyqQj6
pPlCvH65zNtKTtd5PMV9QdALACLfBDun/JAUSHNUCOwNy/c290W3V9wbTMFnQOg3pPWnr7nL8qfe
Iz6CzaaXEKjsPXWuSHls43/2BdvGjYHG3CnQe6rbEQk2jm/2t2SW7XZpZn1lXHQHkMK5YeYPT/G/
q0VHFg5oZl6pHKuNxpeb0Jh406ZVfcZZnBjf+q3WpwhxB7h3jhNKxBvGb6IUhCKiJqWUIYZ3c93v
5Dz987lZnK6E6HPFia+zTqidH5Vb2DBS5xbNXqnEt5tJgqSuQ27uMHSw+ddLRZBzCH0fAWKAz/Xe
ziGvDWSstGBT82xwLdsZvSxt4it4+OTMQ3KSuiIYxCwDJljwmq+am0e3d4by1TCpqH5Vhqzsp2Aq
b4HtB8jYQLkRwkME6U/WeUW0qOqfKVSYZu7D+YYtrJ0gEBjVZ4KLU7t5/4OONk/okNRD6tWvLRp6
l7HfkAsqA4R3n5/xR8tEq79CTRjyn+n6Cv3lS3o/a6a+C+tX3lNv0+eNd49ZyPbt81XWWs3fGRxO
dyU0g/9dAwjkv0errExrajbtqzd5toylN96gNGKvAY3Pn00TIs8Mc7Z1SwdAbcXEmQ7I8VO6Lg8t
pbUIAIFhjE28Xz6NxoYBJdi+oguX3ggMexVwK+M+jBdIRoDx/FAzRFGf7/mDk3236FH9qgqYBg4w
a19NPWK6m856P2bTdMZMToIz7A1lTwwfrhogeBCOjjZOLBD2Vdu9srpjP1ogHQCUg1h9vPjjtpPA
ZDE/QncfdjruaUKSUoBfry2AK3Glg+9HaS3Ot5/v/dTFgrQB8vXBfyYlj+VCxADk1xhU/WsEAPiN
JGn8lAEfCCSj9G9HQ+Mz7u+D9cAviqokNA1AM3qs0VHLMeUC6eMramoOUnLpfK91aguaKe+2i3i+
+3x/wVo9OTJotFLQEMLrCPRBeuQuwk63aQhc6muV9n68E00TBwVIHoGNMlPGfpJ6zp5y55FfpoY2
OAd++4INg8Q43lw1X3oLa91ovJ2XMcLkpODJnIObCDNbHri4axDVYxQJDHadmkEFbbP0d2KADjlz
bB+YKPozKAzCA2Di8riSH9mYSN8Mw2suRx9wmGy4bv2qOnNYp6sgRwXiDvrC4H89me8ZOSQSZubM
a9wMdksJ94Bd0OfIRj9cBSqU4Bld9Rmyo+sGHu3ERAD2vSZukKWfgdsMoOdzPGwnq2BaOMAULFTK
8wjTEUfffYDL5zys3WuDlG/ncQfW8qrnZ67PibuE6NT65sFprtneOp/8t1Nepzp6j+XjKzosZNgy
FmGeJZTC31bU9LcitN4l8HqzBGM8qsZAnMkzEfPJhcIvABwUk1JrjAQDf/8LGrcg3wGF3CsYrKLr
ZZoX4KEnIK4aC3jHCnX//EK999B4d9HCCTPkl0iSYZLHluircRzqRDv0CbtnID7brkigiAtcdxxe
xDGwKYwv7blBLX8Nvv57jf+zLHwGyrGYLjytqgEYY8Yu9t3BLGH70KStCTHkMgGmWycYTixdmvKr
NKUEgN+QTd5lgoFsRHFCyX/XWfnzU2KwLmBQO4VYV/7H4/z1EAccKDMVoRZmHOQwkkm50ucoiHU2
H/9V7/PPUtgr0nlMtnrobByVhg1Qu1L1CUZJMEyzbzH0AlwQqy6ANT2XoB85yj9rIUuANSOrBG/h
Hxawv7YVgr5J9lZ6h7zjNC1jt9T3ragAq0VoPvHtHND+cRIAvW0Q7+UxMMcTDcullvrGC10VbVpA
3S4AJcQAS0g7L7wmRuk7FYMZ6j6nNb0Ciok8Eh99+ULBuh6zSA/fPzfP9xfyP7uAX8FE/kqHBzrj
99dh4Ulv0T6BeSb+kGKew/h3kT+YUtt5eXB29m4wRKPfmlBNt4tI1Zlc7H3Q/X/rhwDFgAceubl3
9MX4MhCZhM4dJj+BggoBzo0jYMIoSN+e8dYfLpWgT4QCJj7bcXw/WWUMMdo7RByT22NG3GVeyf4y
HzAq8vmprmHX0e3DI7r2b9eadnJ8qqEMoP7spf6hAcZ0w4G5+meoarCeeFkPWS8UN4wm+RXzwL//
+crv3dt/zhNCrBFYwFM42D8KTX9ZZduJdGoxYXKwUvc/BV6OLf7taK2GsksnB3Guaf7RqaK6Ea6p
BQrdJy2MVrFYOoIrh1nLDWaWsqthZtmGxX5/5naf7m0d4cWjnoG2Ae2fY1uZoM43cR0eogYutawj
LnZhrvUPDKBjjoozxZ4/P80jYoP1OFclT8ShMaJ8nOvRkpg3NdXEnXfIRD+luymLOr3F8BV7mPNh
PijbAWLNa15/naKwu4HPVTdpTEWp8SeeeUlOjQq/BUQO4IhGQIwL+/6qAtQ5Id5b679AWXCAnAQC
M7dg0DJA/QIDmUI+8t4C4am64OfnB/E+OvhzDmvZDG/nyphxgklypHU0MWF4oBmdrqSr5MbLAU7+
fJVTWwKYBo09FCRxTb1j9RgQcTiGKcf8EBDIDHs2Dzasn17pYuozpnS6ErAxsFl4b4Tz6Ca+P8vA
DrOBrxOv6PZC/kBEzS6GHPQmI9ycy2NOzw4hrwdFHGA5onXC9v1aDO15PYKS9rWjuXqpLVprAG4G
W0qBO+4n2t76GILbYpw3eiJzEsHtG3BfNQoQU8y4lOkIFDIn+lwk9MEZRABNRStuChWW4yqYI7rL
yJjK1zkTYpMPkNxol4HuA47u6Ocf9qMjQCcBOh8QHwV/+fr//+WVgHC2LI5p86oG2+w9p9ptyyL/
8vNVTkOtGJgsUKXn4PdbBRLer2KqAUQHEKB7nawMb3rUedDf9WYM58QcUwg2fQHe4ZxO2wdbg4Qi
UNd4PyPQk6y39q+tYUYwZqlbF53jsEwtFBCmzo82n2/tg2+FmHylM8D9x/8ebS1lHrF2ERo5gKxK
ziBb4xES7FRdnVOl+dNwff94xci2PWDoPATJ8H3vd5QAazVCCh2Vay+FsIXKTfIzg5j6dVjV9g6W
rtF0T2KDGS4/BpmCBCSHF9kCWeRyzlhygTQYAqGulwTkIPMUou3eOQygIvrFqI5KpV/MoRseQWre
1ztPJP5VzD0odSSgjII6FQZZwmK0KawSBWHvt8K0RVZYK/+XszPtjZu50uhfGeQ7A+4LMBlgem9t
lmx5/ULIksy1uBdZ5K+f055MItGWe14CQQDHcZFdrPXe+5zH+YjXEQmpmrUH2djpPrTqPAs9B2XI
X8pQyK94/vCOlEXIdWN4wT2lsP2TlBnxWitLi2oTmKQfjtRvat8nXVT2SlSVvdP1PqrXhBN6RMs4
sjw2pc7PTCgGEisqzodpFTededl6aNfJHoTpk9fXJuqcwlK3w1AQPyvDplQbvzXQaHYFENqVShtH
u+yQKMFrLDNItHmlRxhNIm7W1mbWmY8R8bn3XRSrH6WDypocTIjQXnl5/eBM+MGvm073vxeWzNGc
Y2lw7Ra+MlaiywSxca9Li02fp0hgi8kSaPzU5LhrE50EIjyqQ+Cr+SfaBwpA/1OvGnEukjkLL1K9
xK5IDa5JdJZTB3Pq9WipMoqJi6grnnwNHHD0A/bXDonu5N8XJTiTgnh3cSzT71ny3kBW9OdpMavC
/PXps9ucUVRwrTxZPA0OhsZIih/LD/Z198W9c+AFGutE7itv0+3//Nj5oXn+m2dzvrD8KrI1nppb
5EIm5xHp4gVwuZVqEEM7W3e017Ltzyxvv7lxsL6AFGVP4r/JNr/u6lyZPTOwaB5clI6AEyluucys
8TkRUXVbYbi8tiD34ucjKX8xW42vblf3je3IHeiReFMbXbYbpVMebbba49TG/rYtCO9EeqcuuGsj
jK1y8wjwwj6z3/5mlSR6r5snBhaQsp+YjxerZIziU5nJ2DwUQ1Nx922og3dLY/vn7/KbVTLgiEKZ
C5FuoDqzy0yf14M7Kgw7aonEeAyGYDNOPZKMaHQWPIrDyslIm8APlQqvv0VkWwNsAIvNM5i8g3Aj
d2PkXXAE/DSeGeS/2dYgpvnkQMj5n7aa148KLWSavZOLBy020RWTSWKjjpristcw0lg1XRi87yo1
vv/rnfnzYktpEsGn+cYGngQKlBcWD9IBAW1ZVklKKbTWU+LHZ859vx7siZ9zsmd4kPyncOb1LzRw
5wuUGxQPpWXlSNX7ZB3HcXYYbKmtrKFJd3/+ab+JjuDacwK/US9DmbQ9m0laJfPBznOi9iRVt3VN
8iFLh2TTmj3xSd0LP2t5Fm8bzl8XOLkkW5vE/5kz0XwR4QYK+YlyU8xmuDzNq3stOaqQkCGfNUUp
1pFAvLacLrwRmpG8w0I13AleESO2MdvWo6XOnCh+GVVESOgBbsIMYPL/p7n0YkbaHsb31SQMEhdG
+4VB/GzYdrlDQJUeKyroDsHQlme+868/mWMFCDUyvFxlCJy+fmYxFUHKkcN8iNqpvKgRdNerShfA
vIqyvc3yAYoBtn3XXt20W39q/5rah1sMv5ljGh3P008Fca+fP7h5jLjCMh/sEMDz6NjqKp1w0frz
6PpZ9/7yAMV1gspMcogMZtQV85kzkI9gwxTOA0Hv1lhFRcJBCFlycFlWUY6rejtq+camKvGL3SIs
BMsSQa/RiYSU67jMupsYjOrXLtAAR5SiQSImrLHEPTPpnX7VDIP+HtaLfylLS173RRhuO5Q37drM
kf2WJKdPEq7whzdm5WNYTCQK8EZON/hBC2vd1mMab+AjGQek8JW7on4ShVBk9dNXzRxMPGTLEL29
quPp0QITRIlybk712oXB9tEPGyQjoRnkB4Bh/tEY+1bfG24PQajg7BOt9DYY+5Ueloazwne3rynR
QvG/xXzbubKSqB9WFKZW78pSmPaqKQr9RpMOb69SZV1Eji0eVZbYgN8YuGtRxKiLp1LU3QrtUf+t
Rfi3x9kQimKosBk7tzSc1prXHw/pFMssXlCn65o3uxmqCFl3rZT9MDVhOMKR6rHezUobD0mWriOH
PupFjaFMbsM2C/ojcl3kvbXGeXrdNbFINmNkJneWpnmfKpNw92pQnv1+HJL+xqBP5EWRB9qZiUVV
9/y1bdQ8xFixbSJHwHL6emiDazCGrEJubKFlR2Yt0/5rU2QNIODMTzdpQSQK5fEJK2FadYC9c2jo
9/GUlg92qnLShj2gv43rRaG9z7uqveqitvuex6n2IZCa01yowoTPYViycVZJ0KjLTlPdtMZQPfH2
vewByOShnz6iwnenlawRx6yKyg++991gfndzZMyrBtBJuJpCT4U7lQ8ZNUdDj94ejhAUvNIs0McF
8J+c3TRNKQYpeVs9AlPScFkrNXHvDr0a95Sd28Z2CEJ3XHta5YC01cMs+AAcrRiJrvlwz8K4yz+A
dFPOOmmG8h232+g6pfBeroy2nL4GoRovTT8R4Tqu2uhaZh2UmGDUkMvoTTbdeYnMtE2UVdpBDm6p
tgBw0utIlyrcxIFT4KrqA3XZGJkMvrilhFXRtXm2xc7M/55H5XQtUIKaOyhlGjxp0hkPRWPr75TT
jV8JBYN16HWHFS/D2PjZziRaQBbg8K7ArKan3A73qssuL6NvZQsfa5WaE9wl8CdcZ7J4AC5jNenK
tbvmvVOKKljrbVNSIplL5zEbpjqk80un2iLo1UBDJUl6X+d1qV/rjQq8zSSHsLygsCXMd23RRs95
KAbt06hRyL2JdSOqN2ndqfE6rycQAxN1Lw+qwh3uJnAyLb0DDhCm39wqdDTq9Wo5IFI2Eq19b+lh
7oOSSKMyPcipV328QsTi5tdDrFODQi2s5h48kvLaumyi8mOKDLJdVZmW2Zs0ynSQ1RXxn1Upcrmn
PALMCTevEATU6FbPntt1n/1+4p8YTjwOJ5JWex9abrtzq6yxdlMYtldC02IdSXRqcgkjXX3BtdnI
Vm0kQ+CS+OIka1GbQXozhsrOV0BIjGFfdlkNJ0ym8jBYbdWth6yp+m2o+bFY61Ibs0vh6/kzAR33
arRTJ0U2ZzqwhQbDvSZe2TzaVmvXa1Iv7iVQuxTdpQq5BKkK1As8JsBm1AIlCqaSLiKWelsZx2rs
LfLHhOinI5nRQr+QdjpqW0Jh5pXXqtjeCK2GlmtLam2PoKjq95HqteJYdKLKrno3DpJ3zWB5KC0I
Gh0N2ZYXaIWLOlmn2pQ/xnHo3fih79LN1qBVqICsqFkZlfCu+YXWtNPGgoUq7N36BkKp9kN2FfXv
Y6JZ4LGUCE9ejml4PdiwXy5UaUTRgZLt4GDEHI7WjPYcY4HOKjFRsgZp7tSgkuLGrtw8WbdG2Iqd
UfZgKMj0gnVIS194xzqOpXWgBBD0W6hHSJ2ngcmDmqKFcVHy4qvSV9WjBzKDOlCT7OrO5BN/CRBx
d2s/ynswe2YSve/1TtSrmiD0V1L3obM1NJWN2ywOw2MHzcVbwfHJH3ujRgphxvGkb8TYsF4NmVlg
Z8J7bKogSi6dhPeDLmdgehXjNv5otYlj7U939Jrq+Mq9izL4cRfQSMtLEjaAGigdQ5QFEYULqJZr
I5BVe/JOK6SZf/RC4hqrFj7Y/cT++qOWWdOtuE9HFLoDIgrgxY3Jt7D1Icqh2T5ZXsWTSva+NKLP
amoo3TB7v3VZmDrDXFthToylyDv7WurQQldNMyX2piYchFWQDTOJoIfl6jtXjuQZO6CzmCy3GdeG
EPRZRDDAnO4ppMJ0qQ7r7tNol9UPvy2sbyzigMJKK7I/Z+lYf6/qjnOZqyUpPWt5cbkfMS154ONO
1brqPMVuV8bZvVYlhthwsJAmldkd5D1hn6qsY34l5/fOMLZW0sCetZNYVSsnTjysnbwp71dsKkay
KfqBOLYB2GI9pXmpbzv0lOPKk0EOiFaQxt9Mg2/ty4jb2Lpu9PCjWbptQYJKSz8iuHc+jm5XlwSC
WuzXOkBRXwltRv7GVEH2blCCnnCC2rhqLK27gpRnfkiLwgXekPCvQLrIK98tugiLLC35zpphi3Ub
QHZYWRZhmr0XTvaNJgaYE+E4gtjiDEkEq/MrGJL81IAwESwnokdh6R3ckdzPxg71lN3O0mMNhpnb
+atBJvYuyyvu50XJ+roaK6F/tZM8+ETeXcRo3WrpcPRKvUNnxQ77QmWYP+K0dfN1o2fJY5ko7IFT
xuKl3eWThE5V6rBmVDmYG7Bh6mvT4oDOCbqs011ZjBlg0wzqF0gRCVGtyBLrjkMdGLcqcKMv7jhq
wzEfBlms7bKOzNXYBLm9qkBFiJMKvuIWNkTMrLaY4MDpViy/1YUmHutEm6IDQDZ9n44JDE34AOOF
1QuMtgE8Ilo2Rd59cuyo+1bBi7kNBiOuD9KWdrRJqaS6twu/ek8NGq7cIqaqmfHLWTDnwr0rQrPE
frrWsneurz26tdUVpHoEi+mgNJlSY5X0fO1U+cZWGYEG56w0AnUk3D8B0IBufMmZBOsWN+mTJ/CI
Au4ZseloH0oTG3jcFG3rIwu3ncJMm0zYH+RquHZ2VnHrkRiw4DuMk71vx4ys0pDLgfXCTaznIuty
810eWeF10ukD2RfWb4m9fOJ+ZEFng1FtagNx7DLj/eiLIKFQNHU+EvPQvcvE94tsb0CKyVekDkP/
Q8FaO6yBwQzj14ETv1xZavTkXrbQmXZEzFtJUovE615NNpv9MMI1GWCFdnuOGsymEobMeBGkkx5+
swnzTccsNqrye6G7cA/1qZ7kTvqR+9D4WjquXDXF7y27NuFFDa2THyR3v8+ktyE8K+QE2oUL1/VT
nAceIU281Vd6PPbuxvZV+S1IjBywHJC4YQtOxESuVPr8i5gr0JqkXCrulDHGw00eNpXzg+8n9a9Z
SKkYTNNE1y9q1hkcRYLGzK9iVg0o2R2sL1E3gzhoTiqaCytXcbQbqqxzP1WAcq+gxeMcbdjS2lFh
YfyAwTE2G1dEXbbpGIrtRgyIuXattGS2UXlpV2TqZD0hB7TkZZC3jbYNB3B1KUjU7sS+qeRGJxiV
bBBM4gdmytImnhZo9dfeoACYulK9V9emgVXR7Wj3mdqXk9mojZf4Q7T2mcH6hpygSlm5zFGurS4b
nmU6etqaKr3ymzBCrTqOouEAMSVSfxfpRnc1eEEMt9AW4tHq3JEdY6yzbGePeRZdAUFJrtOCuPHG
CLnIwUsAgrXzeiLY61CWKLUIG+u3lEYPHNR9r/3Ud/FQH7nFQFDiZ4unqtK9G44SmrbT4BSMq7bp
vGHdF0Zirh1Wo1vHgf25hyDYe9s26lxrNWZN+8xFWb8HmNQ9sE5r5a7UkbAE9iAiqrhc85gZmj2u
+7y3PmuhNrX0O3eJXcNPu0q5q7JsjHEWbvy+8doVLbZ3Sk9rrhyi1qo9fKHmxm1qXe2UwYVtYwlz
bFcqzPTwssqM6kpQCeOt9SHKccMZJtPcGmkurnOB5mGl1675XcU1e3jvwYVah31tYPCtoRsoAaPv
7GjScc2RfVJ85QSWbn3VlmuEe6CeKwfJDJAqWGvrIKrZ2cxxZOdNmylat72Avo/ZWbuJalE21KQE
Vr3uAdpxq3CzKFvFo5gSqJhEuPdICodmr7emvvfwydWvqpKVJ0saQ7/KJsO8FYGsnbXdRCn2LKdc
MpcdXXM3eSvTb8rR1RfdGLMCkq6iWrps2qDZlK3mKXh4GsFqpz8JZk0SL1fS5Q+rMiF3x8yyh8es
Ne0fgT8F70dnMNJjrrlwCbUY61PTEuEXvZbTO5FqNmDZDmPtHh4oDuGZ5pc71lxF+WsqjO6makKn
uTErNT06YV02F804QFgP+xMXG0wx13F2nR+D1bj9th+DSl934gRTNP3R/oCBVmrxqyia3w4tLnsr
5YyTuzIhMAdXPmCzadPLesBKZRjETS4RJAMEGNj9DAq91Dop0jI5uF4Rf9E4sH/3wgjrWAirOnJ+
eGJMfUsjHZuaIn6GSSys+06RqEHZ1Q7X1CiP/SEMyB/tiYSqHzWIPY6nhXK+A6ELqk0J7NvZVG4U
AJ8/oc3SVU5h8X0Oey5elxVpQJYunCXoWy6c/NikeSjTzI+5rphJQaInU08B3HewaSnWCVupSfsd
90Vv5H5MaILNx/buwQH4qEdMM4LqRHC0W5PihbhUomwBVKyF6Q0wVk87wn4QAC/hghoXjSHGaJNb
PfF2S4vlx2Q44TJtV3gov8NM7KyU7P4p+0U+C8UlSrfISZq1YwMqOmhGX1hbcyApjlhcwMsEZJjc
tlVz6oPGMT4plZClYleUDyoexhsy9cO7JBVjeLSBNNScuirtBgZMNK5tq+y/orXqSWspTFP1bBRQ
76h+pwRIWdZjHydteBFMEzWuo9e6h1p49fMUgrXdmghltZWc7FhsgkGU91Avm8vYIi61Kl3gbKu8
zpsPYJIlGuSuG4lkaoGO2ZSTts47yCcemNWhFFzFqdw49Kbi+Eve3L5E6geCNrQwOFiLZgSgaUs9
vR4nw37ApsZDj5EZ7J/wwGJchGJukStPOe2wkm7ffZ2mEihD6XmCq2Sc+JcKgkp4aVo2YQ/JsUpf
qdht708GHR8nuPhXgVUN8bYtMXPYOKnnvQtj271Jk2p6Eq3W2Wvaqn/EeeY+DTWH51VAf32DINmC
Hk488wHhbmbyyPjk0Vnm1heieNGHrAe1xeU8MftVz/G/hfgXVLdo7yP0c6XG4lJR/++x9ABS33a6
rfR7MsmjDU0a+CfxDBmyjlTsyhwK2uLKpYAceiRGDO3ecpvuS6PS5MefA5e/hL5mqbxZ+iRzwWaF
3UAyDbqb55HA+wTmJiev18GIDe0zAfB51P91Fo2o1euQFYBVXc9CsmiuMjd5jiOa/kPzMkCM8Zlk
zZ9/GBnq108aNIIdZt8XT0rr3xHW5knW2vV7jtsAtrqdGdz/uSfn6a75T5sFEasCBnyLkc1TlZEC
pzeL5PbPT5inuuZPmIXSnaKKNNCnxROxntVJxqY9DurMM36JKZ7GA8U4VMpSt0Jx4Kzbksoh8WQU
T8Wx3dsbb68d/5rZxj/zty8eMesoNbVO5yuzeKKMfNuIp9g4V582kxH8+ohZT6EkNCAd8Su4kbH0
F+aqXeWf6k2znS6Cu+h2Wsf7P3+beZrj57d58aNOo+NFasVBNNuC+y+eYl/u7WRfSwJhe7ss9nl0
KLTPCLfOTKXfjrcXT5wlc8xmbBsv44kuSqKw2UXtuSTkbyfriyec/v7FbyKeySZFOO1J1/SdrdlH
Fyp0GF5k7Zn67F9yc/Pem0WyQ8S/iSfH4gkxxZGC0PXoNWyz+UY21wC817rR7tLiuTHOIp1+u0xQ
oAV75lRA7MzGO8HjqSJBWTx5H6jjuBCfkosSgweMF+0PhAqyTXoNBv/DeDWuzjko/XbIvHj0bB6Q
KBjdxPSLpz54kOojF5NoaDa+9aRHN1oe723r25/H6G/XjxcPnM0K6poLa2y84kkw44LuE9r+NdTo
M+Py9x/zxWNmU2EiwegJAGMsIcbu/e0tGO4N0KEzj/nt8H/xlNnwR6IRW5IgzpPwMJPgmJUkuz93
17mhMRv+5mhrVNDTXRX83G5LyMI4YSrWCmOtc/Kq3y67L37NbAJodobDksGzSn/t7Zxv3jfwyWfN
jn95in8SMpF3pgYSnzF39mXqqYxsc1LGk+mq4ZaaL6C1PYz5yU2nzRifSmvrLromQWbhuFTkaw6L
2fcUp4CNVDYl62kr1EoErr1pSq1fG5THURha+We+rXkaia8ScgE4KMwLyZKTskVN/XrlsUxZ6Vlb
h98pGCUTz31HZWsPn6t4TaQ1STZdbfk/xOkeu6pkCvkCCQKWKb3VeneGCiyAts5UXAZjOH3PEAaQ
6x+sAaNV1+yqCyoPPJxa/ICIrtRi4pentPiqNycfCbAFITg0Ubn9eTj9flM6VTucYGMnhcbrH+XV
ZFjFafv20wN0d6dcuQ/t1+hjcEfI8hiXNxjTnNsJf/nis+PdbI0RqegSw+IUJPyUs/O3KXw30nEV
ud/onGXa2cKs2fpCGTrMJMHhTjwkN8lFducf3VtK9zyu+ld4oEUQtJ/Fmb3jt4vai1q02ZgOjb51
KFvgnDd+mILPVbUGefbnL/fbhfrFI2ajcSzbVJDbZKelsA4nzTuNcah1t1nTf7WJYRfyIYgffz7z
L7lbXieUHLblj+4/T//skUQbaN24+6//fPWnd9Vz8aFrnp+764dq/v989Q/b//r519FzuXnoHl79
YVt05Fnu5HMzvn9uZf6/D/nn//P/+5f/8fyzlfuxev7H3x5LWXSn1ihQLP72z786Pv3jb6d6+7cN
L/+7iU6tFA/zf/JPt0vH+rt7ImUiw6FoHJ0vq/bw3Hb/+JvmWX93TsW4ACFPJXMooP72H/+yuzT+
DnjCphRZRyMBhY1/1payi/l3jvN32HMnsiOLI/JHVpufXcyvv/3fRYmOo8v//eeX7pKv9yWNZYby
IZQDs5lm17KEXhTnW6o9Pk/B+D38a3SJf7c8O6LkDqV6tqRltLNos6mMaM4tuG+99Ow6hpKgg+5i
ZduR8K9uabe5Adngxff7Zwf9PzpkXphXSc8swiw8pfut6bp0TIxTxtzdLGv9tHm/OJuGADLaPPGz
rdHv9NLB+qM5M+vf6JO5gW6Z6qkafdAokyr6i6nQ5SaHX/ph2XvPNgFUxNNQeGW+rYbGw6yBjdfV
7M/LGp8tVN6IVNh2VbaVmN4coqJ7GDDCWdgvp/560ePIaRMb34x8a1HBRRTvikDMYdl7zzYOp1CK
wsou3+bBPmgf8uTTsnZnc5LPVlX4PmbEvlvzpgWo+0jADc3+suZnEzP0e89PE5lv5WgdWQtxofEW
Nj2bmF491FSuFTneT1Jdlqk0rkNfu1n03nMCktOBEGhGuiU2H2vuAG50rs7xjblzWpxfjpEQ4xlK
+E0+JJozFx+/lY1ictmCMmckJ32btXbpUW5T1e+I7USQ6ZS+W9Yns3lJzWRJQUiVb5txzB9hd0fH
NjWD47LWZxPTzu2MsGSbb50v5CUosFjW7GxKhr5jkoul2aHF7KgxQFTZ07kC67e+5WxSUvDu1l7B
KIlUum8iUp94xCx989nM7InPVHXS5NveiwjNKDzlBl/WC7t7NjHjIg8xr2Jz8IOcBYXSJNezm4Wd
PpuaEy6B8IKnfItVothwzEeB4XXdslefc2JdU0oxlbRe4ZQr78vqLxXl/+sQMZekU5VcICEc8y3h
6WtBZQ9VmNUZXe8bI2WOV0TKi5HIZJOHs60jeRfxEOPeeSZ48Vbjs4lZuz6GZ4OVbkHDZd8aVyc/
H7RnqblvNT+bmZPQcdKyXSwT22SH37J9GKkkOnP1e6vx0//+YsskUU9Nj07HmNSdb0KnyA7IoRbu
ET8v0S9aTw1bx1tZhJsGeYWOrtDsnxatK3OlpOuZNamULt22Ep8+R9pPVtgvmz5zVVvRTSnBLT/Z
gh/aCFV9w1NkWNj2bGoaoePVk1WnW3JM9ipp2gNps2qzqFPm+u6OXPTYNLw4pisXwqISME+zu2Vt
z/ZNGCuFMB1e/FRgqFvFx1aI22VNnyIEL0ZJoSwv8LFk2jZe5x2JZ+FJpbxlu6Yxm5xZPsaUu9O4
iGH0OJvGXvjWs2mpWrttBPvZFgO7dWyyeGN+YiwbJj/jGC+6pE3LZtRdcnBGrdnrNtbRywfjx2X9
Pds2cypBChBJ6dbFxTHHzCwYna9YopbVstPbT3Hei7f3wHrgfZjDECGR7mufYwpgl736bNuknIVC
Z8AsW4rxLrqoQnLYTvfL2p5NTbJKqey9Kd6mYviuafIqdKp62WFZP8VvXvRIqXsS4z4r3vaWwqdL
Vx9tJzLPlNuf1up/hyT/tXHOdUohFbXAKfD0jIz4utA67j360C7blX9W+L9488DsNN2mEpDb4HMT
Hf2/Bqn990vP5mVrxXndR7QbDvpaD7SNktmy4afPZmbR5VwpDYRSA/lhQsIng/NFQ2TOEzcj26AK
lWIDPfHh0RXFVy608cLGZ9MyrDJeu3NiavXxSwbfRVm2aJYdgHTz9QAsNOJUCaXp2yr5GsQViCN9
2XFwnsXW9CpNI8uOGX1g3poKP29XM85ptN4a27NJqae6Uw0+rYdRdcUEuqM6zlzU4c7cp6drhkiT
GpNSRQ9sytkqRMKwsO3ZdonWwBikOI2U3Cy3OMx8aqPAXxSM+EVVM/SJoMqHxj08fXE0NSEiLhng
zlw2LR2Tu8PIMBnSbo09zqmCBV+vZY3P5qVBYLKLe/pb+DXKEQGiOwoo9l3W+mkEvVio0pTC61FD
JwaQBG/zAdpJhTJt0TnZmQPvnB4pkfJpvdSpJaW2krr+cySV349xdICzNw8b3K9ilkJY2jaGfPY2
Q2ywsNNnO6Yd+UNfx0BD3dpMN3icdGuc5M5JZd94dW/W6R0V210nOqZQFWKLmo312jqVni/7pLPJ
bzaRjHRKwFgMq/VU3brnSNtvvPacXdcIf+qiyIsRAWD1mA5Bf9cPvv9l0WvPQfHaYFZpFpesWRQj
xnmIqGLRIdzxZyflCPvXIatp+VTJOjaHfPprSJT/246Rqr0eg80YBkNNaesWHzGcb63vSp5lMr3V
27N5D6ZpzOHExFxLqIOLcQ1bSyWul3X2bARWtW/lZdkyMWWgVv1EMXiAg++yxmdbctzmroi1msa7
K1jvol90qEIg+rq3kZbJrp/kSdM64iKaX0/9dtkbz6a73viT8gMmZIlxLS7di44PzhxTXgCUb+O2
4Wziq6NrdEBX4s2iN/ZmR+OArKUfx1jVWJN7IYZra0zO5F/fGHdz/4N8tPRBIZHfUsyYYijSfixk
cQ7g/lbjs6mocG3PPMUnLHP7Q+NfV3W4bPmYMxwUbICugX64tcf7SG6LeNmg82bTEHNNrWlapiGY
7sfRgBQ+YWS77CPOJoqI8qzV1WnYlRoVbCaaXV9qy7awufbZEh4y87qgcdxYHyi4Nq5iZ0K+uuzd
Z1MmD9ymTyHCbBFo+Ks+Vvsu0qyF7z7bwqoITk5dcn51sqb+PIWldHeWJx21bIy7s9kTUauKprXi
7JCnd5kBwNMfl50yXf/1IlX2HmYTLSNcCOMQ56hDEpEti67Djpo1Xrs4dwyn6YOvrD2+G1W1bEOY
85nH1HIS22T6WIV/yIqp3uuWOofqeGPWz70FM5GhfLNYB8fOrMadF02oRrxUUnC1aDDOU9I6i0qN
4Z+766SSdw4K20Mee+dKaN94/TkCIvnJJ7MLdzdQl7ZO+87/Imwpl/X8PC2NnWqsMpm7u2I004OW
xdZtX3fdsrOPPTuheEIEnXnyVS+zk2xQz8T1YMKxWtTv87qzRhcjt2M+bKPZ0yV866e0Nu33yxqf
rY4SUyvLHHRWdOPeQY5kqGU1Bj/rSV5eemSYmwMkGC49uG/HVtgixRf6srHozhZGry7hNikaz4fy
ECfXk5Ysu025s1Ux900gRQXbRea3t7mvGTs3Hr3Not52ZkuihyzDDAvpbfug66+krhdXNTm8ZQcs
Z7YqunqF2Lqb3F2SNuise7s4jkN9juP0xgSd27dmhZGySXfuLuorsQ+wcj2GXTQu6/Zfyvu8qlNG
l7ADhUO/tpDcbGP3rM/zW+8+O18g65rGIWjcXRa08tBEk7FThFeWbaRzrrEeItZpitrd+bIS0B6i
aZOPabfwq85maOGE2EKHkbuLs15fOVZ7EnMZ54b7aYn6NUDrzAuvCg4YhaOxdAm4y4/epKbbtMWD
ASp7ukPQ7C5bgOeV4m4WK8wzPGfnhY1xyanp5D8J2G/ZvJpN2nJE3TaMJb8icIu72q6tY5ajaVvU
+tzbS0ObgpySrUlgQV+uKtjk13rnaAt3j9OgfREd0tvQ1kaN5vE9KXe15gMv8qNlRWpwVV+37hkj
ZcIJu/ZQx3e1psRV1fvDsruXbb5uPLeIHKYR22qG5/yF1TrqEOpAM5b1+2yRB+krgiJiXoGdqu+d
skDdXybewtZnYybpo6RWER2jOingaXgl2Bp5zoLujRVnXiWEeM/yytOsFf7YQfcoUbe6k7tstZxX
CsG2Qp85hM4ukjLeg6G3t72vZ8vClfNSIZt6PdR9rPRdmpm7tre6bWuLhQNy7v+SDATkZazx7k6t
NlABxCXy3WVFa78get2srtvUE4wZpzcPHAv89WSOfw2L9q9Q1NxtS0212/pSZzJBXXsXO+BMJsso
l6301myqCpCGFDoN7q4Zive1hjpAFra77Mo0d6KU2YlxPfTuTu/KpwzX66PVpeXCxmczNRKoXPXJ
d3Yyd9xNZGVyH2vaslrYXyB0lqyTKXOVuxsLPf5W27m1T70qWZSSg+j/eg3L7LSxcmG5O6Pztb0I
be9CGy25MNsyLx0qYi2ocJnjblBLBCM+oIHcU2LZVJ0XD4VuNyKWhP5lpgJiLtSotT+l4bJlZo7G
78OqSi2TqWpnQvuAKlttDPhk55Q1b6yRc52K70nowRZDsiG1fZkWiVrrAoecRbvHT0u7F9uqmQed
UBmzqU5MGLMiS3ZwqewzI/50cvzNuWlePgRJPinx+XF3EisfKCZ1e5k5qj9mZe0vO9TM64iUF4sJ
yJu7sw1z/FIZenMXiGA8Z7fy1i+YzdkEPB6ZeX5BE5TFDVSzAkZqweCvvUot22PnFvFx5foMGtfZ
oU93j0GsRV/YxofHRV94XlNUQLAw+I+zc32ZHCoDql7bGQuDv8bsNiWwdTa13j6B9fx0rxqA90EP
Y3TZu3uvVx0z4sXZ9pydHyUel5HQ21MXkC8qu8C463XruQNiDywodwZbc7d2ayZbirnP2Q6/MW9/
mme/mFkOaPW6sydnN7rxsC2KEYzyCQS3rGdOT33Zug4QvZ24CWptJA5l0oA/dKpp2WH7p8zsRevx
ScfiJdhpjQ5rJdWK/sHzz1rdvNUzs/MwsukhiVJOffDVqidVte7lEBXj/bKemc3YzsnC3oAfuOvw
Z9ia2hAcmi75awap/zrb/BSmvuiZXq9Z+DRO22nXj/9D3ZktuY2ra/ZVzgvgBAeABG9JSkopJ+fo
tG8YTjsNkiDBASBA8OnPlxWxu6vUu3ZFK6Iv+rrSKonE+A9rdSWBSfpjFEN0WQUgDK9/fa8r/H6O
eXw+QChAV/EtTQ+VpeTCtea81Gglo1QKUqU9yjEAPAx0c7N1wz859j7n5b9Z789rjVBFa5vkc1Tq
WFoBBAIUtRmEw/d93MRlJTUAnkgm/pP4928GUnA2gS0yFG2UynQfI2FbajqPdwM4Nl8uGkjnVUi4
tAGUXyFQJDpQTqKW1gWMm/SyY+x5JRKaY5M1GHFI9ihIeMGuPueo3KBPl333+K/DiGHAeLriPKUB
Qr1G3s/st9lcVh4IgdxfPx2y7VmugiXgAfZdWCh0GE4F1qC4uizTdV6SBEjW1gksPXsoz7fXhVf0
9wx29IUv9uxOS1GiNdoIn47y/WzHo/GtYZ0vL3nyMMv+9dlIFTtr4RPZAym7PkGQCu+VFt0/HKj+
/Yin2fl2Gw2RTIF02+soNF8s8WGR9t0/Ga3+7tPPtlseMFITpdM91O9Ddax4ODwZzAJy0Zin58VJ
BK1jIwDW2Z7NS5ZX6K77JISmFw0ayFr++uTbiS7QKA3ZXus2vuu7PrjJtEzfLnuvn8/sTws/CKVc
1TXP9lyjWw9+m+xFzKO7KPBHz6uTdIB+y3CJs31KJ3DSfY1OZpDqLhrwsGn89buratgWTpJsX20S
lVUs7n/WIh4+LnsyZxuuR0NDZpcIzz0h/hXVZqbPW1SGPl728WezNUlrmTWpz/ZERpMp2dZBApNV
mb8oOkfPS4lYAHdQzYdqD/JYeAvyHPCEwRxfNuTPS4lYvMDmrVS171i4HqbAVeXA2v87WdC/TiNo
+f/rix0aeGkpmpL3sTRAZ/UBuRpNl1325M9LihodNx1aoavPZGN37Uwdn1CbYi6brvxsuvYd+uGE
nKt9PeLgDbVmfGcUqHL5RcPmDxvRn+ZrU1dZz2tb7cGmDnYkJu2PXvXm/bJPP9tf51h7Aeon2TcO
tYqJbaM9s0iyXfbp0V9fa7rCCY9oCNnXWR++JHAAl8CJ6V+XffrZfN1GCWaW6cm+6v26W3hYHZwh
4YWv9Wy69orMrc66CqwgqIXIDHsliK7xz4u++3mtkV8HuX5mkvYdXIi3dUimZ9z/u+KyTz/bXbeg
7g0Qx2RvJ7u+RauQpyoNtouiUFAA/PWtgk43RrBMVXu1bRFopO1dU/XD4bKvfnYUBmQ9nPTgqn3K
AOIO4QDJQWX9J+DZ3xwMziuPAHBRI5GW7KkF+h0NBe3BRQD/X/bdz7bWqIoXwTZG9kZ1YjtO3Tg9
xVUyXrgGp2eTVfQG6UARk32YyhjVJM7B4BQtTXDZhDovb2pTyFAmiu/fBwZU25hXX2PaNJdNqPRs
ukq2qFXXWGoWP0/XtfftEejNf7qx/d2bPZuu2Kej1HOGVdgv3TFCM96rTBwIPP/51X4Ov//zQkjP
q5vGEddAPziy5/XCBKCzK6QeFcRRcqoBQ0+GJN0um7zn1U6oZOZdT1ey9zoFMFLEEbqXBn3hp59N
3mZIgq4RG5bkGDaRgAowTREAuOz4d17yBHY53B29EAftmKOnIGbJy4Coy7z/z6/hb97yedVTnQ3e
rDyYDmYJqz3yQe6qHfWFq8N56Y0hER1ggtaHQQrg1LyVCmaVZvt92Zc/m750Adw9ROf8ASKxuTTA
V5d9LdvLDmifQJc/n+vb2hMQ0npyoAtOl/XQucPUssvaxuh5BU5VZ4Abx6w6MK8grIhaknxQO4uL
ip7AqvnrlwdRmtdaGnElIxKoclTIuSdyhp76okd/Xolj9TQMFQeDIx1pAHYV0NlmlOKyUXleibPF
GQivQTRf6cVQUo6dGEEqqXt14eefzVm5qLiXC5+uHKzP0C/irSrAUC4bOOe1OBNK8GGHEexqbIEU
QXHC+CBj4y6KTYMj/9c3O8jFYVyu5KqZxq/eMfXRpU5/u+y1nm24M7et65t+PNqYdt9Z2I6/RqP+
qTIUVqN/v+qzsxkLQjvAduCrHWtvYnEN/OxahQeA8GOmbnxULyRD95Bug+uRDym9lQ6Y+gM8DL76
cBEMxcj+qXZuwOnWA9hreU02Ym4JTZVVBZE+TvdpAk71+6ScB4ctClYPnZTvk+gES5aE9Acm9CzY
t42N5TtZ4xFNZxtNXPgt/fwn4LHHgPQ/Jqufu5OqsgZ2sDpt1YkJSBi/LWqZliYfB73OT8E0Ld1Y
SA8bVgt7A6vEO4xWoajgaYiG9hdxxLitgHd+FS8VYPWThXOH1Bh0g5+r+yGEC+mmN+uWzPCWWG7K
kPayeoQkhSe3A5LCGwGeevTtYwqZR2jhJBABOL5+9Gx+7eYZrEa0HKjxmPGFs1wY29uhtAH4tvj9
9bJNx22mGXoGAlLDXD12sbrjEBhA1uJmmpibIbPR1BfOrZz/6ukYTncQe0zBW286GwWlDWEHEPkA
Tk46FyqqhcCPNVz65WjxmdNU6gka5/etC1g95Y5P4BkXMMhVgAmjIDpKPxF5OCrC+JJWdtyJCi6g
u9Yrwx5mwTQ+gTPYZVneIcHM/E5wbEX3rYYc4y6LNttdZbibjPhBFR383ugQ986N86Z7aNd+hI8C
G/ywHWrmmb4FnB9AaBiMUcQALBuLTFeYLE2AOWbrJsYr6DAY+dbHBkC8vEHpHBQhdu2BzUYMZGXA
SkO24fRSomgPlOkC/X4+jq9928HtCJinN+D9rypl7QHIqg5ouQnSI4ZMi+JVAotUnFH4eWPt3MsC
ymb9MlVssjOwA4DpNGBwRytIDCQWcX1MloEl3xsdde1vE6Rka/eoUt8gErIJwT8rktq261W74leF
B99XGjDsFuiFMMhD+KsI26kMtWCYE25Y+O9AizqGaQL4VDQ+TnxR5I1sZmFtMddbvP0MAW4hv2BW
7/oSTRRmKup2zPodyNTTqq7h8ficYOlk6mmHZvUhW8tagWu9XtNmiMN5D8FNAkAzyWoTBwVb4roC
vhlqK/cRId6wPPJe+Abg/sFUsKYv4luyzkO6a7WBlyWYAwzzeUob8zPUeEa/plZHo8DD60N/UoHq
0xt0yOvokU9IpoY57o3dQ58kzcmFMvgCJ2xHfw0O2nk4WfCDok1D3Et9CqZQKLZnKkMnfokkielB
wIOQbpDNgelf3cJcYOSNM9JTtxQrrTIp3pYag0re0q3OogayIbs2HUw92Vx/1Vgd6LCb2zVt6jKq
EjeculZ4C1kV4O/tBKmeT9zXhAR6+yBxJeYXbdMxa3NTI0Id5EtMzfZQhxW247LDzhCqonOpbDeo
BlBPNuVDgBzmuLcoEpijqzSwwGcd0EeZaOC3gTSafqM3bIR4SgD3YuDXMqC+8NxQDzsdtDVtO31r
lEFpxH7FYa7LCuCJJIwlWsHXmuUboVOAxw7UevDGsJRmj3OkXPIt9sSIKM9sP1N8N2cd/d2ZOR4e
mlrz6W0d+iHsc7rScbmDXyZafzhh2w4cOB+MzaGrmJ2Bt5pGYKjyYIGKLtw7kaSoQZB+jmV0I20I
4wc8KwqgeqiLqhhFCl1EdPi2Ls4HuxTsUfp7gUGCdEc9iGzo9uAKw9IcBpGe7ybbLjCfyWa1254h
y5I+1cA+BO94rWBs53zlrOkhJYAW5wuYgFGKUq4BBS/4N6la3Xsbw/mF0QytczjnRKg1Wg5yGg2Z
gCsCuv8+qWMylZFhW3AMGmqwX6QJcOo5mVz1y8vO1g8y7dxyP1QTiw54NoL+7DjtYaxqOePiBRv9
0sq847IXNq91r9yRT3SbVhRtcwc1DJJPSLAXhloF/0u6dIt4oVk4mKtgjrR709CDKlJMrKml2wHj
PxlXjG4N7MMyYZ251W3dfVJ/giYswhTFaqXotoz3uR6G8CGtqVkg/vFN1OYjdWsHd8aSbMMDzvYt
UhgzGoLb8dqn45buXKjH9RppRALrD8QqejmgJjmkMAcgNgY1Xx8Mvn9n3UobBh137RCcrKeZjm2+
1MANSaAfRH3fpp9qvq6C0uwHyGad6svNtiZ0ORp75jEB+hqf8VXzNNP3vZQtgNR10NaSH1RoZx7s
QgFF5HU0qED7e8ct9FhFpn0kttsY9rk1yqfQdDOqE4wPqqAcIgKqaKkSvFwImcbPy3VutpiMD6Ph
OgUS328+mnabQ5BP5WZmQvF7aHrFt4oMDEeCFW639SPEbwfeHj6T1v6icM+g4m3VoXJ5R1ZlruDL
cXEhSFC5KQeo0PHHYAnRmCCgrYdvCGkhXOl/N9Vm/bQfkZbKXrACBlGTW9pkZB9EybIkhzkZrWxz
perIv/tpG+frKpI+OLVTurln1W3a3tLADwbmi0lC/oWzBVCzFrx+zMetflmdxgApIm1SWGUArDUN
cPJr1K+vWNVb8n1JfRoJ6Pp6FEGINovrjzbr1Pw88yUeBDDgcQ2v5dQlU3bDggl6nmJZBml1AScO
/BherU2QlZmF3NpCLInV6dGR1GJJpnSi6kucuGQ5VtlqkoctkBBTAIjSsA1QV2OE0sWMZ8LBJhUx
SkhwJIVkSMLjiZ4lUN7j7imDbVXJfIDT1nwnq7PiY2wrqkc0e/Ru8blFqr/9lskRGBqogro2/hra
rI3rfALrN1B5xZcN3tK1BqAq3OlNjRLzDVR9z3LbUd9es8TOySMyv3H21GxsgtzFQu80IQibTI1C
+Au43zpPNiiqThzStvYVTiumfqZRM0Y+p/Cqh5CpZXOY/GyYwDaQRw18cl+FFxW0D4ITnH3ydYTJ
5Njruq2anMYonX7VHXxDMm8s7Ft4gBAGYmjBs5aKA2twjo0K6Ih4i3XQMhKieQGAGaiXzIxrcd70
3VgdoabTeILSr+ENzhyUv8Yd1sb9uIWfjDK1gT/35ocYCp91itwsc6r7uPrWb9mgH/BVGBa5aul6
fe2CQUdfkp5ykmco+wvztFfLUJBMmrArWoD9qsehoivEfSt0JfuN4v3gwG2H7MXAKzGj41EL/63a
0lkuua9J3BsYVYKB3sLDRYKHwLeobMvHKdvghGtEAkUWlljoqPHz/SBahl3DKujhA0cbKndxpkX6
oSXQa5CBwSaKv+9bZG+vWI9d6uvmqzQ9rS0f2JuAtYf+3AY8sAfY65i9r4c+tncrqmbqE+qsUvTy
4frs+MkoSId+h+Om7C4IspTB2biE9XBV2bhd3qCWaf1TjIrH+tE6Ei9DPqBP2b/KRsvpCvnY2oU5
D5J0eJ0D5Ex/bT0w5RDIzXZN4LNHktA9y2yKcKCH4H5ksGq0roF+W7Qd+k6bmoAsHFbjwj7CRbYM
+6sU/avDIoLng4hcw/AMVlLhLWA+T9P1uvXd9iNAZeCDx1WL3aQLmdHdbJbgyzos6KyAFanJXhr4
MyGCxQ1pZrdEZlJ+i4Cuau8lghDRfm4xD2E1njAnC8kgMEXrUZjFaNAM6YetBpI9+LaaV1yeHAnY
lQpAAToiCc3N89BFpn732czx87HUS3+fOtVByDJ13qhbQXy75JGonXqLVxwj83FM0uDYjmKcbuag
XmP4Vxspnz8VT73MrfRRf9WNsLphFdDx64JSr/F+qayVB90aArumDRQnz/UI79uH7IyDanOOpjVX
qM4Lc2yLKUZlCI9SGRjbBjczXarsVY0Khrh15mwsw2bh48uqKOKReMobJoHeUoOWsSXBkewBJlGD
0PMCP2K7swxCsNJya9JHIvQanWYraHrVbq7r0Gi2Zt1d3G0SgtB+w+rzvGYe6tZBzcuA3UZUOgeY
XC/XQeDq5BGQwN7KooILyIgdD/lCHxGGYzADrFZiJXQUmLj9p4kxOIy65+kuGLUVGq7ElrodKBC1
usHhM7WnlIsw2fV6EWLfxpihp35TSbVjdGtx2U2bcLqprAw+SafL0MjrpqcOPki8SWmOgTcLVIO4
73Z3FpVd+rjUG3KsSQ0rl8gXfEPYTpVokruVcR7f9AFSIiVLSDviy6LHKc1jwbfgupoT6JoFuNL6
bUnDKbwPO5yicYFDH05yL0Yt592szWxvEhcl45HC4Ig1P4R69wgDT7jeoD0VeIs8aQ3NvsuhGdc9
bzarniVmMagO7RZOhznGpeY+sRrGuBzQ0rSGoyaKMii3pIq2O5vgQYP3vpA1iNoj84ISiJ2SqlFN
URGfZkB6Rgnkh5cFOc4Ce6yfQjK0VBxX7IhAw/TDhBIb5I2/X/b5Z3H5Kaowr+xcH7s1mK6RXg/u
pBou6y6AgBmhlT+lL6PeLCnOSduRDbXOnQ6nZ8/H6uGi737epApu/TzBEuiOU9KEp6ju2q+fJ+Z/
SHT9UZr8b6L+512qwoWz8L6Rx27o6rHdUWhy2zykc3VkKHRCfxZIkaI0SUQw7GFDY3uoV5uPJpO4
a7WDYHcNBpJBwBRHr20t6JjNkGNQqJs+/cjosSvp0nP8gR6pqA7RNMBx2soRnvKuQwHtLclSpU/C
NmGNYa2REws2D8PTf35+Cd7Cv/uBZ5FFVGJ7I9rVHbMU14e9nWFBvdJV6H4PgQllKUFo+adc8N/E
7s/bZtdJxsRqr48WUD1y6pohI6yMmzAYymyAwxThDqhEWYloAuFLUaO6xOeovwshWIJwMoBcO4ud
3oXMkBl67ErPV1kfR+wmsRWRxajQFrbsqJEkWxAQmDul75qoS3AgM2ZcuAGKWcMIdo9qRLfcgRRT
4/Kgaz6dPovXBlKmlcStete0ZJFs162wjZbRDI0yVkysO9FBJiJaD1bMoXvuwaMPSd4ltq/XvOoq
0L5wm8X93R+mmIUIxEyb0HURVH6CSdEBabTrBVm1PVG+Zvau54kAbEw67VRT/vFK/19A8e3HbJb5
47/AxNf/tYdz4AcO5er/Azz+Z4vC3+Px8wGm0+bHn+H4n//gX3D89L8ponNZhls4dGZwnP0vOH6S
fXLzkzTlLKGUxZ/YwH/B8fGfEjSnZ0BOUQa4/mex9b/g+FH03xxIlwRqnDiOgs9/dwbD/09w/CiO
P5fe/z0tExqxkEHagXQji1OGYMBfF08Ak+YI3upgZ5cZduIKN+Qe3fLRvNhbbJmReyZ/3M5w3cd2
E9RDskE2gpvxOwOs/l2IsUq/m9C0YqczQkwB34YHizOhIl6K0W8S6rKBqEczZHWzxzFPohPGtGhq
RdYdnMB82LwK76eOm6zY1hEuLTbHbLoJcLrmY9HDfIxrYTiyW9e6SeEkO7MhhguebSstNjNNemfs
5OVrhx5TeaSwKvZ7Oqfut+tH870Vc5TuORLmeePTZAeqUFsiin23gpXwPC+9woRCLK5ph3u4BvVO
QvGGP21ecV8dfoJwxEpt56FEC/E7WHjx9Ya1RQQC2voUDbS1wXUWCropHxtgnz/DBgdAVa+DkI/X
UjJdpEKafQhR+9Hb7JpB+3ofSyWSsk7jIo3pg/bwjsJ0PpWNd2JnUQx8t8kYISTUFH2a7R5QtJBA
mzvfsWWtj6b289Nix2THreBH3KyjIvTM7GNmPhAzRFfNlN7jEjIfJ0tOyBz8Dol/iJncCjYIsp/X
5qVb7HLAxXPbp74dHsIues/alhafBmLYk8fpZexB8ZdRr3Y4W78Twb8jHhznGJfDIQm2n3FSk/sg
XsZd9OmopvMGHScSJnk0NPZJZsubxyR4HEf8VOhvISVUonqBAVR+B802u0IT6bgjOlkLg4N3EYoe
ZzqOdXOFcHatg19um+RrZIOmzSeXLsnTpBp/RNd/FZ+0tSb+VdmOpxiQA4F/Le6Zi2AOjGm2Hxtm
zAE5RGhCo43yXdaJqT7VC0+fyGpUiNuwJ7ZrkV6YwK8rYxtyv9xyQ+vkS+pNxoGyQ/yD8d8wvxrv
b0S66Cz6UlNBnEAAywRhc9IzG1WJU66dDhPrARCADnV5FAHSGdd8QIgNm80cPuGqFP2AMofDVLKt
V0tbTw8hpxlYXNhjmgioepASNlz8TQUTdWOSNwzbuNjIwuEETxgi8EFvrmqgVW7nqh1/I1RuciXU
gHg4NBonp4S/W3CY1Xo3jFVH9KtuKrRSpK2sCon7RCGEa+7CNf4i0iEupyTuC7So2SbP+gSOe1m1
GMUch1173WO94Cc4eP2ICAbCstuVRqysQD0FuXZhF1yBvLTC6s7ighLid1kdjXndVJO+0bjSIFM5
4kpWarVWM26ZaAF9zxBwhoHSjkvh6sqYnApRXS0VEbmf9Es9D+w7cUBy8d7WaIt2xO39MtZf6JD4
Q0oQKchImO0HriBAm+BxB35tLOBxhgG1p9CCDw2A7giAVUZNx9AxAusqTMSyRs9Hphr50LTbdvrs
PaUS0eO45fcwljfXczWq44giVfRc4e7Jg9mhj4bOb0PvyfVgXFy6wfBbvrn2h0CrTS5XDHvhNzyM
GCFlyj7/ZKsh13LAzHLp+EHrEC4jOafNNZ8tPwTDzA8cod4jzu5B0S5sgxl3zCCvzfjdoGhcDlkb
XAFB2l672pFrTmP60jBg7JDBgOZKg9Dut/ao63V6CjBP8j/+l9L46Yn6iudB9se3yl7FjBUrdzZr
khKvA//fxsxvf7zBQY/B1bBuccmjz08gCWCn66wQeKh/SAjYr1dHyWkeancUtVqfuccjwdpb3RtU
ByHWqruinsfmqKwxe00T/D4oZ/cIs2QHtsgtR7g/PuLS3iM356P7KbVuxzuMnk+dYYHOrW+88u2P
P/7/Q5bUX12adAep8RfBJLK7P57hIIb1OVh7c+Qzrddb0bH6a4Cp90toxm9VXMe/1tYED7pL2x86
7VSp5639IZd4fkMZ6fa+9rYv+xTVhzm3kMMinpl8g0x5PSKdlD2naMF4mjdFXpuxRpwLtbN5G4Kn
NnWK37gQtbN9xN3vxuGQLBGzvc7CLSvCWWUj/xozlpH0OFaIo8vPZ5xE0ee5cujsCdzbsa0RhQhC
McA0HkY1YnPjYk4U6rw5hwZXHgluQM+6YfEJ9itwmFxyXw3BE2Kejz5RV6uKt3Lgblczd4g6fVTp
so8Wf7XE8fvI+VAEraAlF1qdghTJvXrk9y6eMNB5+IWL7attsuGzjwqp1QSBM3jg9AG5YdwH7ILB
hLDwvpkNxH5CQ4O9sHFXDTxGJBXRJE4asRNNFuSoDKXXOkbJSlCrpUhsA2+nShFDE0xczQmGuHYJ
BO9emx/pFEYQPs02r5x/Beq6wfMfnmVUfV/m6icDda8MFXkKZzfdYS/JCuQ81FUYRv2uhVh151Ms
xQvyTju7ceQ4jUxe1oGtZVRv+s3XyPakNiXXc2MJvICo2lO4dR8SXR+Rv/VYuCn/vQZ6v/n0KkBy
uAexGltWsz1qUy3XiCwddBWX1iVxOfpQ3keSpLcjW+uSOwMnNSTj175TQSGlAQ0qyRDqqV8qhQwv
cZXP3aRPuPR/ncx2GJG1zJPOJgfDgbiYQvmzoY1HtuQzpzVEM9KXoFwSqoMy02C2z02IW1for7aF
TLuFpf0uyFakCpOsINTxvaDDkXoblb5NuhvRIfybo8SsRI8j36muxjLIUnKywbYibbigO5S0BzSw
JLslHI9I6WKtHuoCGBX1o/VILenYxA+w0MQH4SwU19WUfemR4XwMdYIuu7QLSsU7/jTMaXRAZ1l8
JWF3G3LSNWspet2UOghT8EdSqkDLD7OHSsRHnAZ5WzaZg5y8Q7IAg69u7jbdd/dZF/Z7rNUo4Qk9
IqNIcc1fZ0+TCVVgzXKEsjcrcSDlLfTJ2EYSH5lTmlW/EDD3dxVCOre44HbFIGlY8nHsH5pgGooN
qukj1GnhrurRWootLzFlBSv9AdZNjFdqa2Tk1LSfg3Z+7kcJRrkjw1AugGt8V5kiB5DI5nKFCbjY
oKM4WtjHTz5u7b5ZJ4KQEpdHpnR4HSdteuWwXv1alwHZxbQl92CUWwxTIW/CbN72WBfDo02oR/h8
dWsxoikbqR6KRQYNgbFH8gw5F2yHKXzFrRl9KRriED5P6uym2VJRpmO64Kw4jLdDM8xlKyVicMg/
5WoN5iflGolyAZwYE44WsFGm/ruNiMnbLmpEIeZUPOJ24MqU2W2HrB4yHGxggEAv7QE+4y7JaxTG
7RaPFB86B1ke4KReVpvzX1AbkD2Mlf48Qq9oRJDkzqEa9ic+WH7JHLQ/ZsL6bwOzvdjVH5KKmjwB
O/SIFNIpdp6WifT+Q0R98ouPaXAgSYrMk5BlI2N61bSIFLKqcocVKgFsiMiMoFisMjgfY0/ibfU7
63uUsXdpmmNPfjPS6dtwboYHKlVWODiP4SKRu7EO1pOaZf2c4chYphFrjgkyVkVscAA1fkl2rccH
8VT9xo7+uEUz0iLYyvIs4Hc2Wx6rgNa5i4CxxrYcgdMzYzepsrp/QKq4QWJnxao2relXtHY/tzja
n1B68SvNlp9Bl+DsxUhcKjlS5KdDbGYi2hKD5VLNexu174lrs3IR7Y+027D7bf2Qh8t0P2OO5ZJT
mnu2YKcd0QyHo4YuBE+iPJFBh9t6sO0Qh73tlYpuPitqDmpFyHQNuvo1oDREyivr+LWIsR4P4Orh
qBwV2Wc1xlIPbr8qrKMz7na5IGrcI8n2gyPheoUDl/qBRkIsill38iNw3aQesquKNuMDqjNcsYTd
dI2SQIXXFEFV0WX2tATrhnyMf/KKJ1d0Aq+4idMot9p1ZdXRO8WSH7zTL62i0T5I5YaM+8KKUCZk
DytkIvKggzw93cZHWOH6AqyZz5f6ETc8zZspWb4A5rrC+z59ILyEg+4094BnI/+l4UJ8iup0ebBE
QeyK9FJ02kg0FmziLQbbUr0im05GiF3QeO9wWsph4Z6O0MbTQ5aibAjp/Z9oqZGFTBZVUODbcz1H
1dFiq7vqYvIsh/gYEwRgKuqCKxM3yb2VEyqkwg3co16cwozCCj+oDKtInUEmitTnSOao6Ba9HRwe
Y45tO1ZwlC/iCAU9hjNO4KVptuCxQq78q4P4I7fV+uDhHgy3sXtRbs6poeOjJnH7DM1ndLB0jr/h
XqX3KC/9NcEKekKsCWthOt0jIXK/BcNdn6qD4zhpKQEKMFIi6iiT3h/DAfRKDNx3uTY3AZ7r1ypM
gMNGzqZpkV2Gey07ScQB87nSYWGY8CXrYCKyUScPzERRkGfIRtw4atSjo9wAC9ROha9QziAjGext
tpkr2W3VjiqRXdtK4HhGvqeqXm7TzAIA3xP7UbV8fkU8rS9532SQEDuGhupBYLMcq1foR9VdBx7/
YUtYdetCgi2s4kGJOqoOYTiceSo8zAS86i8ujVUJoCC7b4ZajkUCrm2Bog13ywzA5Aou01sWR31R
94u5a7E4F8i6Qbbn+wkRN98f5nFF1C3ELb4AKuSXotlWtmttH6CyJ0DY4B6Kw0qSezQx4uI9Le+0
piuOb5EvuzAByzDra1WsxLzXFhnkOEWdEsB40SFp2HKDnN0Ph3zZN7Y5ZJ2Qezs1bPof9s5jyW6k
ydKvMtZ7/IaACsSY9QbiqtSCySQ3MKqC1hpP39+tf9qGvGRnWtlspxbckFZxIxDC/fg5xy32P0JC
oI/XdS5iv82W3KNcrH+sNNnt5zaSz0Uv9Yd4GqzrTDWAC8usEZirzYffHV+lVf4wYagNL80xd5VR
fHTTxDm4VmMHGClJlMDtdJwnt/fcpJ25Npy03TmoFO6ZXRoiXbi1trM55WjO9tOWWZ86x9q8BUes
0RsbS91XVbWFqTL6rzVFT7/KXBa9FFHu2TqRyDhW1FEoYHt0TioOQJ36VeVkZxdTciiiDfVgmcX0
1LtGTM6eZUbQ1Ob6mNSxCMmF80Nd2RBI4my8JkUdwlrG8jglog/Gbs6fa1XWj3Ry5hmwuGdvWqpK
hxIezZVZ2/ntSKO27+uSc4+XLfSevIifSjxavAINcbjUlvY6UAM61Go0veLcFqnU8vaT3lrNKR21
hF6pebbsRMvlMuB4+0Lh+YFS7I1F8h8n+ueCEtAHFzjLzw1Z7JqZ2LVSUbvfFvtD2hZ2mEN7eG2N
or3O48b1TDGnH9tGFtdjRhAgxPalMyDlZUW07iF0bNcWpFIdOsBVPCfbdTQbMxD9uBzMfBmIJkbp
JS5HDuuq/mBVIg5tzSq9Joq/1YvZh1EWfZ1aSCVFV950pF/91td3nVyqB+mszl8RfHxKUDGUYSK+
B62L0r1Mxy31YBY0n6vKLq5ZujSQkGz2cjVUoOtJ/yAJxunoqswDojwYooAOPpSfQnh2OzqB5nBY
zmsErUPRkZcftFWSA6FEoCeOHWxJi/vHisH2I5qp5YD/hUTgJAZf2eW8V5XUfNW12qtqIsvX7S0J
6jYqn6gYLn6c0KWA9W9PDeHQjuoCsXJmzAN5j22wCc2FEmze4nZcrsa0r80M29kham/zbIxuF5XT
fzZZ4a5QwPxcr/woyoNZD87ROgejacvHjbAaT2ChfXAG0pOkW4ZgRMW+r84ogR6P+k7LeG3XXD+q
Vh8O/K7kqBbAJLCG4saaim4fW0P6V7GlxZcK6tyOimFxkHXZ7yfa/37qGy4fPVYdvfEqWEyO0ZpQ
UTf3i2vXeZg11XjY7ME9OH1V71Zgm9dCH9cwgwCaeOk4iO9q1KuXwW16GKXpqB5xtNHv2i3Tv1Vq
oIg5uZ0/0OTvxwicFMQ5zbHrzF28cc2qnRpBaIyITamSpXkBgoq+jlVW30bZMPjVIGtKihASY9zQ
v6UQA8zYym9nrMYO49AT2NhqqT+vy2I9GgstDKwlWz65MDi5Qiz365RihNNo+nTIebhLH1M757HH
n+9p6iMu4bptKDucE+1q1U71IjaYqwl8zIZHqE7Imr24rHTTs2rh3uS5m15B2Ey/mvlcdOdnJ3ao
XJbZ/dBtMiggGTSe06dYC/edvDUd+BtX86bSZp84Zg+1wwk1Y8gDq5G9CYMi5dHJxHQFzbmlmuoK
crW4VXfVkslH0Lb8RkCi/1IYUOogIpWp181b50+JO30saeYV0MNUfevA3J6t2ImulDNqeCVqxs5Q
8XyqU2i3o1lRx8c96sfY1DDj9PS+b+Pp3ijlcqqjEvyMQi2tgVruxny7UULF+wm88TqTefSg8dkI
Sld1byylAOB0XB8BUHPTRHp04m4tb5NcmGFpt8sdx2Pw5BoP32l6zT6Kv5qG+gqr7MkCXL3Wqurj
IKKn1NyIhyZ9CmDXLoFkm7iJ8b0sx9E3TPXZGbOwKKDTdGYZXwEuFs+DsAyiICPQc/nBmZvUd11A
Q32Nd0IMpjdbuhkITkNorkZgE8h6WpPEflIYhkfPwB1lxHUP55YrvpkJMNfmNNXx8EQjBrZNn99M
SWxw3RXbbsoq2jwJwzi1pjEFxbC+xNX4WrcKZqw9hn017WqyUYge+nQjBAhiFJUHDvjmpUKLbpph
MAK6jFRXUq/kYREFTGVjJlxDyBrEEFB9Ixuyo+M4w2Fd+nW/dliE6Co/1V003JAm0SNcLNbXSWZZ
gAJ74awZD2bdzocWMpk1malvpGa8b7rN+oFTaffk5L0WbjnE7BmPKSKFIvNNuEuHOaFZi4b3HMRh
2wjJrfCPlWN+M1cK7BVS9+y1NgxSN8teR8x2A9iD+n0GTeMmbbUzqXEbrZAnRd05EohXpdNzmRYi
EL2MKBzOpYf3L4wy2yx2rRMlD9MAeqDPUgvg895sMRF9XwDfjiN9hVTv1DcVWNIOW2jyKJMku6tZ
e1e3/c4R2gkLEGbGdnheqvVRVYTK6ZRbHnEnUV9Ldf6cWRkqmcLW1mlcay+naDSWoJdVcztn9RGu
/cemj2+mRvveTBSBtdSAErTK9FaPe/hKUDDPLdT8WI/kAUq4E+ixS/Rnu19dp+/IVqpXIJ7Wn3SH
3QVl+7jCkvCb6By3l8auXsB/t7EMNRyoH6bGZAPM0KIqGNA96YRPg8PWL7RJ83Jl1q63zO5dwuH2
LaNJwynLy6MLsXkYeiwa6lfIr7a3YqRTr63r51b6sc/SOiR9iDyH8tAO+mi/s3Onpbqx0awu7W6s
rH5e7Iz3rQOTrUznulJ555kdFQMsCOawNeUSbuWS0rm12TmFBbqXNL1XRzApjS43n6XWfxoVMJ1h
As7Hmlx4MaGCICvxs9WdEVC5/ZXlzh/6VaWAW7W+Kxv9NXPNmKslnw7OqJ5rh5CrHczlxkigUmER
2O2V2Zinxh4fpdNQHVmK6Ra5ZmyCAlBjV/WS7uxq3aED+Dwl6smOgETgUO+56ccgH4yIu7dxj+OS
68+Ej9k+Vd+wxDPB7yoAaF09E0d+jNPljkSjhtBdJ08ppdeVes5tLqS+GzEZvbE08V1GsG9UE+jp
5gnMTfaq3arDjCndyXSXPS9mwZ3GlpAinffrOQ2AMLkrrOb7NJTHpDY+RG1kBXWuP25ww09ZXGbX
XUlmq0QWGKr64qAg97qSvEekE6UtyIzHHHtyb414PrTKra63LDuRJcWnWerN3tDEt0I0z3GefplS
uBVxo4lDThOrQ6kKKkkErFfxENt7k1AN/nveJeTV86FHnhGuzqbuVtP4bpZT8YS2ZDnWWrv6+JU0
D6aLqgQPijqIcYb0Sd67hxjXxn1VjZ9QCpXp9RzPQZo8c6XPx6KcG88sxnVvICxEZFDHn5ulEcFY
V2xxvc984q7jMGcZs9Gwz7GnvVmVx2LePpWjuO7jcbeZy+K1y3gqcnjRIxswtSNI20X2aa2tB9b7
uJhWaCP5MNl3nrm2egjquu/z9Gnpo2DJKP21YxXdpwn/aBrLq67t10Drm0cqbY/m0u1GIzk2thvQ
EgnyaBuFgiaw3gZ5+8qKhqAak/tRiRct5qg3yzHP4Xdu7fg9L5Y8iDTxtS/1o81pmNga+3nMbhrd
PWqG+yQcs/AnqzwtfXyyaUEuLdPbVG7cL1ktPOprI916ZjdwdP1U1PTrUkXrvCRd9YpHA+Fv1Xxq
F+3ezhPfEv2T1Sar32/iOFOJTMgWQ+q8zau+ZbdJtHhaOQQ8UcFSNB/0BPkQUeyucsxbUzTQL2Bi
H0cVrbdxVB/qgXa0dHq0wrQsIyqz1LoMLQ3mePm60UDipHVufpo09AvDEL1iOm56tkYE5RRjgJZk
9pox7sNiXT6ViT6HyxbdGKQt9oTbQddG3A2co0JJKrj4L8UUEHZuK0+xm6irthcpGZ5ZyY8AYjZi
2Sz1qmiY71ypX9FEAQCYVDMsnSHdATU0rzBvhvtFWtlJy9L0Rmm0GC5GmYGmOp1XmM4enCU9Jr2G
H6pRIEugsNi8YGYyf7VaAnb6qxYBm7wqvqSOTbZOXA3RjLIB+oRQ77smXAjlsKf67jiT5ZdpnFCQ
wWplURtse6enplvqPfU8oKdksmRo8mUcqTJ0MSavN6GJFYlA9l1ojyDJMWhGOsmnFBb9YUKtgMPb
+M3Kc5AHilRgFt44pke+oE80WAOqj1XQznXHpWHbJ2MuH0XpTJQ0EP2O64sVVadW5oM36vq9M255
aMim8MuofSmS8X6ejA+UQnNaUlP/1xwrC1oRd8dq69YAseC3Lm4FibkOCz9z6uexniQE5exx2Jyj
GylzN7Zm5MNOXr3R2h6MZmvCsptqGI2oIou1oB4vPuH438OPaTLfBpzvLT1/sPmiUuaOB8+UwDWW
+5XCqOcC0JqJ6v2yiPJgcaNbZAuPsgK06CXyhSEZPF6fw5QUuEzH0a4e7c+9Kz6P01L4HTXFcGrS
syxneInr8ZvSh6CNFKUUxw4nK07Zx+Y98oxmVxc0zC0K/ZuDw/FBc9ArWJL6nMwTSehgYLu7tcFY
FFfdMAXxODvHWmaftJpiRF4YhIrDbafN5t5KWrHb+vbRjQQpt/04OLK7ixe5BF20ONddbY1BNABv
TyWvMteneXIr6cs5rgNq0MlpmFJrBx2xRkpG2E75HDA9IgmVTl36Xey+CJX1txDL7ZtkSK96ZBEh
PMoDdOS7DAcxwgkemogEo8vyEK5SSOUSun9udiBAVHBzI7ubdZl6da8bXiZpqzGnab4bKdiHiUWg
kNNmjFO3psfCBbTWHUMGGmkBXKfp2qbbzLRNTogA7QG6Ezij1F+wLIIVFzcWf9TJMZ2ML+YCjFGX
N1Dvy3A1quJGj62CAFQVvrBIVORqkt2UmqxAcUnsUHPNGbin+TKZzVKU93XcCPPHZjRRG0Qt1Xto
8Xi9Hc16lPnVghpxhdzdF+YNNVlUB8Ke8u7Y4+YvrtumS7QGqKKlEtXFmpbt7F7N6K9bq/uSNUkB
Tj/028cEqG556IGSGi8FjJz3/OVs3wzkn3WIFGpN7nnfo+6u0+r1ry1f3C6k1N6A15d0ljqUpY0O
KI0qrAi8hVJJ7ZdxW+tBZneauIb9QUDorDL51DZzjEmMbcnm0aAoRjTNvs/T68VO6/Fx6iJF4BrT
WDgY4ShVpypO1LhTlLsB7201On5jtpO+R8zfUWvOtzrXrmKw1/V2XiImF0U1kJZtWv0QZG5GtoBu
ahLp4nUDnYheq3be9JOi9w7Su2yxxBAS9zjuXQp5gn08l/SUgzC8BiiB0skTpavuYVO4t5YUX5fW
vnc7qOLWNDl+4VTpfsj7+dE1kZW2WdNCIYwiKHPpGH8us7m513INiUhHQ2PDN3TeUl+vhHuE6PG4
TdJ+LuP8Ne7kzskSAHAR+UY5Trs4N+/duaShMkZVMHCwY1o764HCeX2KNbdxfW7DcXuxYFq7f01d
Z5zHn5wrVfUf5gaq+dwmOy2OviXWKPZlIfdYXe+biRi4K65XOxVBlIkBbn+dUgpJNoowKaijNHYU
L1B4TfxlldH7QJR413StgvYjh+Wl3ZBLd0t9FQ0GyRth79VcrpVXqsW4Ku0kCeR5kSq7MoG+u32n
mfWxh7O9n83ma6W5twmEYnKk9jQ3xHhkR2jdSxRYHEv6RGkx96hjNJ2vJ5yQGTHNh6hH9qkthnNT
WLoVgF6uUBmy6KhNnfVxXUYkYPP2sRny7zVBRzAs3T7rt+ggG3rdx4Oibc5mQ5Bt1HdjdbPjWI+3
NZqJfT3Nz8mSLlcTyNdD27pFaM8S4WSqf66GKvHTpOeVMTXw6G5roIGToFVeMmU1TZBIaNW27ayF
OvmS9LSJSJawgrtGUtVSiGjXE0U78yAVj6BajSa0xLzui7hwiBIkesaMTBnzqgdI2I7n2GXsO4ai
6ZuIYsSpUt0g5H20Krd5lgqNaDZuzgOcPnWY21gGFFfab9Fc5N6cqjhULS2NYrMXh36C40WjKXKJ
jEpt0iE7Mpk9EjETkymYw0dOO7ir616lkGm+txQOAPc3GvbM83bnGqvuVzlahcjWDG+O8k+5Q/7Z
pzxttZE95dm0+CWavpAy7NO2lOWNyiPKuqolGpTjoAK7zJaX2jJLghk4UicK3vhCpw1r7wGLIgfC
9Wr7Aj3M+Fqowq4fBkVyaIDqi11VIJK4d9c663eDnugnOyubr9ukwAO9iYleW0W5IZUprI95KlIq
jHXzAWabfQXpcUSwS4Fz3LrTdr6yvKGPkI26TUU5rLouoAv6rQ7m0qimD+ZzcCN6bTsQc2QvUJBx
iVyS+WT00XLiAiOwdqMi97uGfRBWUTcnfjcKoq6+mhv9JAyat3vmMC7ud5I+ZFbTaONKuETVdafy
oLba+bTEtfWo2U5/csfSCJZEc+5Vuaw7ahLZ7bAm1WPSVN/ot2jccIgrPy8L7aHOyweDblvHjp44
T5RFUB0UP+wucwNMmmD/ImKoN8t6aEbI/kEqIi3YnDiL4AAl23AFy/Yzvfk+UHkcgzXdwrHVtWMW
kSIbafq45BTyrBVsinf44Lam9qNq4RjUSvr9Wu8zo6r9pd3mIzfEzrbhEbkckrCkzefIJs+tQNiR
4GV28ptY6k+Torano36m8tV4hjVfNdZgHA1T6/1IV4Y/pfNuc3PWfp779F7q1kQ4X1GPHBKJJKmM
AxuCwAejGeRt7JSSTj0oG/w663Rf0rPmKJJ89frE6D5sWf5iuggR57H9TgI0PELBg+VQz08J1y59
H1HC/3Ck9QxAlO5G6i1U6h/jUk/8qFOS+Ht+JgTNkFFyT6Dan3e4O33ccJ8Gni3mU9TrfBoxUBOf
HaRxypu7WYeKsy5qyK5j27YRr8/yg4k49qaY7WIHkSHdLzCpM3hAqyq38AzlMzb4lptt4OCjU4cl
/NrhWiZtZe0MoX0dddcJwYnco4HE79YdV4tTxw6LBDyVGYGgD59L9/rMdg4m7IDZc4aVNqJbLm63
evic2+18g+1Avi+yfg1RrVpXFCP7W2RB1lnS871iPwYNYqCrtoO26pVV/MNJUphCbTgPyw5EH2MH
Tppqn1BsQ2ejaHEo2+laajIQakoOpQmhwxw2QTCO4qM29ZStbvTEPwpqhkNTDwoNPcwfSu8nNYrD
SEnOWIciQETjo0F2mYF4UvFwK8vmujTgvSJMm3ZNGUOwRUGFvNmSYxhvqrnOsk6DvpMlng1TKaDz
DNVUlAkYjES116ZudOiRuh5GgDfmC/ErVetLKYbaL2QCnM8q5X0aQ+vNsDdYsket1140NOXUtxAb
KBuLrWFeN556+75GNnRVVJhsr1TM8fXqr7R8rnaQQQ+U6pDWC0LyugaoNFFWQn5wP9EMIANB0b6Z
Yn3amtFANxzTUQkhzjxn2k6bbPTN60Z6aLuovQCfj/MmfwhkOK4vnGmgH2fK5hLbdqxYrBuaJlVk
IP+fEB/D0/+Z334WVfzPhHg/SYsfl//8/9DhHedflnCVdWa749Ey/+iH//wPTejqXxburJZlOpg1
CZv//38z4QUEeuWCu0kb2rjBP/2/THjb+Rc25HDkBTRZrgLd/CdMeAb5mQYPFxts1QVutjgKhiku
VCrwoMxME8t2JfBMAn1xa6d4gJVcRB+MCtH/hyTO6q8/rcz9v0n2/6saSR6oW/f/+R/ignuv81wJ
KRzHliYyAedSrpIudlxGceGepHcXe48fr2+fHt5rMcQK/TKxyzEuJqbWyWocO3dPuff6+Tn2riPv
HbO1vx3Of5IQ/DaNCyvA1WnKFqTIPfXhw+vN830W3G/+J917byp/G4a/NdB5rj8JvcimitVeGehK
eSJ4TgImQ/nwHQOnv3343xjmUk8WGYnQs5rPkkczle+9LDES2JJzsOxJo/Mjswxob67kk8BvQy8n
Qmbbx4TEH+C+mtYpLxV41vhvtc235X/HP+o/bJd3vuRlwytr/e9l3nZ3d8rf38Jz+n8cAlHKLwsM
Aj9FBTMvvc+J/zx4t4b33vKe3Zh+Wl12vOGahpTEl8KB9nAhOGniiChWyWGPm9EcasAHgZOaptcC
vd+/fcB+9VRCWsBQDsClpaTgFrlss9VokQE7qB32GNHUz7HtnioCzwN03vw0w3TzYCS91z/w4iKB
yCNMXboc6LO0x7nsjoWNSkZrGbs8ABzCQtWRbdhIa86IbXXiHX6vzZp5uZ7nAbEMOJ9Cy7bhfP36
zYCjW6MzEBu3JcIaA/8iGDyd48MXkMHYzG2Q5220HzI4tcnQyivb7ppDL2ZqLCpuyYCH+UvT6F3j
D0KMPkx4NyjSdAGTTZct0JaI9xxJrNfbpbqRtKDyxjKtD3HXuHuMl4cwxeDlCKmgvNJgJFFCUmZA
j512Zxs9tVJJM0jQJ1gzsizCZirt3dvf+bxlft5ShoWGipjU1vFXd1G1/7oE9VDSMJMazs6EMrhT
xVnOjBnOPx3FhrZrorRwTB291GWLrFUDmcn1rd2tTmn4sx1Nu04b37Md/O1zKqHjd6ocw7KggOnn
N+OnO440iux8La3dMKjupXErZIytPT+NjhTvyCT/MBRsdhREvMo8s5f9F408KjGMjqzdGssK+ZGW
f1jR0obuZo2Pb3+hPw2lcJOwsRrn+b90OUNF4dapqZ/hxtgO287OkMxUyQ6t9D/r8sH7rUwOhBQA
/46ArXWxgGRSWxPBqNphb2WHG65VwVBo7zVfurxaTBNBn8nZYysQnlw6Mkf9mPbDrMaDjITxV9WI
jVS1sCCaRFRJwg0pw5PqJ1W8c0Of39Kft7pFnGPpum1LS2HzbF7MTjcSnU4pU7SPY/JcCG5F90pz
ljnfVXqafhxs2X1KibWQM4gemtDbn/HycuN2IxSzHEjrpiHcy54VZWnQDcDqiwOmU23sbxia2Iel
ryGWAvLoj8akYvHvmPp/fPYuV9riKj0fOSJAZdrKupixWy6QdivNga6DMwu3bvzaODDyCPFR4rlb
jUwB06C3J3p5o1i2JXg0+I+LxVC/NaQpo600bbc+0AArBkWx6xto9ek7FqaXp+LvURRRrGk4ls4k
fz3rwhGABzkVrnboyytRkmw5BSo+kLp/1k6c65GXQeeNYDEFz+Jl8BBPNj7HiEYOTgdNcpaIiuW2
TeHby/aHCRlIXbmKSaOl7l58q6yGS40GqjnMlVETJPVbke5iZSVGAJrhWO/Y0P8+HG+6zdyEaZE3
uOev+NNdSevMaMkN5OSzDnGxts3kyjXL1Mdtp/hHvdzO6yct4nRoiDavury8VZBrDHViO+tBj6Lu
1o7glQHLL++E0r9vO461K00SGgtt0GWzEM1VeizLfj0IcPjdMKfdQWurd9KOPwwCJYTnQpnYUDpn
vfLPq9bDtyiVls2HphZbmM01oHKWJuNfb++F3+4KVksnDlLn8ITc7mIv1O4CICKK+YCnq3Enxza6
Nigl3DSru4F5Leu3t8e7CI/PX8iWfB0dqSTyaffyMNlFE49rvRycyoofHEz+Q2HCBcnKsg1aNefB
0AxGiPzAOQ5mWr/z6f6wF6XQJZKms9BbXHbAybkvZWJMsBPsVAujJtWA+xEweFTJpw9vT/UPX1Cy
5TliXIm6fmlJ0a56WVSTmA8x8okCzgx4n8IH7T07kD/NySQGQeCjs/svOzxS9jWzzFTrgQY51RdW
VPYHtwKb3tcMVh/fntVlOmwRxbF6rgkTFWG7c3l79JApU2kW2gFjIdPdIWJp3Xtdi+sX2PDaLe5n
Zf8pK5X7PEeu+0grHdMNWyr6OHGOhcreuZ3/7mn2y1vr2AYqPkN3lOHyTS+ul3hxMiubdf0Qsw4T
OO4yqT0lRDjFxpZYXdAOeGuGGMzlLTw+YrldnjgTGlnsSeUemH6AQoNca/FKPCyLIIFQ9iLidL03
UPdlwdvr99sB4OdKHmjbEbzSvy3f4shsLM1tPWRSyO9VpOlw+IxxgBpg2FezEWeU99z+ZpSzDA19
fa9l728P9Xl8F4amcvh6zmViJ4exsa2yXQ/rWYRoVMryxTyle7Msu1f6cqXXEKPTdzbNb1uUQUFu
TKFsXXe5bH69zLZxGxZ6S6yHsznU51xNxejHeV/jTiWq/j2/9D+OJhSENyYp1GXbnGbOl25y7PVA
p8DpKDPZp17ct5AZE0N/Z/v9aTldkzSA4ACp9WXcw7GPZso766EYsHkbSbm4ptd0PKg6naHcG0u4
SIm3+tu76O/Q5nLXc7PgTaFjXSEue/Umwkw2lLFIFGu0oe2WFOPeGMzoHtXJbPkojA7FCpDcyPyj
jgPYnbU4YVyZuW8mHYT9ZUpvBGkLDS2KeDDeCcx+e1X43oSBdJi2dYCzy1XRUqkVs45I+qzq8JOq
X5+B4LUZeudZX6AX72Uuf/oMClAQ2JhW1+AWv26wiKaNrj6X+sEunIJaUaXQM/T1h8Zq43Ds8FOl
v672jkf5HwflIgTchLVLvPHroNhTTZqdGNuhLWZYERVkC9hKRvtkpF3ymJg6xZ8MTcZ7nav/sL8B
L0z8bIjxAWkvnJTw0SOpGlL9kM4K1RtGNTBqi2hyv2MU2H18e6f9YZI4RRDoOHRZIlK4eLC1RVHr
k3LF0kDX2EUDlkN26oy3lB6rkN8xQjwa+38ayJ3fMSJGg4hRKOey55gz0SHGpHE2KnsKDl4n0Lv5
+pzJOHx7er890n8PxG18XkiXJ/TXb+gmiWlSXEX5klGUJqHKD7hfje8c1z+NQqVaMSmDJ/MSQtbR
Gy3UYcRh2Lp6CuxorvRASBun67enc4ny8jpjEGMAp+E5cja0ubhpK4e2C1EOQ7PtdB1ObbeObdAg
ndt8Mz4vHwYn5XM/xJaLEQLuP17TGX3sY+0tESTPhS49vUHEckjd1P5n/VCIz8+/zsJPh6sZQOyy
KwRslqrBpV0cssJtFPoKfFd2jpWg1397Hf50RH4e6OKzkqsiCjIZyEa2cnZobjXda5a2eBRdC83s
7dF+S/e54qC7UNZ1SduAt37dRG07QF/MqdriBS5R3KA1xFnOgOexlIimenmXdkYXYFGFS+rbQ/8h
nEBNQNEWvYGpq8t3YI3mHDI2d8FaqurZdjf8WGGnLI+8C1DscbbUr2MtgnmhbKzNpwIr3Ld/wR/2
Nukdc3cEfxqXiYo06rFVTo9EvMyKGmPUvp9RgPU4ZvzjgdjZ5J/k4pZrX+LEFXznvMoHDAMQdwZF
0cCjX4fynz9dZChESLyteDpdNhbpz+3N1ALZHqqHA3ZfzosKpjktv3ERJTlk2ch6fXtif9isUF7g
0XEyLApo57//KUE28hp3yaSQh5raedDFskccgtUuKeB77Sf/8DArXkmuunPMDIL561BERi6WOsIC
hh6Gz2UeY5KrIm0KVFviioTZOW4Fb8/ush50PvSKpMEwoa4Cy17ivnbd4eAgYuuAr3grdzha4Fqb
tGV+34mkvdrmqnmM23j8yxpQJsDoS8UDZWWnfifyFn+3bbkImsimgRuJEwQrfXE5AsLbJdRm5zAN
o8p8VIFDt0NH1z5oMBGdW6F3ZrXHsnOAxT8qPDnzxbC/DbFJ4wUjH5yME1RNduikbv6SxQlmbj0v
SH1Epr0i4S+6xEUyYQ4vVZV2o5+mkZEG8WRlqMmrLXqqYRd9xDq6vMWMtG9fzS3vTIidYrkrHTnj
ktObaDwmgC1nj3IvanYapsLYfRga7JEkbwfX36zOQjo3rRLOrFuK7103DTiga219nRg23JJiNvKX
Ftk0TrrlIHHNKvr60R4hGXtZr+mb1/RQZsPaGKxvk3JnmEh6RJfDthIsybxq6nVUCK9821ryLsjt
SXN3Cydj9rUpWzq/zM3ojvrQVD9mJt2WAmmiTfZwbK3p+p3BwfQskkDhla1rROFWWctnMSTacJel
Y3czzZDXPXQ+3WcceSW/GKzrS4+zinvELGDG+FvZ68uACdFzM1Totk1Y6s8mfnw/Vth93zAnhcAn
Cm17cJBMG3zMDJfOLTLUSlteMjvC8MU2H9AQd3EwrUb00KW6tkKPj53HqLGhpwqMrr4lFW0UvCmL
mttBjyZ5YE7Th3oc7ejOGWNeD9vJ9DYs8Cu7HaGKQM8Dz1r8zpy1LsQ1uvw8Izw392bvFtheY6Ub
Ru08frf0aY3REsVIcXB1SQS+Hrr9DRfVmfm0TVVdJeWgV77cljbBZyOnJOJYI17c0cgP2vVl7P4X
Z+e1IzeShOsXOgTozS1Zjt0t03Kj1g0hM0PvPZ/+fKk9wFGxiCJaa2aBFWaymCYyMuI39SkueJU+
ywsmCaBUahCc5jCBH7EzTQbzlyfz4HWqPKqISQywNcM8Ui+AJEv5PKn47nmlmrfaIaxHtJ4RfdV+
lvDOHDdVlNHyUqsZ8gdbqrLvU95PP0khF39GrANqjqKiBGGodaOdGuAyP0JbLn/oWpcrp7LpMxBI
gSwVx3K2cWoIZRMse5s1KJqPaO3LeKZcUvYZsrNyNwIGlrQRtpuM8MwBBmiuH0Muyf/+D/oW49Qm
tcb12Yp/9Ez108WIASz6/VC0cU8LwT5DsXiJgkEVf/5HoE20yqmloNUv+qjBUmnkrE6P6TRFX5sQ
wUg3NNBXAqEZktMi8LX39N+4KfHsoIhMvQ2w4rq9kmtSUIxypV46wuTbho7FIUfbcyfMbSTsvHrF
9/E8pI2z+shp7jut1HL1orbSANiP/ICb35YRIHdlblD0arXM+hFZc1u+tphIpOd6pi+G4oW4Ra/n
V+/LUKQK6gVOH/rlRWzM51aTlw9GZVvnCVmn++t5+6kmcBBwcrZ4barrmyWA5AYKHXGDJci7FBiq
BALLqccKBaF0gTogtcYynaJFIv29P/TtVrJ0aiiqTQ2Rftn6zqbppMA5nISzLdL1x7KztB9hnMrg
5mQhYJqXVtEfe5XY6iKh7Oy9PTfKcBRuadWJRwtvs/XDBYQkujZmkvtmjLgTmj/IEHhFjM4c1Fzy
7GPHkw6ug4Tp6YU+QIUHJNIWIKdbufusy5AVd6bkNo2hlUdNC7QAKTDb4Hr1UymuQfgjH1E36Ei7
Tts4j3OrGA9DE9vf70//bR7DWJxlhzab5dxY3FYwHosSORO/sLX+GCFacbQVtX8T6SNezPYQ7Xzb
7U7jzQJkgCmncq2vDRcHOBh49iz2xY6T9AwiyAaevORvtGRWzjAJFRdJ/3bnJG9MqCgQQhngG4Fj
aNcTqskT2AxDcy5E7uwtFznS3hDqjmEvyzvfdxuaLMsiYLAnTPm2cYLTiGl10CEupVGpJ0nv04cO
iP3p1atm0ZxxVMq1dLLX+ZcSLDwWqh5QjgwaEAqx9LGNxuEYj/LIKVWinSqCqjJD1wkfmTz9NHqD
HBWq8dczmCCfN0682qgNq2VG6csm/FHP0NCzH2vtucRty/Sx1WmxkVKgKpxhSETv2rGx3scSBhTI
LE60FhGklz4Fs9WGcIm1PHuTqHoBGhXBsv7cVkb3nCD+Hry1ill/6YLZ+SzsBvYAFBv7ASAArz1a
d7ahrLvZ8aySWhpdcEFufEI+Rgnq6Kg5bCB3Dg2og/dXa3M4AXHg0jJFKe968qTWdqoF5M+lqnt7
hqhZ5NKRqnHzCbB5Kb36GQkcRzQkFVVRRVy9Hq1GAkuyIHxcuhxaM3Y05ktv5s0O1mhjnzMK6AOg
RvRl1j0ZrJEUkFNzcClNCei8lGK38FmeTMXeGWjjfrABW9Nd5Z4QAfH6c1JLH2pTr4LLYsXospEu
q2R/MN2ats8N9H/M8QjfI3qKgcPuFQW2Vk6UA3i+su0xkLgePKNejMC2GlxkqYs/kRF16tc00YrP
qgRA+NPrtwmlQa5+3rAAxlbFjxBXodGZBukiNTh2D3XiJHBea9kfFCd+fQBh41Pfpc9LlnEDu5kQ
8NXRq7uEGUJu2dB10OHV8dQ1mNRwPHai4kbUp1kB7pNKGg3fdTsZRc9uwq9autAaj96pct0czAXB
vzbNoLFXg+Q3ECp3ds5tRQecCiV9rnfKOfLavb0bom7i7pbQVslNGV0POUIXtlZa49ibGLsfTESG
HbQSi/G7hGT/WW3bWX91adui0AL6j6+mtrQuI6bFZOYGIh0XCpe5ckEXDmDYEBroh6I5NMuHxQlx
j0MftPl4fzttnVALnPH/qklgZ673LkcxGvo2ly5ZvZiPOeoEXshzduf7tkaxOZv0v0hXKUpej9JK
1WI0dsnKpnNkuSN9ODTkeqe1dgbaSFRotokEjdY3DYrV55iDo+NyEvE5FtWkxOkqD1mKX3pIzbUJ
sSC5P3tbJ59jYYisiN7zerjOiZOs0mwHREyLPDR6oLSfOtS1kuEvDgc9dNF7BZbGVlkFbLxHZ1nt
M5SB0w54WG8n/TN24zpIxhxKj1voFZ+X1I7z+iBAPEV3ndzXAoOxGngp2frdwjf2iBNfKMvCI1YW
8zMCn9RDkNY4vnpOmUvuW4segXqT1xoZRXXxmLxkigFPKIAANUe2RvGxbXeWb2Nb0mQhjMog7Cly
rgI3rfxCQ/rPuVSJEb/N1CJ66M0hOb/+g0jBKMwBXWTvrzZ/CDRgLMnkLyGCA482PjdHmNzhv05o
FIf7QwmB/HUGxt3gQCggpNnslOuDpmZVo2CL5VwSp0UzlfoKZn8qHJZGNuF+BvB/sy5AhjXsQemh
Fu5WpmP/02hLeEYc297Bf2xcyw5vRQKaOP03z7aMwkbeTOL+R1GKRqFdVriQNgMqAmjjxlKYHePG
JOPjQqt35mLjbDoopnIoxXm5aRXHwMcs/DiDC70WyGqjOQGHsgsdVK4pTdOws5c2h+ONStghgN88
xmMNbmGhGWSLkoNvrTlp9oEtMb4fqxmO9v113ghzjmGT1fNXnYMifswflRW4WQ4ueCwzfhrwhacJ
NRlN1VyMd2CnZbKzM95GUZnMlM4gIGWVf69zYVMaRshJnXNpswVT07xTUUtAd0NH9TKQG+lklkGY
PFLmb9NzHrYDTPYCg1zqoQgP7hyo34/t1TuDn0ItQmNXcamsTlQy6q2e4M12aZMRKT+HIkyNNHde
Ru+asqHcih8Nqj3BIiHRKGVp+jhAB/0XUbn+K4LQJboFfYZApz2hE8m9oOT5We566wHTYW10e8z8
gp2otrViIrv4XZoXncnrFSuCOJzkJQouEKGbfxGni1/kNC1fwMthu1gkAxpW9/fI7dnjKUannKzY
4Um7DgUYUAVGBH8cUMAy1mcdTvVLgAqrfABdkXXHFuHZ9AAoR/+4tIiK7WyZ29hqyxotMq4OWbxz
V9dGb7SpswSpTV6lNY43hegHn9IJgN/O/bQ9kA7YkZtf4JyvZzYC+dt3oW1d6jC00S7NCr/v9Gnn
c26PN5/DLQFgjWILe+56lDYLhQtWyyhplJ2UZdAPeQNWG1zitLO9Nz+IJxDkJ+CIAB+vh4rmso/A
KVuXLABE48APuFTq0Hv3t8fmB5FGUDikqkNWdj0KIFt5aWfTukRWg0a8o9ReM8iIWEv4pf3FUDyl
KUZiq3IDgFW1ENOmaqTUT6jwsCmYjxW6ft4yl8rffBVeqvSbbK6/9aYvchJsyK3WZYmmfxTAQgCx
xxa6fjXuXG23B1ogrCwZMgvwDxLO6/nDsC9OF3OyAHaVnR8rhX2S83T0JqdQ4TppxqsDCN/E4wgA
rAacbF1bQVFXLUAX2ZcC8YmHEud4FPmX9lho7QCXc9wL+Rvfx27XOFS2yn/WPIgiLSISByQeaXvJ
73ta3c+82/CxCPLB+CkHZaLuvMQ2diQcCMCbAPYES2l1xEJc+dJequwLbomzG+ND6NLB/21hXu3E
xq2hWDiSA1JN5QbOZeE4DX5Msy9LsdgPkdG1B1pA06HQi2FnqI3TTNWQgyxSIJECXu8TXCE1s+PS
uWgDVdquwd55QqpmZ99vrdYfo/y+v/9ICDQovRUu5faFowH4Emlwen7z8GnG4eIy4Yn9F7uRTU9F
3CK0k/Rcf9VI+oaZfcNalQtyJEXpPM/mNCOpWBYnXU/k19dYbMorAMEdNgblpFVQlOzBosZX2hcL
Eeaj1SLLYgLIo8s17bFJxIpcZxcUgeG+ijY6VWBnNRQG6C0JQcFcNjKUarwsDqnOjkzzBQm7UZMv
FeYf+BqYCmoBjfrrfrTcyOEZH3gCVRDAdfRbrue2K5c00kzmdrQS+OUx+vr/okzXY0UT2xaCUarZ
lu/nOm3Gs40dTk0CpLUfc1NtH/CvE93mMcL9+P7P2kgniAUgPOG5gKla51xFg9dnM2kWdSdjRtfH
LJU3SRNY3/u+xneYtrODNrM29P8ptUEL+P7oW6eILhdEF0psMAlX+y0X0OjaIeE1G0nooyFKDY1Y
8u+PshUW2FyYI8PjAR+yiulRaOlTLNF2sNJ6ftugOHtMhtk+2FP18/5IGwm1IGdzU/1mLPFeWC0y
R2qhwGNfgDwM78YCsIan0OcwvanIzBe9aBNkAFBr9WWZx7ajjHR7O8z27v+OjXmFImnboqfHg+Im
S0NSE4LN7Fxw70aEOq2w3JyLV0PzTT6Wy4RulQO6cB3ZG4xW8CJWkNwvkjj4XR0BhT3b3Z6dopi1
1dEVwHQoFnQZRLnpelbRrRe4CuyTIBmUwSFDZ75Gzr/BBS0LzPgBGcX6jaZ0eNPcn8eN+Kvyuufr
4HHedj7mhs57UWbszyxVnjpmG/+aKHyjhw16xbNt7uSIm/tH4A2B9jGr9J2vv9Qq8dxUUoUqia4N
L6kdVG9MDBXpkdA7iMZgOhoxOSp0V+fcpkl+GhXs2F//0bQP2D/IA+jqunwy6d2ytDFdrB7ljBcU
EVvnbFp5gjlMoenakf8Dkbv7Y24cUVJw5BJouHOvri8eyh6jljtcdHZn9V6zIIqmYd15Spq5/Iuh
GIvSjQjDZMnXU6wZ6Pn1RsQdB5DhM14COtoNJaooUW6E9U6OvBFewar+/8HEQf3jApflcSqMmVeM
2Uey7klk4S/9gsHRBHwMySfEct8D9rAttwQhPF3uz+pWGOC5IRr7+C7J62ikCnkvZ5bsi6SO5Vuc
uMcnmALqTsq8tXa8oUSgUUVRRvz5n9+Ykk9U/Ux4nY3mqGt4tuDRox+jugp2pnPrg6iU0kIGKHrL
mtGjcFnkjKwr6BN8MVAXO9j41f7FKEAwxetaNHJvQAFdAscOEbJLhCn2eUnz8rDEdbWzDzcoN3hb
0hYkLZYF6H61ESlgT9Vi5ualrLMKrp3Sfpg1yUH8WKemp6eo0gVzdK4Q7zm06G+7KGujIOyMNC11
oa4kjRhTWXXzNk+Q9A2WxNhZ2dXuhfZN70SUN0jORMd+dZu1hlEmBRhD37Im9cuoZZF96CVL1d5Q
ajNaP1bLwfTDJEqqgwYYbQ+HvYr7Ynw6zzoBEa4ZJY/Vxc0qwLWLu8pf+hRx6X6YUU6s+uNY6vmB
6jhiplOn7fQaVntMDEp6aGky7AvRJVtdNuhJhyDlhtIfQ1k7oZVXus6EjtD9o7k6NL9Hof2mCYTs
RlNMo+1FHzco/EjB4TyNq+pcCXmxCjOpvY0mpumP6/P/jQVRFfHUjV4YplVkRdJQ+KjdYwmmNUGN
On2t5e+x+tHNU4VG5FNoNsN8GNht6ZM6lbZ0bGarHuHAoM16uP/xW1PMzoeSSXdVvXk8TXkUYnU/
8/HDVPyssVFAQBg0/s5FtjmMLlDlgtN3UzXop5Z8L8pLP61bNJHH1PKhd0g7H7NxSCjVCq4/YR4i
0Sr81XGmNpOD+J0xOEgdFw7o5IOW94ly6kIE3/Q5oo6bDHiXlSoPrJ3V3fhI0mduasgA4LjWLygH
9GQotUvjT7WpfZKMcsTjB82o+yu2BkqJPUR1E+UNwa3eeD0t0QggIG/8UNLlzw6uHe+qRrbO2H22
qFbpkleBS/WGYelOQKMdT02n+pMh5ekOfn3j4Dhc3OJflAZv+kgxuEe1ixDQtfCTwjzeKP7Bux0n
Ty0cdrKxranlsqH6KNMKvElKkipecPUyax+BxOg4FDzV2EN7eMabIEenEbCXuKOZY3XdiCsrLZBA
WqQ++uXURjJ2mvAldQbO6LTU8okWc/s+VAMUs+8v6s33MTL1SIETMemXrZvEWQHqJ6mzxI8jJ/yg
dX3iGnrb71wiW6MA1+QCocpKBW91iQRO0xW2kmLkaVpoC2XL4BZzvXfWbzcoH0O85i+aRnF1ndbl
GS4h8RDEfjjUnHFURTBqMJrcqd4OaT4ibRV1aLSOo9pqJ8wo4s6zc6OQjrUOI8J2hWWFuvPwXKsr
mSDa4ecIhRyiD1zKVWxAXqZVrahN/KKatYl7S64qLGlCISg4seGOch7MftWUizDVSZyfGsr5qH5j
9pE8BlEsPVVJl6au3IB2dydcRV6UOZGbE1DN6BPi2GnhIfAT7zGMbg4ZvxvGGNUSEGYgX1ZrpvdD
gRqpJvyl9ekxQZHWn8oM7HeWOzvX7eZQJBeUgOhC38QvybEKpHaW1NeQ4L4saDC6U5lal3jJPt/f
7lsjCaInm54K0M27JsR/MBlCjDhkKzfdTms6Pwsmze3DTDreH2oNmfu98BC04BfKJMREzeuceKAe
GALPS/25mNVfpV5U3XHMNeezNI3ODKEoy7/VrMG3BLfp5MGsYV66CpDElzqKmsyrmx5JesQjpf6N
UQ3Gc5d1hnS0sthCO1O1ix9oM+iKO7TIOpc2TAdXzfIh9lBCRjf9/tdsThxlcbo+W5Uz7GjqUE3G
xLdG4H+FOqEKjLqBN+SvTfD/N28cXwDBgji0Tr7Aj2PC2xGS9Bh6zdLP8VOpNeHp/gdthSSubOiK
AgHI+/56deo26hwMGbFkSRz7kERN6JUo7R9eP4rAqAP/cQjw6/weZsgy5CpS8kY+GwfAnCjt6zid
vXoUIjhvWYByjLXGF8ZKokYlSHF/TNXw/WRT8wZylL8+iDMKmTEKNTac99VbZcY3udCwf/RHeW6O
+YDZA10YbSfL2NhotAjg3YqWCL32VdhpJKfEnyslFhT1bB2xkm951yDlUqCeDzRmZxvcZG4gb2DG
Iu1DYgy0aHVI0zwaTIodia/ieHTpBxvBdCXLZ0hBzvLPpESU3OVE+y5nyR5OU+ywq5RcDE2P2/gd
9m4qWm1kmSnXVeKXTqMdGmygJLfMkQ+/4JdYvlGiafxSdJLzH7VB61ctG7/u75qt8UVBFI0XaPd0
Z65PgBkYaYFvZuoPCD7OJ7I+u3kbwii3fdNJ0xBobt08t0gg9UciFq1ETQjsnu//CrGe61mgtOMI
RTfBwV8tQMYDXAPbkPqRPORnbWoJxLrm2B86JSk+RmkSY8qk4+J3f9iNbUYziouZXcYirLcZ7YaR
2pIB6B/+1OwFdlGjuAutMPeK0uhff8HxiCTQAAFkuDXCC+I6QuNGUfjYOcmqq8A7+1Dbdfhr0mZz
L6XbmNGrwdTrdU2xzjCMJuDF3qco1NkJysddKyR+P0uJ/LUMjHLnEK1KpCJi03ATuFVySD5wtYZ9
3I01/HnshKnHDm6aJeOntqCWB78rlhHSk8J82pGLWPdSfg8qWBuWrdA+vekb4LAgaQM8Uj+36+WZ
Lgq6VfE0o1swQNEyi/E0QErCZcZUAK2Xg5eENe4CqtH8aOfC3AnBW5POxQjJAIwiBqor7C67J55a
FQV42Uj4YHnoHybHrp76MEoO+CfqWNmkcIju7+KNS0wEStJqAyQI+dP1UtORTwtTKlME4vPluSsb
DdKMZP+4P8rW8oLypmlCMZpGgvj2P4p7jbrAV8RNzF8iWzoV8L5OnZPUHxuraD6kkBD/4mxyRjiW
nBeO+mo7mR3peYtik4/xK02LZSqPRtgDADHzvdbXVhgQ8wYqUbwa1vczePWJtnSe+iaaMZhITj8q
bHK9GeL0zr22uVRQTwRijRrdOgQkbSxJGNwR5/qkeJItCRFwams71d6N64xyksiiAaoB6FwtlSMD
irdGHlpQRpfhXRG04eROTrzUR5yykgaOU6hhLhBM+P3gFxX9d3+rrNVUxKlExpFIACmA3Gr9alj0
1rLahVQ+xQDLQBzWRk5ImkCfSEuTjl81Jbayf4q6hDRld9UwInOONnvsdo5Vfp7jxNQP8FiFZ7mR
6MWxAKeOtGHlYG1//6duLAi/1AEqwB0gotf1rl7AvqLxwdlpW141aRbnjxQ3do7O1iDsY+ATlkho
1pFxCHRssnI99GPbmM48bLBGwBZqpx6ycUDF25JNDE2BWulq1Yu6K4aOJrpvQLf5oARz/K7F9Or7
XEGjrcnV95pxWwMSCgQMDMWEm3oFnnsLlOgh9DGcr4UvtHrupnB+Y0vLizYDXbm/VL9Ty1WSIMrw
IOhpnYuK7PVaVQHN8LEcIr/L6/JZM1GjctVxjoxDWIXFR2UMhvKNHchm46f0ZS9jvwyGC897fjAh
ycOj7qHhHgreasZ3NNux7kO6PZoPZpcPmivPaRh4XVJMutdjM5O5IapA4dF0Yi2lqm1r1GHCDqZO
kSeK5JUNjrzcJ5kdnDI5L5HeTKTmoQ5srXObCZr5IU8QiPwMn6O0To0ylfHrYyQFcRIK7j+BJ1jN
SKkWuh0aSeiXsz4fRxt4EggcDQMkHNTuz/7WYiNHQS7OsRYFquvJz/ijkfKqdLExW/GDQi0+dV2Z
fdOrWPbiVFL/ZndRy6RsAmGEi321nYMavk8eQpkYld46hKX2NlSECw04x4dlwRv9/vdtnVEYMNT6
CV4C83X9fVhLyz3wOBgaMh5iMbZLiGDjFnh/lI2bBjgvKH9616Cg1uFGpr8T1o4pXRS1k78bQ608
tnnTfhhhXH68P9TWB/05lFjQP+7rkcALG9KRLi1gUE+X0vxsIdl+/otRwOpSFABADHDjehTTXPAe
n2sM4rMGeQfq4uckTPYQ9hsXGjAKFPlMcg8enqsoncXRlNElDf3A0mi3p4qECcKCyGY/qA/4y0Xn
0M7kQ5gR8+5/39a2R5sYhLsONukGldfLnYonMCesn+YY9dVQmPrgNI3fJu5BiDp798cTu3oV4yhd
AsXm+uQxut71qJxVvEOtyM/1WXrWW8U+oRUeI1YMfrM1cYk0xnkPv7k5qGil0hXif9Y1qq5qgywx
sDodFbQl0nEZvL6JDN/u8CUbSqO7ONRUd27ejaOAyCBQc1UUa8FiXe8cqzXrQJLa0GenKm+r1Ox4
7Fr9F2nAoen+pG4OBVoLHSeueY749VDAoc3Bzrh/izi2T70ZZEgT5uFb/DJ//cVIvPFExxgg8ZoH
lRRObuRVFfrQeereU2K8RGmwlTmGmcE4Hu+PtgaJiDzLoGdMWkElBiGEVVt0nsIIV6oo8tuu7590
W0pPFmRSaLZ2aH5sRzuujka+LML4sNW/QcCtn+ol35fJEg+b9baljEHzi8MiWsXXMxxWtVWXWYEv
nVJrWJnU6RlYXX8a1QqiwOBIvAHrgalQStuzDehobdA3O9OxcVZFdOCOUrgOKexe/wjbMIrRmLTQ
b9O+d6fE+pVruMc4ZmpQWDFfKRv3e/I12mFUdkFZU9m7Hi4rR10NSkHUFPW9Qzn18aUNu+hHJ0n1
nijpRjRnN9HnoopMwXrd1JiE8VhQVhK+zePoaUrbPMypLPv3N9TWQSFLpX0I0v5WnG7Oa7M3MlW6
TBXq9gdjqIzLnGJJ6g5drL3cH2xzuXgHgYIHfHOTPkajbJalOkqXaBiwMyu6kpULFLogWK8KMTWw
aq8fEZkiIRoiSj7rmnKlWxN3S8Pti4Op/mTreQ+MIQmDt5lkzt3ByHLrlUoAv3cJhRFa+Mwr+cwq
9tQV8sY2Yo1+Eiccw1x3vJKn/F9cG6Rl5BVUHm7r2EG1CFMIUvGmkHqAGCbUnDOe2sbJHrTuUaCS
YfVpkbFz/W9sGNFqRuJAKHzdZIXOSHEpKmS2pZEoD1FUxsdUGy03ADaws3hrlIyYSXRBBfeNJihP
NbGf/khopLBdZicZYh/H9lzGtDjo6kNeZAGuV6PaSF+C0ajNE1IteXwpTAMbbszSUCpRl0BqXOQz
7Y8yqh6ysD8sL2mfD5+zvE3MU2IEhryTOGzNzJ+/dhURG2lOMiSnsY8VJov6PGD4OXaqC2D9lczR
/00MmEgVBQ+wUOuHX9Ym9O/oUVP/WYZP8oRxXVnQOsYVrcaTudIPqF/3Oysv8v1VxP+tB2vzzAch
uG5WF0Pf1GVDzmAVTvLcjTj3mYjHeL1g5ttmJh2Ai+ovLI98GNC+en71UQaVA1BQ1BrFNXi9GYYy
MjGmDiPfVAutOIRNRuPUNrpcPYeTmuG/LVv93htoIw3leQAUiUSXV8n6HZ/ns6wUfR/5jqTGj0pf
Ysw+jqm7SJnCJqLEqgCwfQkAhu4ob2ztJpIzsiR6LhTJV587hVWSqshS+1IVmO9KC6fWQQhgqUlj
7SzsRlgmIJuISUIyBSm0yims2WynJRe9EFQ6SOlrDYNPM1XPJoa1bijXy85J2ZpV4MO8ioRMBTLY
10uJfHOigZRO/Cgcwn/GNq0AXNXJsTGU2XqI2x7zN0Kmc+L1LuU7g//+p6/2MVwAEm3efECK16Uq
o1cCuto1M4tdZn9QBwnGNTrjMh7xrTU1iGphiGuNQxgdtI4nL12QSFbdRrOLd2hejJ9DPCBR/wrV
tng3cTEbXoXf5oOl9V36HARx9+w0dvNGDfjbvKqyq+XUYMZb7JyIjQzBIkGgQII4y235fWqiWk9q
qiNYP0/vgPArodtHrX26f/C2hkHyULxPaBjdVJmSZEpjacgivxik+cnukQYqdCvaGWVjv4MkR1WR
LSiTTq6ip4nOVG+OZo7tu465tRZWTu46iKrprk5Z+Nv9b1I3tqAtI/KFPq5waVo3wQZL0JdFsyRA
cy48BS0GPy4ILfVjnOsYrJt4Z6Jaow2dep7VGc3PlPxiwPgT8uu3XDWS5cR3xNlhxrkSW117WTx9
UpvsYmET0ntTjlKz2zt20GKoGU7PY9HL4ztdjsLxY2eaYerphTU0HoYBofRQs5jcWEOfPephX2Dg
jT3266cYwhI2HEDvKLKsg1mNphlOqlpOtlzkixfUw3jWQj2q/D7hrzsJym/Z+NU5g4EA+EfIa3N/
ryLYkhXdAHaWKY4Hxfb6pMsUr8/lBl0zA7Y6ou1d/q0Dmlw9yXpeyOcqxK7BNUPUWD1wpa3t4ser
9NTnNQUj6yWvXskoFxcpuQVITxoO9LLW7+BCVvJlGubMLxKb9Zer/iRNM87QWabvRNmNDU7CBHyN
LU7gW3c3Or2MoixrMt9AgOXUZ033M8jh7ffqUvx3f3dvDiWU/Hlsy4J6dx1fQ9HdroIh8+WutE9z
qpmHToptz0yLT/dH2jpG3E8A5CjPwibXrkfCx7dPlxZ7Z6ox37I8to+OOdsYtqbLs+6MAzarOHCO
SpXsPCU2ghLqzJS96T0CglsnI0FnhHJuMJtl2VVHxF6tNzPgr9f3b8l2RJPAFFS/dZ8ta/WsaJuW
7RHG2WVJpeoYTYv1RuoVcwdlIeLb+rRQACJvAxggNMuuZzJGOTPHjo8PssPoIcrHwmtMXmRxPytc
QFLkZZVcfr6/fBsbxQEBwQ4BjnCLdw46lBYMdAD8eG5awFBt8Ih1+ze7tOKdz9vYKLgLCU4XOQY4
UvFL/kjlu1h1GqJx6o+TNCy+o5ZN9hARTCsPzbulebMkeOu+HYCamh9hfavBXjgybydYdGMIylww
t7CHbm5yOUTxzk9kPf4ZSNTsYWpFySfFzLLabS0z/2REC5VaFK8T84M0V47Q821sfOAMPX6ndjDk
zgPGFI9gvKBtYD0f6i6y8Xl3vL8uG5uBRw+NSW5EhGjWRaXY0oc+SemmVaRk51ydTLfEmh5tOW3x
spz8PsCkYyfj3FwiQJq8Jqkv0WW4XiK7Kkc5sIbU7zEJfVGcMvs8l8XIu1yPcD/v0qec+eV6k42d
IsRWVYsMg1PMdcyLeT001aO5gCeR+qo1R5Dk8sqOXaVEttXLEDzHdcRWs+zQL2VVeMOQKpo3Vbam
uN1QSx/uz/3WmYACIKDjJIc3EqddofF2tozMR624RqSQR8nXONRr9QREupt2VnojjjkG3kT8vVTS
oNFcTzqv7DwqKy4goH8WNIcWvV812BOR2fom8l2qEbQieUusgktIvkLhsGeUTLGeAdFqeH3NxTHk
Xtz5oK1jRjJKQRsTNVESvf6gCeX7WurMzNeNID23eW7FnjZF1j9TOkYa/YK++PzaBVOgqdDEp75D
W3l9FSxIJo2Ng46nmjUKhVAdr7iDo1Wd4ZYLRMv7o20UJciE6X5SWBb+L2tiSqFTBpQC4og92HXp
9TjKh/QHjfQLlD1eMnre2rXXhXFTPTvlGIVuEDjAx+fGkOazyUUME74Oh+CIcmKCY2Stj8WxLtQO
k1dDq/VXLwiK+iYdQ7IOuP/r1x3aZhAtMI/2DdBH8Mgn48FIK0hHtpq+65xu2RnPuImzAMvpTgq5
SHDta64zeLqKukuZ+EGTaB5pR+Ml9gIdVUMZemctbksSovQlCqQUo6B5iD//41YJu9o0B6XLfILK
3B6ifhiDixkNPJYn4tSnkmf7S5C1dXlerCbuvRm6xuRqjZWErlzUFYoLXR6Zj6DSp4dsCp1fgJia
3m2cSYbHEI5jeJDBPIyHIRm5jXd+v6hPX1/6FF0hggkuGF+xXhtrCbTKqgFQxZbSvA8ot/0YA/I6
V5/VxfSawND/5eGI+tCSO0QgRBGTj3ma5vOTWWTJ5EbwaeKdpOf2BMMAZX8DjKHwhiLR9aQyn73i
tOKqVsrqkxJLpquNjnMc8kH5XPXTP/cnYWM4UbkXfqPcy7eJD/ZNYzbEmV8HvEcQhA/f9skCoMkx
KeroS7LHmrm9XDm6ZMVCZ2kDK5PohHgpNcD+xF38YYzAZE8yAibzotvnIJ/7i61byU7+cxvnwTRb
vJ/pKXIY189b2AAlHLZ08CscJXHrxES5KVRr5yLliInayWpL0TLlUUuWA39uXX028ziQhzRz/DZs
NLycYbGEb4vZMo4Oso+Rm49QB70xmqwXpRtRt4uMqbUOY1sPs5vb0vAL3nqhClqa+bVDp/ddFWRR
/tao2wnBPSUf6idYJV3rjcU0l7SZmygE0qOG7TmYA2vE4LibhvftCOndRd214C2cBln3uPRy3nha
aTnf0Q2Xvuq1kb/PuWVRbTLU4KsdhtGCMSRp1QHYofQfsp4NQkrLUL5V8rD7Ps9Tlj85yzT9NJRh
SKBGGEPhaSm8Do9PiTI3UTo40QDG2i/iCEcuFNzaONWdEc3e4lhz+r7Q6+yTXOTpVytRy6841yCD
H6lZ+wVtWxkzvXhZFjdrxhE1/z5I038zqY5Kv6c2JLm2k0WjWxlV1n0cg6LLMxduZKqfx9GkdeKg
c1J9D2ONGuE818YHSS7tH7gM1cYxJg8fz2pcm2g0KWnXPKUSrdKnHLpUeOiNKUsf+1ya5UdA45r2
Y8icWHKxuRyXn0S0tPOMOlOBqytLEXixM2dv0I2QuPGaplLeZ0VQY5UiBeEAW2Ry5F9o4jsF/N96
1N4kWklv1h2AZKmEZksqssa32xRg6i/VjnrTA4dVTOS7mvGLzkJhPvKAn8/pvNQt0oSU0y4TFafh
ktlD9isK1P4rDWMylRw4w+derhT5MuHeMLigLMfikHSzOrlFV1khfi6dU3mUw8baA0AU/mcXlaZ7
8B2Txe2LPPtWzuFYu2YejjQtakzvkipQMhBhefRPbQRVDcWsyV66JtYzT7VbcvKZy84B4wZw74gH
dF67oHkUhMyWDKhO1hQOmKtZy38FYeNEnqIA9gCOH87hAZwahrWUe6cvsGyVt6Qx3Qsgoq44RlWb
NschC8fGbVR76LFYCILMs52uRE7JWNr/OOPGYQBe8Ty3ThG78dyZT1LR20DtLBqPeQmL3+MlknpY
Ipi9NzhR/Cy1jQUpqcVK2bX0un9MExuzF/7bfAnrNHtMDJwzpCKvfsyamTtnNZ2V6tDKsp15zhhY
z3FXmokrFeoweWz/NHG5HmTNbRbD+lcZtODroobhQ5lM8XSEVZNVeOVm2v/l6Ey641SyIPyLOId5
2AJVJcmaLGuyNhw/yyIZMxMSEvj1/ak3b9HvtV1FkTfvjYgb0ZfG5Z65FVr7LJd0KrwR4NWSkCI7
/1gawg/yLqmrn97hNu8ZV2hf7Lapf8muap/dSB8fwmmJmIsa4e1F61f137Cxwskbf+0bwrMGWefO
brbv2IgEkxXlme018HXwmKk+WPD9qbvXDTv5l6wOF1sceo/vlwFlaSma1P6VobP7+bJK8MuJ7FbB
BtdC5peeVVsXXjI0binkui95Jo/V4X9fslObLlNVrIdsH7rDrT2+WZPotlxmGeky2Odm/8vaHkd5
zppIlBL+r79yjA5vcflyHo5KZOWgnVHlUi52z5EdhkdhVtZ/Swm5N+RDPKbF0M/2ycG8ZS53Y/2H
sA56/hGNRJ2rIx2K7bCRKIZsGd+bbuq/OuWwlZ4RlcyvS+K04S0cx0e9a5EUEcF2b6Lu8S7VW02e
AHEGHJB1IkKxwIBK/9dFvrR5RTEbylkDH56NiOPX2G3t1xyn/WswLt12MvFKLlw2x+IxUk5cX9CT
swi0j3qpS9FPEdEpIJZBScNPhojGQWPObe34l3DuBhLEJSRSvtbzdEcUB7EWSzXYl8r3Ab/GkL45
l0kb/G3cphanfdL7fO66PQXagX35HRxjK8oUqIzwdIwBXmZHVEsxNHH0Br43mVPr1CRfsJd5fDnw
vN9rbFt6YDPq7G9ys+NEkKczXE0hQ3Vhdee1OVye05Ux70yWe44aH9lxa98RWKABW2ezbjn+yeaj
riu9kwUj3T8x8Oxbj9ZC52L2u48+2mN9qsOe8kDsfVDlScPfVbQNSQN8oTGKMCJv1BdhRPFUTsSS
DKd1JV4Qsxu3f8ALePyJJ7jZCrMJYQr68+CVTW4wSLdZUvVSGTfGajBcxz/Ht8CE4+gRYXLUuKCc
/UQFZegRSFJ22jf4oiVie1Vs6dCaRpsTnWo6cUxfyNZYymSaDi8/Jl9v3H/etlzi8TiSU0qEERqc
xEG+gE618vMwVPs19mBRdZml+t74S8KGh+JvIP5F1HW+U4zK9wZCbh3/FXiACANETAj0FimDT2Jw
szu2j1g3THZ2XHI9yGUsVdjvP4NtVbdRJ+Ykx9gEcRNXZPew+9P+EsrueJG95l2ttyb+Siv6uJPE
wUJTOzrsUNpucbkpvyNWwk1XQZ6pBbdKd3dHnkw7hP1toNfwuqkX8YcMbbPlthVEQGGmq1/mMBDd
uV1ZclmB+eVNo8ShoX9CLDLU7P3RXU2Y6Kr4ExbHnxvK/OLWp3FK7JdaMabPJYs9oMnDTBl0Z5nd
seRQ1eW+7MnF88dZF0EVxWOhImH+RWPVR/mhCBU8t7tJBk5ZnX2xxD3t+Ug1cfJDclsWAzJAgeNC
o/scDnr4Wpp4PegtBPkxkezDPfeQFZjCq6e6zz07Zg+iFvPN6u7RVhBTO0x5GOj2nZRO8U8q365l
lQzpDqrtxD/rwJWc/8gJRxinPqLBmKsVgRIXa6f5nfNwGeeHI/WXmdii1HuqHNbhzjO1/3qJtyor
t6GiOVbcRD5Y4b6kyKmbJIUdtNy6cVxNb34oMSAatrp7nvYj60+jRACbr42TPij8BtYy2SreSUmw
9HzVsa32Lxid8bFzRjIuoiEcbFGnqeoK22YYqe3dd9WCxdh/brVs4qvWb5s7gkwMKybN9K3niKb1
sfPHeL9geHh4Z6qE+5guzrTRFHj7SS6Dyu4Z4duf2Y4O9zSFOhlKXFKQuu3Ot1yC+wYrKgiTXp3c
xu1NrmqXa6cOYlymeyJzmlvHqZXEd032qrAsW3A/YqfBEaXa/xsP0z5ig8j072E6rooF4My/Osy4
fWbeUl/meIwyzovZnmW8yx9iD8yz6w5cg+48wj+MeibXVfpU2EKjnbL5ELpc/k7Xuf1VmqA7iCcb
/+7TlhPmHlNwU7VDavgGQJ95NVGUCwKhSQMLHbHKvPZlfMcs12x5goG9KsM2WNzT0UnfLzahqYtT
sEVRiUgHGVGPO4PPEcnSB0RALT4flcAa0LF7NfL6Ced2xpRiyJWeV/5ls2YPsoe3455JiKuqbGbt
ZTWg5/BnPY1XO9XVP+VHS8NmPk0scsqhjfJ+9nlXqn3pPhc+W5X3vvB+DYOqX5xoyd6T2eWSr3tq
+tLi8nmxQlTTeTrMsGAW5nsTCLVyZDHNW+zwwo8OFEo8yvc1c0kH7iEHrsJ9EgSpbk3wPBB4FDB/
eOQ3E5mIpjFbJm88u9oJEXRHaDRKbAuJoXFxE38I0yNhwA1hitEiRULlTFj9lKvdF2RdQNWYXKK7
+u52E/ImnTjq/lv88ZiuxlA4T8PgNm0+I1R/8b4FIkU0HSsTQox8PEcd4V+RxoDT3D41XZNzJy2/
skZpt+hMun7MrlffioRjV3RT0Osr5mSvLVip4CZxGHY62sMhJIMIA6y8S4V3Q+aXZy8Dsrs571O7
PGOTEvGp3Yicp2CP3Y9Ote2NjUkcLMZESdIitdreNKI9kwtvjm2esSq+FQI/ZZOjv69UUXW2Eydv
oREvspHJpuRV9bB7Rn37V3Thittt1iRtzi3juHeegxDkB8MBnt4+kWqMUqs/POmmkXMux97/y9p5
RAuSjcOpTrQaTrYdecnCxuw2x/BDP9ZIGmWO80D1X7B45vVQw7SVG83HyHP6ngSmYRumct07A3Ce
km+WV5CWqG+0bn7N7ZE9wNxw/x/xPtnzTJsUfvuY13+NDqo/0J7eUESpdtcirkLFX+s3+72ER/qc
wogOW7jx0+CwnJuPuCbd18qFgN3HaPvT2yzkMXnsQRehVLMtdzqv/whCnd7Igiejx9KPvDuHh2td
kOGfXm1L+l2kh93kHd3Ln6Ff+Xr+vK+gy+wB3FfwMfbsO33zlxFt++pVT7LFnPS8ouGgpo5pYtU2
b0VIEa62iA9srYdpS8+MMcxATFVg7lA0RGTJjqr/G6Ry+hvWGbdGH1qS3LSY8SsyrRO+hwuzWRFu
iX1noKWQUbDQSaaU59uuHsKm2L1mFXjpoyzh+QxYipij3z+iLdYEua4Hs2XkH8EHi6J0Pk6zmo18
uayf2F9a5XtTNfYzWgakHO3A6JQjTnEe6NgjxtdF99Vl1YOHJ/JiNn7mPtLNKVBkf5cDcIPhVtz2
30PTVcDryeQ6uCmn7U2VjZJqM3X7f46tmx/SJ3Hs5+ghBZLOEL8SwFh3Z2X3jGUEqbLgR+rqRpUp
EWyXtJpMh6t9rRCwePuqLsOKPUO+TXtQ02dXckR24i9MzkPoc6yHjbi/Kv4GjLGe1kUzJdM/4sfT
Lrf70TADgv315BJXzsfhkKmbx0iDupIaXd1vOmi+4tiEbRnNTv+0+m4zkh0ayR9yyBIadx27umCv
wL8NWNgAaJsN6jlL9/gr3eNlKmZrN7dAEoI9n3W65fPbb2qlnh6S6BGsa67GNtNeTms1vdTpnm5F
0uJAkTvT5PzpuTT+q7ZYfnRBfWS57bOF2k+wHxNxTNflhZtHvtOinKwgbmB+I4E0avLJ2abkzL2/
/2pd2fxBJqN/4r80fBDk65H/tXraFBkecnU+x7vixhjGRRbiGBLK/4AcGB9vHTIcdyLExnEy90HD
35s3Y7V+bqobeqbuw1b4CJCJmGPMv0eFqzf72PPvnvrGyZxLjBPo72oYsicy3NqsrByEV5wEPXEz
hwD4+f9XhL4dzLZrUvYOQQT2EiAHSw88r60dm5eO3veSDWn2YY8Y62aRjW1EvTOk4ilVZf/w/NEE
jglU9adswsX+jC9C2hZBKiiopLIOb3SN3q0d02PJQxV5c6kSb57P0tXpn61q94/Q+uYm8lrEOLqO
90/KNe9KaiL+wmxYRqokisE694AAPsmwTx+W5NDk+MZt8x/9URbmBO+NNyxlmO/U2QXFAXiArq6F
OsCRZu0e9tJmtgWyd1tuj/iYkoyBNhguLZP5djWpVTgsxUeOdxJzP9+hW9nJgjQpwcAcWCCo0an5
9Vu9TH0++2PPdRbsNv3hKOu+LGJaHlj5phk6wkHc0jQzru2ir8lHieZ1yPfVB7BrDiegL0Tp1+dC
yXU+DZFf/3QH01+Nvi+f7DHPTull45jllZdusrSVSFR+pKsdMYhI06YQYud0LKxUAJet/n5KQ9H/
d6xe9uE6ZmoLoTMPQlYf2ZKv6e7XuUoByYtlUcFz4K7yoyXateU4ptYCPs/KvWZuXCwdq52aojaT
6xUCYJnMRyw2f9VEWPBerFrcu07Wk0DdYxV0ZjERtoM9yOipFbE3lr2/HMgXAbj2PPRiDE/aZJOf
MQE1c15jFMtdn6Xza9du1ZPdgqoqIRn8fzPf5r7LfPYJE69Pf26N2fiMQ/u9jewnHxWSrCHvWoay
fK4AtfNwyuo/xIwudTFIrbhhapHqk2Jq/+cHNhWlUVJyrZiVlONIBayFSoTF91UwcKdqAJr57H1v
2N2YQ68PhIsOAj2gyR5VPC0UaMJBATaSKTClA9o6no5Ikmy/wXh7uTsc/o1cZBzygav4HS8XttnS
fh1+OqEn7vCa3mIQvU2+Jfsyh4UbN9uzbf2a51Xv8Y0zSSe5QX6cehBLS70VXPJJfFMF0/al8Gbr
SoV+7kuFO7BMTYJmBq2UUTgn0y+fKrLLlO+m82/pzPblgh+zT6PYgPHgU6q2h4k29mPMYuxxE8j4
l+xoF8FA/u1eSveffqgx65/XQdO0VJtiC45FEmax7pDrY5ZJkikkXpbeKRyIYGWlKnF/QQg60/X4
nbeVZ5Uf3/dRFdwkHFw/T9d6+djqaPiPDs7/CoYdLkA04eoUVgUY+agq6QQd2+FNl2ps3B/skKoJ
YXUltzK1tfrTBFgQQqFl9YyJA1HKJ3PU0+sK1ubTvNedOtELAC0my9HMmD0K/dW72p3hgKrh70pg
sJf3YLYkehNpw8k7tuGRTDrxhUKHGdvXy/p8ePP2sIfC/ub9CJ5iwrr/E6CcRILOqENzDyf+jwG/
iLu6lrWPeeBa/9npGNNiand4wCxhGMuPzpdvtV3H30fnue8reai/JryC3p1hnuKLRT/4wL5+8qdp
6kqd1Lx3balB4MbycLztgi4NVSFNpv/vQAX+e8bE6L0ft2ErsDpicKVT9T+HHZy/xEmKBEN34ZAs
adBhnOd63XMckql76vwKUUnI/e/mmTBzlu9Dn01F5G7bdskmEBbaFmleIa79n22SyV9YZ8ofnm6S
7soMrivKDm+QsLBcJltuBDmV8LveMee7DevnytHfMSCJ377ZTDiUzc26wUnKKfo3OskOnArl8340
C8Ehom9UCLTdueoE52NvVGw3nDHdxLx6tS80Ra0OkguhPGua814ieebbYTWwL+4thYjy1lSygnlV
3vqFlJCq4pJM5BWQS9I587y+2T5e8+ddJRvzgmHKuQ4UcbP5LuERc5UR7pzTeqwfmq2BMWfthfBJ
1KLxlPewAmOuVRMu5WKoMPmAALuBMll4sYLa7//NAAzg2Z6LGHOaA1yz0RZ6RWiWgPFZTKzjsiZC
adROz0h8KFxV8gigcC8l6ClZ4ySrPS6drngedogld67MsqJu9XRjfezd+Ijt2pZDUgd3vR6yuOhF
575W2xR/YRU7/hrrlR7DdLyfC0rfCZwwkiHlaXayMuj78c03lrS0rUmal3UJ1uDFTjZ80kjJ1HhO
FaT3G5z1/G/RvkONn9MlkAzN3HXRJW5addf52cI8o4fp1mvQc1xhwLcOp32V1cdC7bimM9yGc6vQ
UBR9bORn2FTtcZJVn045gR1Az50zZIzOcl1ecJoWoKzUbHFZE7PcZcawC94k9foltP2e2BgQf0Z7
px73xktGnA6mwNL8t8OdVZ7/2K2b25w0C1pNnsp5/2qHOPghRbI/R8rr3gbe0qg8Em0f9y2Y/shW
x68jRDsIWhMzbo7fEXY9cmt5m8xjSiJx21vGSu3TPK+D1wIJrWvELEEhbfS9Al2dvKte4o3dAcJE
e0QqfeTukuh4HST+EAMWTMT2wgqMCV1Ou9O5uwiDu5OYvIqZywuaG6V70Gd3rJMxd9LNc8uJ+vrS
kqn3mIKc0m4gxflnXd9/W7rZeZ/4LB758Fm1wwvNHuuJTOufiQlC6BVG5KBAcdDeGDAtVYpZfeOA
VBlimf1esoXlW31qKz4OrMYW37AaMYZnV7Ag9Nl7bCuTOD0tBte5aqWTyWgoceRioqc4IEPDnjfH
crm6j7bQ3Yp1H7Jfo9WbvvKJe98vJLK0TLbd4Kor3zLEnSJ/2NZTH4z12+igkwW+mIB0+sOKuHBl
FrWl2MVhfrhx3VanLTiSrBzHODV5M6vElvI7upa2xIxPbGzsLcT8rpFiJ5YH0WWT/QUQIeeizXo3
/RRuH8EKpmJyb+bFw9c34fYUxawC2jOTklvJYaJNv0AMHVf+vDA46FjpodTDoHfwU1Y3ToE3ugyA
Te3ixpXtCDzOsvc27zFIshXpJnfcm79XKeD/+J0eflJhMLinmECa1zVZTFbaIDFsMMdQWTjpW3s8
8PNpnOdjGLfSrKn6waU9vK+TDYiP6fXfjhtMXK0oc7szYeJDe461zh6GdR66ksMChND6iRaMGXFH
Wq7HtmjeLBENYgPArs7f16N3XdtGJnctg8Lfqg+Pr16vwW9pCCAp294bx3zDnUUWBNRQjJAYe1/R
GNLZ5MBhJr54ifLN4x41y/EO6LHNdwcQeHwKaWNEXvW2/scWX71fPKi74cdwpMAyZJskw6vEg9Q/
exorjBJQMNTXSIvb+rwmk5D34a6qLa/tkYzXFjh9YhIN96TgXNAEg0Y3+80QhLP3TtlioskUWwhN
3thpifO+4Q6+39y+iR6dDOOTIHeyfTMnlkf7Z7qqKr72gfHrh1ivDHZdGu1+Objy+JQNUOCf5Xt5
82J40QxH3oW4E43rnQJKXntqCJoJitWIvqLqjsRn67RemE15f6BSPYuJW1OFq+G/lFV4gxtVbH4Q
CeLLF+uLdPvb9s5CEibM1UxWdLzwvPDQ3u7xXl0obdJtp4KZNQjukm3Dspxpd+gK1iNagHRrBc6h
FTd+/FfGkcouQPlDXfTpDD8iojpbT3AT2avYMwctoD78v8EeztsT9ufzcpK26zJY1dHMdzZc8S0Q
WajdSy8wp77DYNbxLk7bQOo5E6X3TJ3TX1vgTO6ZSCRsGwxc6Lk/PPup6hYcpKv2zdK8ZN7Xyh++
3gLB6e4cAGKaF3zGxj7v5sXZbkXUrkFB2BhEF5TjHhR8ab2+Y8+z3HojpfaTiyS1BUzT6D06lU6D
QqQqcx5DGjaFOcOxrPdZZVMoSc67/enJZbJ3YNNJ+O5hAJKc5m0OYVbk7tubdk+tueOd90zBVKnw
5TQcgDKUbMXn6zpH7l8PXnsq0wYo/jqwfa+ugXFxE0Bvz6Vh2D+YqVNcDldTZJQoo7ghTMZfkA/l
bKrs/nMPHDTn5L7g2d25QOeF3uU23o3JTO3vmVvn0k4jgvQNr5oh79VBpUYY4f5wvbUFZGqCaS98
FWaGUQhD1JsMoO3zUDucMlr02ZwYVKvgXOsK57+a+rDejpnmvYHSPrbS0OrIX+33sgR3U4MNzrZs
mD7LuAs7PuZSkZeNBiDeikqa9cPvjpXILBahj5wXzMSEeyatOc+k2TA1ZG5fn/xxHU0xhe3SlbMP
FXSqcJTzS2FCvb916eC7kJPhEj9Hs/KSmwwulaEQH8MicEY+eN2O5mXSW8VGi0TMXqwslW7FbNR2
lE2/rjE9+m7MdjNXU7OX2xE27YktGp+vFR/szwhnwok8s2P0xB/OhSj5cq+zsbNXHmbJsLOAx/9k
cprvMT2q96uJw/4aNx3zveht6t66YiPnWGWWTiKy9JcwdA5tnYjrQd20teEe7IRzxCWKjwO22ySB
2gtgUx3cZI4Jf4WMs6jtWoOhXQ442Y2MCdVyvMrdJXAd5/i0gk4YYXpltlTV2V3dUL1APMz8MGs7
1D8ALmD958YYMGX4rPjUbwLhITqzGeq67r31Fdhd1OdjIy0Lsi6KdalSFoXJpUnNdj8uiXMXIadI
r4EPYpU7ym28HxFYxwu3UbWWBlyB+g6G9MvnKYDEhV2435oEoWHR70EG7uoPCkDOGypxNkkdk0ve
MDzekMuJBfDYNd4TQCwThb8TLgtehAF9zi/RfojQk0cp7dFUxRAfaiZkToZN2Y7IdX6rYaDRDWCj
2jwJ+rG/mmQzuw9Zx8rkeSDyxr1zsbejYK8gBFCY0CI0OWwCkJCEt2qLSyVkV39Kt5ElsmWa2eQR
bQ+m6yH0de4DMk/nn4R/d+4byZdCwP2ukLMn1VaMuSFC6+iXiht3LZcVP+HP1lSphhugbPa048A1
YLEu77l2mbku4QRCeX/4XtuUDjrX4GQim5mrsQ7n5ZwhBxS/CDqZ6B5YghvPm4NxuCKEVV5ZO5vn
AfvpHwQKplPpN+aARETWUQbCi8bbJGiluuZSGxAWbg2ISGNmeMGpCdbtjInH8A68VcVFo9NK5GkV
LV/4ySD3CTt31T9UPeHBtLL58amUNz9YuK53VtlJnwYmccH9jdmDM8iw4183IEDiOa0zAh/sHCa6
9FXrVFgH0QFveB7DcSEmCM7jiFPgM1Y1KNQTGYz/2mXejpuRGmhPjm1SRB9UvOuxUrA0ltPmPyG3
kNIthg60+5/siZS8sGDaDcUEbZ2U/pjE61mHsPJskW3OomWeHG3XxLnrrqu6q3ERX3EnBpG5ReLa
rOe4lfqDN5WODq/ABiAxc0fcMnDyrCiIdV0Xs3+wj9+vx/TG8DCsD1OUiVuWiKf6IqZ9Dc4STBhQ
YO2gaefs8EZUNWNQlcrvujifrEkR88QTGOCs3TDJI5bQhnxzAnvXQNFnl8ZSSwpvhiEsomHz9ytf
TwxvizM3y3nstLoYtFV1EfTBIW59OLKBaCgWhK9S/LAQ3e5jt5ckpS6qkP7uHaWpI7kUUApc0Nzq
TQCNHS5OsUdJfbcpHeCbPtoUIC/rxL1BsYlwSCwRX6zxjlPceCa47Nk4/W7Hqb5fWVJG+tLwuT38
f4fzwdj0KoSO73c+91hkVbowbNeNfLNb7//B86B7CqNefdSVNyC0WI/wePwW2qR3XrCCsSJVmvGs
AeNWBViUPHKLYexH0PlJd576DpmWi77wcmzO+M9rONHnfqvMeB6nJoounEKTnnyRrP0ZhwjEUEbu
u7r4TtxtlxjlwFzMTZ1EZxZ/5up5XRiKyykMvy+C0bhv/GHedGtoTL0/VpksukjpeH4phT3EWaXx
nJ331jvU01KtzUvYhpzZhrx6ck2yGaRiC4MPaB30Wi32YL/MDjB42mobfUw1qyK5ZpCDE6Y54axT
kV5nsDVRVGLSXzYM3aFs4IDuQf465DOxSR6xAJgQMaTR2p5h0TeOkC9ITnAD2aArkos7YgpYxyDg
gzu+CLllL+0eqy/UwWF/F+5ug0h5YMPBX2U/FIkUYGmR2yh21zSf7JeJtBRXSLQkd/8KQv28JN/k
BB318jO2ev/PQ3MzYCqZMpumjtSfEHFtcxuMhou+iuM5/BHsZp7fLbrI5Fx1/hxeJkFhudlHqZsL
i3nNVuo5WNHG+HZg1bRigGmBjrbrpUnMLyx4eTcdJ1YfAztr/1kU1j+dDMfmYqwxk+EoEnp01W7Y
ApRxYpV9CepxRUcVLM1+JXZnlRdn1dvTulmYH0B9zF8MTHxW+ukOR1Q7vQGWEw2ZAEoxxiLasPt8
hWBpsSX/V/eRVSJQMcnKIv6hzLWEJjL2/ZNrukFC7Qmk81Tz6v0lBnuq88DfDh+0ct30NeI+HgIN
hMrncdyHcyCMRyQ3id2/mSOQBgCW7cPrIo3l5l5WLqMllbDXOTsgEh9k5c/itAC2tnedbJtXYbu+
K7XMPPfUJcsk3xNdjTE/WgBbEnTwY1euZ0KLg9Dg/mcqi0AH0X10IJ2y63+zcQ5cE3SzmCsUQUQj
EM5TERFlV2pB4nfRg5uIyX72egFLWQJouMK6M5vC/egIiZJripuzCFs8ZDO89XDhC5R6tT6O1ufJ
TpO9ohh1wYl/9vAjjGoj97HH+zzrwVj2Tpvj3RNtNV5w8sXjDHleaE4VLyrwLor6l7av3eROx1WN
JqE2Xn3ahAErdzMnvtmdRQEKiUT3cDXTd2eK+WVUREmEMKRmwRwQtXYrlEcQLeP12Ge4t61jWm8l
GjchkJMo4KpV1ebIK5WCAnoycV73cWBi4nH9dp10BtpSrIvB4EPzltsqoIPQVLqIHSjNTr7V/Mrl
sfTJdNVAov8hSQiYLAEjXunf6o4OoxH6eV2bbL3exOb9i2cRV6cJnPtne8yIibgjBRsUKom/achh
ObF+HbM6somwhDeMnjWymfjE6kL1D89BNDjfZjmPR+wP7SWrBje5oW6uXUmbHfjcDUoz+UaHi1aI
uV2ca9rF9BLxw3+5PC9NX2uS5tIjSO7/zBOO+Dm9Btxz3iSjfwX8X9+wAe8s1+y0Zd233uVQRTxs
zPE+UKN+kjGoee6PKWDe3Kbe9oO62doiylR6Sr93xHIDc+BdRRi0DhcGIsFWX03m6A0K5W5DfBnN
LKAnIGpn3vCxu/MQkg6cQNCME4v51Q1RbdOdMPz85yNe3F+QZOsTUSbZx4TSAjwfRyDpgkO7vDwI
Et2vZsqcLjcQmKKE8PGCc5dtkBig7T3Krw3Ae9HN9JTY0LVlxcNmdXMZVZobBHIWgfJs/RPoege5
5zU+OnGw+OZHR3bJxFqcZ2oIe/Cr94QQHue2CegAykxD9xYhMbi28IXvHD/RZoCwGV1lcWl7N7rr
0XqJp13yidvcHMO8FKhPmrvebN74EBx2gsybd5FdAqdpvh3zZ+/JZd8SEz6n8befOpM1S8KuMv82
SVzPjw2sVz7Qi5DgB0Nc0QiPrnQvUKz0IWFstP8IAiXNyWFiVlTXtH2Ts+3CPKj8aHo+wHnpo7oa
DLiihXDePK2d9XbvPVi4gyWS6B6Yq1/PpAZE4Ysj+yMokW9tQMRxE6Tf04llRwNxkihnOtom72xr
HB6Tyh5bBjNgaghQ9wrhcvY7QOXdns0S8t5kWb8hWQyC/e+yZjt3YKehmGsUM99J6ab+ctSUrU81
6UBUwIoY0sdQpDtqUUAh+3gEy/qBcLabkK6i0Mv1Sq7QJTSInk61yYjWC459ngu5JevjsbT+Sgdb
yd+GDqhmz0Q6v3fl0CX2kc/2UhYMq31O2fcwf2PAXyTjoTUswchDbb8OAkLcRwMwhDTCX8JQXzV2
5YKqUb799JM9DME7ouxt9Hr3j86m5JVoNrN8z3f691ATY/7Lr/7H2XntuK1ka/iFDgGyimSRt5Ko
1NHt1PYN4bDNnFlMT38++gAH3rLQwswM5qpnb0pUhbX+9YcUkrhYCBW7H806yp+nRa7IlJd4zUFA
r4XLK+EMb2vBUPfdkoAg3bdt0/j3Vq2YI9j9kL130JO6j0avRXqg9AlFIDIGJiQS+YMBnmWELR2t
GyXTfeqAOwUjOfA/fK7aYdvFdc1R3VVmuS+4t9HCW1YHxo/P21MK97DYuEmtoVmUdMDPM0BRtcPT
qww3VBpFv7frJR820F9bXDAdxvswJFfXAhqugaqlXgS/fe9B0evtJey3iigzIK9KaLmNeO9YVOlm
rKguXK/emhy4a+2KPnBXzcy4AfDhSp5DtqC/nROwym3WFF5F/VI35Ra7Yz6h59dm+2uZUinilQet
56D1hSO2FvD3lyQb83GD1lOKQKtY2Q9dW/E72h0mzQ/4V0CVrn1Rdx9ysNhlP5NFsq5GH/ANBUaa
bxe3K/O9DSVlhnK5tjU4dsB94r7mEhxc59WqAZS2lLhWcciMrm7vxiFLPlhtXXTboUtnY6cn2LhM
XiXcZBuc+mkhacPYe44sZFDWUVSfR6tJ4zvbqwcqVTnAxeTVUH+WyTg/lpgjYOXV5BUuqsTRpXSb
XdlRc/vzGd1Hmr+ibCZibYn1SyNjaEJTU9ffRkflv5g5eh9IoQH61iKEZr+I5YFUw+wpR+H8PJZV
3wYTEwmYnHoWLzmFMLNtxtov9sAlxOwSqyNqo5HEvzAX0JxN3Q37seykfw8caamd9uLuK7uh4Sql
9WcEbo2kN1RUoV8KbxgQRcwttLeZYMhf0eSLKEiTLpu2EOC6+ujHjfxVGNBYAzeHPEEH6YkEi9wm
rV3mztn0XUP1/zx13BHr7Nrt9vbSZOaTNXPObxlXiPYkEx0uhwxq+hfYUIgdxFx4HyzVu+1TDRmv
B6pS1gi+4oXVk/ZmDunOG7CrGybP+RYnWaoOQBxMxaqoS85SzT7iBZzq8yOXeg/FVEVmoBzVFgHc
VUhyHVrLu6VemESkeEXG54K43HdV31UkQlYQl0QT8qXmZAwpZCrTPnuq4JSVbdV9GQpDmHsVp5zv
NOwcsnxIuqMsyd3mm8WF8nGK3a7dxtjgyMB0Yukdi4QCP0D1ZNdUOaWDB1QYVQp9Sw2DLHXH4seU
e/rzPBuNPhvKHE9ZHw32S2059WxvwkKLn5FSTNHsUgD5j3iGfRkWAdrX4NFs7BeOrx108rREg1s3
/n7RDu0XSO0UF3vLmKwEwcKon2PDKH/i70E7PJtm+7VK8rTaQ8yCnZwOA0B+VdaVQ5Vemp8JSuvi
D6huxo/0KSjoJm/2d/PC7QlHQppoaVpu45mC/XtutyPx9pXmOCMYEDKWKT3IzgUd5mMKw/IjFgIM
1+wmbn4omGn9xsv8+k7JqrIDL9RgOQQ0JncgH6wi/G2nbuvFwvk6WVH6aU68RG06xiPxpp0hdaC0
TpZhY+dxAutqHRXeeyTNTIEVdlSXqrfghSOxhrgxSkMAoHQzXl89vhkf7KWImFLAivihNNrmkxrG
BdW0ubjtXglo4dvQnGRzkBRr4TrF95PtwNgiaIyYGgy/+upHwnaMz32JSA0oUYh8Z4ySY1YblQ1a
xRdK74uCAQa8/QYmCfxB6PKloC0I8s4zuqD2o+kRn6TR/b7wJnFVoW4072plF2iiUi2GfZz4Wgbu
KOfsmKvJbnhfDidFvuQ9+p4hJmSP5ga3+s1EOclyMJl8AMnX1VectpB48VPIZMckdKUX1ab/3azh
WW3giefJ42J2eRMYrgeTi7rEtnm5hL3CS2+GUO9bpDHd0TOA2BncLnBk295izXUwXbsd+SGVD79m
htCbUIQj04sIDQvw7xYQWeL+MaOHe1Cq76KdivtI3btytr7LCadi5qjDaB/Alab50CX+WH/LOtWJ
bTLAiD+v3LB6RwgGEAgInzfsXCNC00WB4XnHzhrT9GFprOoHLfL8wqmWJQd0M8mD0bm6PoxTlDh3
UML9D5hRJT/KXs9YmsFptiEBly1hX1WZxLT1GHZvCjVwQcOhKhN6E0imW6QFiI8Y1kZgTBXN4h5/
NML7mkRyQUO7c5bDmA69/YyMykr2oejTe0yXlz7oKHizx44+Y19qicuWbzQtZ2ZitL+I7LHTMzTD
4dW3w+TRpt+gZY6y/p/INdVrLRFZPXr+2FbHpTX7dyqfZPbFBIdYPi7RMBYEjc5RzxpFM7IrVTP4
FAqZ6k5ppLhhOAKtj5OFx+02t3POOkp+Dl/uQY2LKL1Th/esVdoHY9S2sUOZUL4AXye/KmMwftSQ
9ujuNLNDiIK6+GYUJXUiSYDNcmRC5CaBE+cZRVQ6xYFI0nXA5a3BmQU17X0LrlDuGhNSLkp2mdlB
ZinDAbNf1PdyihnVWQO6IGqYJlt2U4mmNMhVAntwwHRNHl0Dvsgh1Yv4ojT8qZ0FDTs/mK4Kv7sj
H7XVocbfiOnbExoRiFV6ggSzet/A3OmLcu5PDsj3PnPnqYHfwFoqkL+V7ec4HQxxhLSI32ArnXE6
NECfDYdC4X1DMSzfQaYQ3znbB3dlTmXRHqyxid9bsalrmPzc1P27OBsr5jdwSsMgLaZ55BJykuxo
iUhQbbszLSak9rLaGYDjr1UT2/ogZxouJlhRVTzEgsgUlHxhpZ/N2Km73dDMw302ZCXsUqiQNFCS
ud8DMovKhASbLIz6C1mTI2n3iZ6OhgW6vQFgtY6izl0TVteElgeJRpfusP8p75y0bOwnEibidu8a
KxjTDX7yzAcqv8Iq5v1sFqZiVG2zFQMslCKq38twYuShl6GH1IuBPRqYsZq7c6oqvwh8Ez5ahroO
5j3W5N6BM84cjkYMXRUqhN9xOoKVf4COPlNFO42IHqJWl/3j6C+LRvWoFrgKJuIHBhc9CpdOI6w/
FG0Yqhc+VAl8i1An3I6hKT8SAe0k29pKaHpVHPsh1LuSw9iPIQjOpkZkPkAWuA+F4ah9icThLstY
9O+UiU/SkW4dOj6dFpQ5t7GM8DXPJg0cWlbjLwfawXKi+Wqng8FQV54hx1NuumUm9xDbcxZSmmQP
urJGuKgw4j+glYLrxTqt8hdKUP8HBMcMlbCKdLNFwCXoW7EDjT+4TRx9g1Wk5n2NcadDP0ESH/os
W4l9U/xuPvHFk+w7IPcfYqzbcQN7Nn0AKWqTM7kOxbCdiqz7NRGonB6AhGD5N1gEsoCakl87oXxf
9qaj6+VcsZWjXW4nyXMSFSl6DMVW/sTtXML8hwcQPcRwo70zNPJE7nSG+BRqJEPbXTj3zV2RyzTc
guN5nxssprIDSkHqGV1kaX1SrZXFZ0skFVmalBjIcRgw4ZUZgQpuopAp97bN7a7+PFYZu0yIFAtL
zNEIPXBKs+8DwG4vf4KWi7e+O81oUWZRR08ExVXcukM+BcwA7DAo0hGEuzak97GMYDPxTecxfGCT
QahYW7r3ZmRb+pgvHpVLqDyOCNdBluQi7fV2ndVx9fuyrtx7PSlEBgowgMPXGtXDmLnLa0IeNP8/
MHl/W8iQmZufkcuN4GiYnwuew1tBl5CwgWv6EXDokjx3yAJOIMnZGINCogIMSss2TE5Y0L2NbuFV
bd1I2NkB8k3m7UXiFfZhMhiV4sBVtgfTSyDTNt0sk6Pthom9H5JYrmwxJ33q+zGsYLRlbv20FG1S
vmP/Vu4ptIxxOiGbADTObf0UK3Sz26qOB+ihvEQqcsyqhFlb+gE/oMk7+3VbPkYz8vWTP+MxAtkl
W+gkktmD6xKmvxZ0re2J4SZNFMCUn5jPheF49QZDtcxmtaVLviv62Kl2LUPU713B4D5QnVG120aB
JFFiLdG7DhXA9K3pJTEXCRVbFoRQQdxDPTDsOtZDq6gcCUP4RYY7CFSqSGPama5Iy8Og7WF87q0q
c5Hy5fMnNeLazyPcwkOeINs7r5oi82D2sFw3eomYTmDwwMFeRqgTQaMabp4ig/iymTLX4oOGKWMP
ILoccrJpuD/9WEXtNhJTnGy9dm6soMDA+jT5HJ9buJWYmjpUyy3319R2H7shWlzGVGQpVRRNNoKs
SM8fuyz03kVMeCxKBwj8O9Puw3RrQUOC3VzFiJxLzJrRcORON26cUDXfmIQwtPdLX9LJ2jHEQl5O
AnJBXZgdoY5bWSCkWgBsXG0nDMGQEAeY5URqb7WMAE4zxBmgqxKyKSVYZnZAgpDpdo0aE2ObZh13
W4jPo32aFujjR2cqvJ9MHpBeAQqlUSCnZpLBUhXzR3Yx00Skl/PGs+bKOsgS51nsEwb7QwPbsLqv
/HHuz1HjDJ/Y4Gse36CjoPCr6qfs5fwLcm6CXqwxZhhgHsWzq+F3cml4qJ3qtEgC06965t1I6PyD
MXVLu52iMFyCVkq6KJb7cwUj6hcjdH8H429VHoFPt6/LPCwpH86lFh5pNxCSDFHzxIyqoTycYLic
qNxHj7q8bb1NFS6cetLH0GGL0KasAiI7HNgua8Ozm2JM4Mla7+bPg+/072VjdV+mQs1Hsq+r5NyA
Vt8pfNFWyeqI1CYnNgXWrsLtH2QrTO8bGG+vIm69ktKysmpI1xzcLHnVTAEOViG4JuEq6uiNhpft
ZhkjBPJHfDZiD6rDoYbWh4GD0XjwEbyofCYWrPmCuW38ksyZ8cXSJeOdQnGb3OOElcsAuHJwttDc
vXuVTshGyNexoT2ZRPjJTEGPKEIxHtcZKJM9KPag6/DpHjp7qr+bhB2PgZ5sbAewT0Ahrrwqcg8T
aR0+uCAEo5d+dn0aPO6eDc2S/6mDeZegkgm1i6lQ6Hxw4C6nB7CE6YMqluaza2eETEmrir/1nHpT
kINCf28M+F0bKMXRdMCD3vzGksAnlDbFpC9S4/SEnYS9+uMtjk1qSJtlQefrrnsm1aWFQi0X64fb
LCXdCNO4clcpvLN30aLq9wlePzJoah09JxhG/eQyV+7O0PksaKctCY+2zPPvJfO6CcJ5o+hrltGG
UyczBlvtUEEeWiTF/FKjUIUJ62XOUQmas20Myx4ISeC4vHFb3Ci2woqZa9hT5ONIkWBe1DOm0Ycs
qoaQa350Xz3TGlGzyMJ5ilREL2SlvnwdQiWY/ldqepcmeZTfudBWfrlqSF47o2YvF+yt30Dponf4
2xVqixFS/ElVVTocm2RBnaEi5R8NX4rxETUYqV6DP2nYkyKR89lz4ZhSPA5gIlVGYukm6yf3yzxO
sAQm7ffhIWMqfWch0Uv2NVkpJqVRt4LHyB/tw2Is871u+lGfBII7f+dmNK3oC0df3TEr7Qo2YcOn
MHQFHI0qM82YhOIgsXOsPq0fyyjE0ILVa37MOC3KAwQtkp0Mmc3dS+bq9Dnr5uWHhbbhNFloKNcx
+Yz4cKiaaA8Hz1mQInnA1n7o+mJr11QBp9JtbBMiioHDnJ3EWXRwcGJgJu/YVbSbbOrLA7h8bH2d
umn8UNmD0e2RMLoPSx8V7cHFAOJLouksAFnr4gX6ZjluRocXxzLAl2DLjYm3xhi6y0uVa2feACTM
cHVbA9e1yHLhsmhjpuWh25+jYwRSGQhzYsCfJoVlU7gMzc9eeDQJPcyCftOP7mTT7Szhu0IX0thL
5AI/zDyX7skehfxHL7VTAK245nO4ZAUE+8rTr2tgdAc7rK0pFezSd84LtEqC3fEIeSpxqrKR9Ucs
rdUC5anxIewHcz04yx6VeQlFFhnNxsF69NuIch4U3XO6b75bxMZJg7e9bxAmpBu00MljD304ZShU
288W2DgLbpYMB8RcJeEDwsMEgWfW+k+dlefTAUEm6btiHdHApWneG1YPUmWWwo8Dp88bdpLR9vrJ
H6MpCuYxJ0Osw/K9OnJSUXz5hUWSLyszJzNo8rKcpaUwEUlKWCRxxLiMQ6n35KEWtgOT5zdYVKyS
UGAObqztjLD7zqmmgcVXQGeihooZzWDeouEEWgyxvmdt7D+l3HTYwnCnfHXRdbXnJA4jERiTAooA
mxhloDAXSXZobtWLCBcLrrus44KcilY993HDgd9p6j2jaJDF4oVTc5RjkOgzJvDzSO6WLKwB3ESt
9iaDKshOZSydrWYYAyBpmtUL9Ro13ViZFhq3jhPrsDhyfsotjtPNMDNXG500WavpFgB6GdwUkKxK
4m0yQQDeDCEpSneyNvNu1aFQVX6nvVEKKxBHPPGeuVYcxyQqDCH9/M7GiOtzWDUdrguxhIC/JBwm
e+y6+vZs0sy8RKPK0N87dQJZCCXVsKlSeOgPIBBgYlHV2Z9CLwuf+2gJH0xGN+GdXbmL2mK2YYyB
749WsVlmy51h79gYp029WfwidrD+YsQ6/DTDGl1OqxXXL6YhCUlmJZyIjdcvA3bgTQxMZoV+cY8v
NOevtIf4O0ZGsTrgJkdK4jzns0snhB/CyVB18xTGjQUk79KDBU7L7I+fIS4RMDluKI/KgD2PEB/l
2c5rm5ahROVZO7ssILqSMugcmZMxu4Ank4Y7e1EeLDYozoRuZLkuXxA76Oc51cM7WVQdJzZM9g4a
fjx9bu21VUE4MpwxYYBA5mWFGu847kLzPasRBYU7y3KAu+Y4VhCF4CYoQCGybehRV8d9sx/vQm+C
NOkYDjaZTPOKretFlhltMrKV/mkYua/kNSTGG1D84Yu2PKjftCztS9zXcPWxwbmrejdxgnBmJodh
U4QQLZRR8jNqtDXt4Irj+bKaZYjNAgck3DtAMD1OAdL/7IQi/oRHe/U+mxI2TmKX/XF2K9NkLhPb
dyhzIrFJWTR4/lP6pIGTSewk5sT0D5WfynvGtH1JDDe491Opc9g5INfOh973hm5Ta9myESAChSAL
EZenTSXZPS5h0vibCJcqZ9tZ5SrfjihxAiOy0le3S5tl3zB50c981Oml5Z7Ckd9ofMBU15F9sKAz
gFjJNebyuhxGnoW9dJ/wemIclOde/aPzB9VurMj1uDVyjWQDVgckErvtjX4TrakI21SGRXJozalm
bKBbMjsAhmT3KBY/+QD27zqPLMQcs1Dh6jCwGofrjWkAs/RIQ7MGv3SaKDCzESsY/tGhCfA9xrAg
VQseeAgZcffn3SK2AkkCg8XTQaW7dhj7dN/hZRvTa8XDoxCDuboHePHDskjDex+F9vyhWDcjSEVK
w1tXvvvBhBKCr4FTZ3dR6+USax2/ex2Ygk6HAnH9Y8HdQI5aSR5sxByq4pbQ49ceT+h/sEqw722j
sPE0Ul7obSMb9vQZCZuJdXNdTSdsiZxz25K1uEHRAk1iochivdLyO18tsNHPFlRNKihISGCb8CvV
e1fksg6GdnCxuOFu3naoi044UAzNgb/F2aYbJ+YFuXBrcyeRFBV7z9bz11yNgNzLEPvRTtAMF1/B
Z70Abe+K7siWEppOz5BHqIX6PMgBSMnwGocSRTn+N8ZpIkd9b8Xr/YAtNEKJfJQfsGAz30+dyH8Y
rJMvXTFVD7EdzateJOQEdcK5/IFC31ylyRbImY973T9xYZBix0DGnTYz99edz0qf73K7yJ+NLM2c
7QJBON04Cu7BK5YYETI3AoiRpeHLDIS/0DRyzzB93vVTPb5Mabr0LxXzOwRTftt/KoAnIYkSAPsK
5WL0DvDJZAMtqOSkJA1SOZumoQc9jmZldF+ZlJvlVoxJU98DcVTnilJrObTwZEQQm5GBlgFOF+48
xRS/oyQRX60opBAtF3gkkLd72HCLmTY9PjpEPmwaBk0VCLOs08Oy+DNSsjKnjq5d02fNxaVNxcwB
OO0LujlOgaqz6ie/tLNHVDRtej/WuQM3yCxgYWWRLKENp3YUOMDKNdXksA5GG+wX32F/hmbdsRKv
PEGbceUWolb4DeutKH2utdOmezIwRBm0wh+hZ3qieSS5uWk2VmLyqVHYCHEWHjxw6NpefsitIo/P
YKUVJRy5RDDmy242X3uvNn7SmJe83bFS72a3sCFhzmnrbvCL1Mn7Jlq6vYymWQe5mGj+FzF0UGFl
WO2h2aXPFhZHeERVVb08Jk0jyZtFY0PyGzzcqHj8HziCrtEn/XhyvSE+48tZq4dBJKG/WdQ8Wbv/
EaFsbeixxWkJByKyrKKsS7x27DIPRuyApz10dLPiX7XAUqjSej7W7VyqINfcWLPmh0MxkY03bD2v
OIi6FDj4amLrSruy/v0PV0+moTMzn1qfcIo2iTesJEQRmLyClvOWK/Q1u0RF/pnn4kHJfy/MLtPV
JhQpjz5p/BF2IW5HQeIK73HGFWYLWKS+GuFCa+FTBzLkhoxWUZijAEzlDdvNaw6RSpIZz4RIkcd0
EYphsKRBzkx96tTS7zVGmPhjJ8PhbbfNK+aXrsIVzhNyjXOQ69//fLcRiO5MR3LSYfueHzD6LGPa
Rv4B4wSUQD/V5Cix336odfUt43xvwWzGBP8yzKRE+ziG4I+ncRisZ3gN3sEWlrG1mc3sqbqwLIJw
ExSdu+zqMWs2pJr623qsbqXxXlta+HX9/wdZzUj/+PrYLLWqdXnJQ1FguwfvyvOs5A6d6HAjm/Xq
zwl/gySo1dH9L2tXd3JzZbf65DJKPkhPOo8ufnE3zKqvPkXZirclJUy3i59zgLCirU7SwRLLClBl
O8dqbJ3g7d/v6qL54ymrc/gfb032kQsta9KnGjX0iWiKKPAYFH3Ggqs8py3MSmq+4cZ+uPJTkfVj
kl5qmYpA4YuvRnK8D+Zo65PCCDFghN8/6mwMcW1D7/f297vyFiGHQrNx4S9hU3/hfK5xWYIgkuoT
CXUC4Wzvenu4k8zR/9PnCFaDKYm9sfCgvTxs4pLjHFYLqy/t5GO1CLijyxTdWBN/G+ryFMpIaSvE
kX9ZzeLSCEPcYeWF+CzuvaoRH0N/MqbzkqTiBCQYihuZ7H87xxNEZdpECJgK5/jLtS7IOFEYEXUn
SgT9KXZoM4w0z4KpdCO8lFeT/8ytsH0LhbjhePs7OODffrd4P1v/lwpF0Kpaf9s/1iaeQRJFWLKc
+sFwrVMG8xfPJdvwaYDrUlSnQUFEPLWaeuzIgMBtaFMs56w1OoV9ZvoNfVWImJhxPYYtTq7mYos4
InSOJTpa+AQFBqAMXT0/OhfKYSBfw/fe5Gjxi4AcKCizBWYnUAfzxf6g2kXWN47Pv5cnX5GLwYZC
YxNacxE7aPl5lSSJmE+xl7kfcIiC0rDE5ru3F+ff+219yrpeOKFJRbrYb21mZDbjjZmpFf4CsTH2
W2OIxWmsl+7w9qOufiHf9T3fxjsRP6Z//2YmGtXFixSPIig7yGxA2pVLeGNXX/tCpFsQHSdd2wVz
//dTcI7y29a3SReEXbSdOwfPg4WmDhHDrZjBKxsAkNMEZqXrUQzo/v0oyM4lAkZvOkU0SNUmL0aM
ofS4ehnhXCjie/xV42+jr+HhityY4xsHy/rvv9gEHo+3bIVWlRHBxQEGsJoW2m6mE3CJAZpYMLqt
Rnh7IA53TWOmO1dWt9LHr7xfDzDQIaKMY4bI5n9/6Tqsk1T17XxKjYQsD3fMA9XqMZD43fznPyWP
WgMSbKI7SJD896MiN8U9PmNtpvb0aotJo/Ni7OtKu7jxpKtv8o8nXSyavjHwjtHFfOopQl+gcbmP
pV/NaGXEcGqwN2E867n7t/fD1Yf6DBYlCTomFce/vx7KOBpoD4VHB4/jOzsm+lHUNC9eiYS3sLT4
NjOE/f72Q6/9fDZ3ns1LtT3z0igcAVvEfCcbTxGil3NToLYybCQQoNXtjZd67VGeK2zIeb4lsCL8
9/fDdJoWdayn02jjBj7aDWqkZPhHT6N/4ya6eJMk9XiCcwW6AW/RhN367yeFA1FBLsI9RPVC4zAA
d8vaBWaJF8EEEerGwfz75P1j3/31uIuDLC5rvImjyGV2O1jfwt6WP/E7H4q9rtrR3RatnR3TOq4g
2eZ2ffakGuzAD5Hz3TgALt7w7w/COEWSaOez/i4rC1y5UDK5g8vgK+1f/RhrCEc00VPmlHHw9rq5
OLx/P4r6GcjVdx1qsItXTJ55jC/yrGj2DQlJ1Fx2ESZWN5bMRRHz+yk+RwvBtxa3+uUP6ab9qmJs
vSOeVeoUd57YSfCjPRN+vJTBVG+8wCsLR7IAFLeR4qa9zCeiYKv7mjHMkWRffReC7ATtUhiPvIFp
O2EGs+/mrrrxKq/8ahhJczOZ1ISmuLzYReaHkQdicZQ9sBXOgat5muGwBZ3kRjty5X1K1scaMUME
ki0uV2oMKynDgfo4JrW/dS3kvkONsUuMB/zWiKp+9/YqufrV/nje+vc/yrIcL1bm1qk6Rm6SQNwT
4lFVCP/8qUmP/8WjuHMlNQvv8nLt1ww7dALEeSwYrW8I6kJl2xjjx8oNb3ypay+Rbg4fSUtZrrzs
E3wpQUmZvZ3GCjNAbBaboO08kg1GjOtS5YjD299sBR8ujhcAAWIRPcoyHnsBTgxJYciF7usEoqjy
Ux8OKMFKy6q2WSWJ6cLlPw84buF6MP8Ud302pDfq6yu7HZDAY0HgkcHZsu6bP37HHsG9VQovOmkc
menCCLIxmVnd2O0X9dO62zm66IsIABGmd3kXgX4mOQhWxKilr+8ZUA0PLvavD/Tq7n0U9pW/4w31
EYxk/1a7ZF19OJFkVNZi7WDWX/3Pr6iWCCNYkswhCvnNdppTKYOkLciL1t1YMw1vKoAIko2Az52h
i8MzErMCxwkDp2jwX42Gc8J8Ye+SPLRsGkhX+gDhAcYDHCF40IsFtLNFatXYr2+vkGufnU5P8O7W
/13CORpvWlkDYx4jolxiLGMNVKU6jp9zHPbOyLEdhjod1H0EAf/F4cUlYAM8ICv5q+YN1Wro1NNU
mQUKMh/CKeEpDk6kWOneWITX9gEpnWw54sEoOC+uHMWmM4tySU6ljjMm8bMYUMSswvOvjMjEVxKv
rS+TYfuo9mLbu8+sKvdvxMZeO9DIGBLghEQB/gVhYfWKRjYhCRiFX4IMoQ2DWUU/UKotN06ZK1eR
beGsRMoGiI59GaDERCwy7TkhZR47dXcTJ1iIbhNttMs2RmWBhbfr92OQNKO+BYdeOeBsEiN/JysK
euqLAwejSRbb0BlHSUurH4rBQwEPXwTT+oq/vXR2rJsbN9OVF0sT6HKcOo5n/QUewDYTuJplxpEo
hI/M1suPZl58LHpvuPELXnuvvE0KQOz0/27S4IhqwxJVeMQ6eYo3JiT0eMnlcG5Gclg3wwLJOQAP
xnDp7U167RtCQ1hNURHy/AUvMZ7sdc+Y+VgxRPN2BESUEDxcK5WIY9vlRtLQlSPBRuuOEJVrg2Ph
othW2si5Subw2E4I6A5+D/uXIIrB64+EcbbVAacm9x+kPdF7nEm7+T8/ym3HBotEfmrhdXaxhFAk
YCLqeeGRUsv4aPnY2O0i1c2owCgzpnvt2XBkbC+t2lOzjIPx6e2XfeWssPFJJzobAIw9dPH1fc+t
LIaO8Qm3CTX81Exi4nPF+ht2ixhHta09lZZbqGK4WurIQcRs+R0Uh7c/xrXfnLdv86oZf5mXm7hq
mgbKScEmnrroDl1SStQLtlc4tRQ3NpB19Vk25z8FMyv7cl5SQTHMFkMZx7ZB4PHg1zIy9xj6xeiq
ZqbdlULcR1CHgaX1PnbNovvso92ZtqbAKGjfDEWbHhSD97MzGYa+Gw1jxia2rG5lnF79oGt7phjq
/N2lOMVYm34bGUcPFZWDnDyLvhrD0Nq4nLdI69/+Ca4dZixCwZnirb31xa1RoAnNQvTKx7h0aYww
b8BA14sXeYqwu8Y0FJuV/duPvFItcSOC+gt6T8ahF9USNU4/ichMTvZsFXsc7Kr9MroiePspYv3k
F3UhhQqjhRUPYbFfrHFYq5hCeQ4VS9vHxU+0L8wwOscijaXF72+C6Cci/zz3+AEdtIno6MQkHQeF
kNl2eoqEzNPPDUKl1QJJtnA4ykE/xmOCErKXQ+1s5yVVhGIkrp7PIkVp9pKES+r+g1ZgdQQoarLA
YGlH1Y3D63JStFaCvzeN564mcX9t39G2pkyaVnIy/Fz6JwtezrQxQDDEpplnP3rQqQkfQYQ+3Fe9
dLzhwrG7NZzTyB9x8CQB4e23fe03xQqLvUx0Jm3auqj/KA9dqGzmKN3kZKmwPpHeVUM/72+lZV/Z
GtQ1YJWm8MnpvOx3G3zzhtb1khMQc3o2KYefs36pDyoprS//xRdyGKyYDKb4z8W+QHjdJrBpkhNp
UdNhSsnIsLxO3nhtV27b9d/NNsdalwrxYo1ir5uZJX3sqdcIOQ0F+wdiRqeOVe3i5I3J00NkxfXh
v/luvEQGLPS7l71gvgwS/iwbEGOqCIn3bBvprmq8/MY7vHLJOiuo7DBMFGR5r3//Y1FgWYfSADn7
KUPxZu/4jqU4J0pIJAFZGeKfG3pJ/WgQf/MR43TCgd7+nlfONgBXIRwCYj3fvDxoIhgRE9Ls9aBp
acvAFrdN0UBJbc2QuUUfH/+L53Gv0gMyawT0+Pf3HeFh1tKG8FM4cH+WCmKajX/tLpnj+bM5pfrG
6rny/WA5rFNwQHXHvTzhelAav16a6ISOpw7ymLiSMU3KA5jzdDRR8dw4d65sP3e9QMFDaUKVd7HJ
lRyj3Avr6DQP6AyXnuw0As3Efia07kbM8vVHcQPa8Jb/HjZydKcjVObohBQQq/bGFXcNWpRTPSbt
6e1f7eqjUASzVIFD/+ok8Aaw8krQHQ4jhJwl7fK7sIm8s1Ho8ca3urLdXYZH4Lser+8vnGDBkHQc
dBaflhmHsrsByT9RLTSEclc3Cx7sc5ym4atT9Ev8+e1v+XvIfXEdunBSfX/tRal9LxanReKwcBIr
OjHHzZoDCnqmjhPC2p9d3Iu7bKLw3OuFgKrdKE2Yzr0PzWav3CTOYQIhvt0aMIM/D510cA7UWt1r
939JO68dyXFkDT+RAHlzm6nMksq1rzY3Qlt57/X052Odi1OlFFKoOdjZnsUOMExSJCMY8Rv+j5MJ
bvUxlA09err+k7c+DK0aes4WAY8K4OvjlE4msjvz4HhjbeCupYWORxUou+XlIx2vD7VVo6a6YuDF
TJ3RoHD7eixJF7wxIIFephjqI0ZNOolwOZ4GNSyPoH6j05i30wktSljQ4OmOdRf3O9nwxnVp2ugM
iVctEWF9XbUAz5pEbhy0AarhXwmw+badJoCJ9qIfZ9wEP9pG/jdI6mFnb2wEbxIK6hMmMHDac6so
tMDIiuNJcbx0CDovwFnxvUXXYW+NVdZwvQN5cnDOQGjaF/UrGty9Nsma45Fup8WhaiU9cGdwbNFZ
hbL4HWHR5GsH6fSrgXYJbLAkKnhrRmVZnqUlSs0bq1uc6O1BgqKdrGjCVp31X50LANgt1Hf2Vts0
6QOK2ss/0wmXGzqD8LjnoPp2fattfGWLIppoQFAPAsT0eqdFI7LkplnZ3tjQd3HMf5YSv4sa8wFz
jq9Yc/8sC7gO18fcuHcAh3Df0PkwnIvXbosCY9Gkk+MtoVZ+b4Mca0C7Q/pmsijTLtUfyA76zl23
cXo5ujwsOLhMdp1kIHmA7H9YOl7uJN+pNHXIcEOqrRog2tdnJ77Qal+RCnKt6aDCaBWstq/ZGCaS
qLrj9fghxEepUxEsaOG9TAAuOW1oNqCAi+qeUv9CaLJFujRvpPfXf8TWdKm9GQ6flPbZ+rJCsVsa
4pqCglJJao5Okmw+tpYRKEf0LHBA/w+jEUcMcn/9svFjoGM5oDMY0KjoMwH+C58aI0KWRRvq/zKx
F0OJy+NFEocT3hBO+RB4MQLFiAhJ3wGYjudZScf/cBIp6KggZDTQg2uYVj7ywEjQnPR61KV8AfO7
B2Edne0ZKryNxPHNf1hEcm72JrAmZR0RK02jmJbVgQeXEfYarEa5P6ltl//FzkR1/sMZ5G3Ei43G
yGXvLC6ElUZnOh6UYtQCuwnZNxR8DSN1VVQlKbAkkMgORmjE1entEyUNd2xg06zueqKOhvgXkoYc
fzsZTjIL8liUOfYEpV7/h6Go4NFWhgHPcVydRQnuMBLtWeDhUA4DiT7rsdVD2VN6e68CvHXikKym
QiIgXFw0rzdmJwzsMdyzvLQcs/c5VnScPdTSh6XCzej6Cm5dMSROtAVFu/Ui0x4tp8A/l8ZgpffW
e2iLC9BQXf6gI5eK1kQ3tg88s1qwuO34faQ1s/e+3ooayDkbioKhHUncKmqEOqjaMUfDqQRnJfuw
L4r+vFA2+YtudfCvjqqhdcMx076SLWThzg27tdQOpQaAqcz9olzp0MOj7eBYQMPm/F2Xm9O5siEi
UdwxdnKRzaGAQRgkI8alM7uFkkWMO6ntlf0QnJtEW9x6iNNbuVX3AJsbzyeL1jnS6wZ/XpS+NHTM
NUqBiLw49nJf4ZN77Owuw0gBEuKQNnsbdmMTsXi0oHTFMi+bIyFyGX28ICqTdBWGTYFmLF/QcYDB
EuMe8n02UqIXerTGbx4R5e2stvHf69t4I9EDlEBI5pal/rw+nei5ALwDmo2gh2Edm7bDODa39rAP
G59QNCrFOSG6klC+PpiaPXWYZCJG1U+2dR5rPTqC0ZluoO+aO+fyOTVdxX7SdlCVCKKqxmU2hbEM
freO4w1IHAyeMSLIUcByMJRfNaQ156tSZaiUZn2fNX9DqTPul0mPH+Fla9XTole0iPShssbHURth
RoxdPWdPEkLbDbpYqMyB7ivDHHhRlH8qK/ouKPE2y6M5IO5/nMcmXe4HTN0/0QBGJg1K4dLfLGgk
/HESZFAw22lVwGzjXLuQAdriCCU+in2MMkLB+tMwtWlUS49u0aE4NE7mfFOscZ4+GMWEaY+qxbri
FXGbfVKWNjQPreLEg6u2OFe1OkzmAyjLqjsmeaHKELri7ieSdSro37BnK9l1G300U3ueEJVJkTTN
uqEe6DPoFVKnhdNAcu2TTj5IMm2yk5JXxnKwK1t/TBDkTb8iYK/Jp+s7cOPM2dyjz6eADbjuYc8Y
Mya9OHNUtbCuGtH/kDRcSnKkyvwBV9y3J0qMJ4BOoMYgfK/uzZgUNDCg0rMzZOsD6rf5bVehZDXI
zs7Z2tr13IGod5uU0nnlv971AGuhlyxR6EcGXPez1RcoeytpaLcodiCUs7PzN1J6Ih/5NQUZwHDr
pHeuATvwdpa8HmDQmfAYfjbmqT0kaWS6iY5GG5XjcWfQzTnybwXLSPXnopGOAEXdKrJBF3IYW5+P
FzyqTmm+63EQPF3fKFuXpSnakFS4+Gv9TBK8/3lsG/oSAFYGOkJqSNHCaFBabyRU6PFpmkv9GGeI
5qlDb03HJLK02rv+K7YmDO5ItFwVQ7mI+0Ek5bM5US2sojH8Ylp5cdSXxn5Cmm8PXv+cha2vMnYp
tXMB1L4I8bBfLa1DD9VrSATnTz1Woj/oh1rVocpiPTpnGALNZyD4RXa3xFJyH3Y00A54VZjfUkuz
H/Oscjpfg2VauNYyYTWBbNwyeEUp6cmHODQd9FAnw8J/E+/cL/gqpfZxbDtZPhgdZlPHgt7IT7Ab
yROpaiGdIe4qt3iBolQ02kVxh0NynL59S4FnwTsJbUUsHtb7eKImJymmKnmOnH9JU825qWYTz01E
8Xa+5UbwA34P8pjeMp/zAqQzJKoTYOzs9WmXCdlo7t4SUv31HbNVSaLUrCM7xlhU+lY3TllVutPk
Op8x1ie0P7TGRTIQorujsMRJgR8eSjbJaTLTb+MQxaewV/5e/w0blyw/gSqSI+p8vKReX0VKTyGz
cCSOKUQ9T9JTVKdKCOAngELKWUmLcAc0sHFMuPYo8BPsAauv7752MRFSbWfJS3VtOOCimh11R4oR
7yL2Xp/b5lckB+bae66TrZYXJoiWGL0meQaGYF5sRrM3Oo2xA3TcGoWHtQB0WeplUSguajWqxkDy
2lCfj22zIK3TIap7fS6be0WA5EzEP+lSrvGUpY0s/TRTwJdRt/SdOgw9HIH0d4NJ5dtwJqypeHaY
B31wTEx4jSVCHqI2P1z/GRuhxFG4z/luQBEAq7/eLpMz4o8qxZT1URD3ZmQVhMZagmiWtVC9mRCW
Q2hp5ztuDSqwSsAPdMLJuvVf05nCc3Kkyx2F5imUpeBWU9riAT5x7Q1hUX9UUR3ZqTBsBBVUqtmg
XAQGR3OVmTZtHZvTVAIEi+LqSYkwQQk7vNEhL8buJDX53ZTYyLtMRE6lwNv2+kJvnUte4TqAclO9
rNrIsZAlM2rOJU3OB/zICldxqr+BTaWRZ/+0s8SXm5i6BuAO1Dgt/bL9lSiIQqi4GHnRYqmfLaRs
cGYv5p2zf/Ey5VWKvwWNGioL/CV+xYv60KzW+BXT1fCcqrU/NENTvesdtXX7rLcekaKzjgveF+EB
/NKbHxoMDWuQVyn1RYFXej103jtBYqhW7yGz38uIqkX1jzZYFvQXCjQP3nxauQooacAF0GjX0pZ4
PVw42/oyo1DrgcZg0+BzIGUHROqW8N1gTbXpKhWF0ONSVOl8qHl4qHDiEV05kEolyQ6eZWPZeSDD
7xOnh0RJbPUXy54kHRpJSTEw98LBURTgPlb1rMbXpO7tb7Zc9/o5bDULMbzI4DFxfStvDC/ohgQY
0iOi6eoa7lEVGUY6/AgON9qxxLCaHA0x7AOWSsM9gssY7GaZdav2+de3j6ySzAsaGxXt9W3lYHNB
kaUZCQBBc0ztKruTC1g92IAW442CphsuRTX2o0sS+NeHVi5OFLJyYBtJuGkRka6sdkBgQ42FKTJ6
yWINt2mD35Q7F4HqogS1IKXfIoiT9Np3Z+4HukZxe05kLcA8EVsIepjNoa2M6HcfFM7OxXZxm/LD
RDjkD5BD+DO93g2YG2EymKiD14+S+WQXpnMoqsW6gYOwfG6cSPvS69n45fpyXFxnFN8w2aGgwIhU
4FZ7oMYwVAGN33tj0lsDvgFO4s/ynHyecHPUTo2at8XOGdz4ALapI6FNxwbpEmu968eUAxhWg4dC
E5I+ajyfZMrgp+sT2xwF7JAsqvnEC5HuvDhbLYrOcWm3nC1e5L+EGOhjh7DJzjfbGoU3GlEIvIDo
kbwepdYzGylOihbNaBs37TCVZxqQe52CrVFo2FsyKNkNmYAW2wKEvGZeAVUpHRHlMY+z3Vg718El
Iom9ACwHZB2xgFx+tWRVTaXCDPLB00cL0Va1DBsX7z3EpTX0El0rGakzUAAxHhc0Hd/XeV/aLjmp
hqgVeseje/0LXmxN2BvgSPDhJaGhoyCurxdfsLS6qLIUtIQjCTHSA9ZCuE10mYwnkemU+A5M5F1/
ro95sdJiTMprWHhaYF4u6tFVGQ0tADBPIj193+td+5hXwbizNzdnBvcUJgxxnYD0emZoGBoQefWF
FCbEc113ei/p4/oj7Vv1RokjXGyuT+vipqcfzlGjr0aSRta0OuUhuk4FX332FhSlTw5wtntkPpNP
Ez4Ch0kJrRtVKWsv7OLwrR1EMTK9BP5DjKGW/HqqWKEFPSgQ2ZMQIDnr6Kt80Gd6CSYehdHOLMW/
69XjW4xFPOPrCVDs+nFoawjJd4iDeUCb9VODccJ915jRp7HBQX1nrMu0n8EUgzuT0M2b1xDf+MXu
nOgQ4jqgLt6YSfVXDQeuO/JRO8ZmoxkcvETaGDmo1uh+j+jWPtro+b1LEiqCOznE5Y4VDVrRNQV9
q9Cyef07kKiqhhAZI0+t1eI9ZA08O6QEJ5rrO2hrGEE2dFSVP2GuvB5myLvSSCy2LBssSA5hPbf2
0VFg+e/cQnsDraJDqqi5VONf56Fcrd8lDVJN+Fq8GXVFc+vFdJ5xpy++ns4kNTOZFw+Jh/aABtny
odKT34G6DG6tqNPOpC5CuxhOowYG50el4Ssm/WI4RGWoKlry4mHBgT94brR+rOvI7yUokBTIh/lY
lQ/uf/hkLwZdrSSWY4qx4NXi2cak3OAOnCPkOqo7++/y0ClCSEL8l/uMpvnrqaEHHeomdiNeoE7z
+0id61MHM9wLoTrsDHW5NUjYHUIBZ47IsA62GDFHHbJVmldIaeTqEQgevW/3qG+XExKjiCNNxdng
Vf96QqJiCeaw1rwOHc6jOmfjcdQmtEh7qu/Xv9BlHACwwsaAQQB09OIpm+hqFqSxrHnzssjC8kg+
zQvqWl2exwiFtvLX6+NdbkMY1cDnFcGZgNGkvp4a+c+QmX2kUxDIhpsxl+sfSJAizRlWIWKUmRPW
aD/28k4hZmtFRZ/AApgDamhdBi6hCFtRHuoeQM4Iv61sOGYKzfJS0uSdPb+1otRiBJyCZQWC9XqG
KIIntVwkuldnae1HXZ9+CWtzuV8Sdf6LnBY59fUlFYfodcwBa0bSRDQg8kCnfz2ggQBmXEWwP1Fq
bX5mcWrVt0tiQEjQqrxUSW9bybjJGjRfVSr9fqGr5e/rP2FjeUU/lyyJdIJMdxWJEAFusyouLG9B
D/zQO1Z11NNAOeHNON1cH2rjBFLdBvHPlDcau/Mc0aUKc9NbSi26gRRnugtrc7o+ysZHhBrDoQCg
Si19DduGAmrkA9co2Upt0Zoz8vNYGb0LcRQ9u2yS9tKj1bToxBLYbMskxwT5QwHk9Ue0QAEUdJgy
n8qKfW+gNYiQY7T3vtsYBQo0kQUECQDj9VbJml5z5jbL4OukxaMSxo27lPYeyXN1xsVcVBlXF9Fw
oYt1MRe9TtMK6KevK5joZn2q4NOQ/bJweKwO+oy77wGp4b033eoYPI8KIIZHHTVk+rirjLbvOgWW
RZP5oxEXnxOaWLdDgFfNYSwSPK3LFBW+Q4CvABAZI9Tep3g/JW87iv/7G2BFszcFh2ENvZQ0fZ4I
qpmPtqD90dBIuKYAddU6REzNjJfmQZJwkzbnJP+G/VD15fqu3Vp44Hm083hM894U//xFjK8yWr9D
2ZQ+bWbl2Myj9j2w0OAhP8M8QFKLB8hh3HpvHlWDUo98wLO+xZqzgYng1DpzXfoLZLMPYSerN7U5
tU+tPNkPSZX+jcFgfLs+5sZGZn/Rsbdocl1WbxQ0t7ulGQrfKWvtXV1KNY7ncuZdH2VjSwE/IACr
1GpA3K/qNEMoAHK1VPiK7dg/sAlL0tNYj2nlkdk0oZurYVEehiRMzAO+6UZzqoQf+4frv2J1uYpN
BY6N0j6ZPm2sdWtr7GykbIysxGA6aL8F+vB7LhC2lpCd/nx9pK1VfQYdkiFyka+jZKRg1dHFeenX
QdChmR0a50Wb0p0bfHM+3HHPoYLS8ipeobMXNTqeRn6b8PSkBdkgwB5gdNVKe3CniwOBbhnvTQON
dsp8xppiW896WQyKOfpJO3TvwyTTznO/lF/woajv7SDEcS2Wd2Lh5pikGrziwZNQ3Xt9COMZzWNF
eDkMOBnmbsN9e5eBqXDjSR7KU6XLGQZkGGDqO7t1FbPYHSKVM9mLFIIo5a4GxrirSNME11+846NH
B7FeLJWG7E9JkeSvllS4Hr1xu4gBddGk5K6BhrcasEEaaIzUtvYx+2lRtVRG+Dhxu6Myc7Epn0eB
CAMHjy25rlTQzCklaepqPy8nOsjOpNgfnMRUdyZzsSvFMMStZxrv5WdTEHfWga03fjNGS4jVULvc
mFT/RzfSwuHf9ZXbGAzotgLuhdInsLHVyiHFP1t1HHW+E3XSXRcl/Tmagvxxlqt4h2xzcYeJy4PX
MltRYGHXdRdnNAwkz4PWr6q27v4USYS8gtrP2WNRCaPHIW6M4RZf4uB9RsMVLU4FMbLr0934hIBZ
OH6U0igirhG5ZlMucE7D1jeCqL+Xux5vHiySn66PsrWogqBF7YwHGuDf1wfPjpeyw/+v96Ncjc7B
kv8E35GfgCkNO/PZOGnibJOvWdQq1fV8JhkpYGUC22Umi3wDPC1MUNnWB2GQMfQ3naN01k6Q3Zgc
r3fbhIGq8LhYZzeox3ST1hidLzfS9B69quLMm9e5U2t9r6C8riuJi4RWEhkURxqUzrq9qddOhGmP
gQszdvX5rV5GUXPIJRyFDxjB6rctxPa/RTqPP6sU9L8QM/mshjjAvfl7smGA7fATUJZbp5HYME4U
lITJCgaEnwGN4Klgx+glzDmOoNfH2viiTFq0oKjW81xYxSTLynmVxnHvx1hR3Unk+l+Cus/xKG9N
Wz22Y1HvkdYvh6TEo3F18hoGeLyeHrZCRZHFSetnDZYPk2GeMIpoXbnC4LaAf+den+HlGWQ40yEz
pplLami/Ph3LSGEo6uzGj5So9zvDxpieue6McrlNGQVhPqF9BBfm4oGBCaIejEHjx52zPFbok99k
oYMTpAId//qE1kPxpZCPQU2YyEN6tgahSrUeRE4v4fZBge62LbUWWz0YynTA3yqp9jwUh10DAwii
an1dIxGP5VWTyf4kR4WHrNo3vM5HYSS9h5Bef6X1SGLTvMjglVlz0rQrZXRfq/E89oHp6pK+7Czd
OiaIUWi5IYIlHp3kz69HGZIZfDhJpa+QjRTC++BJNJZ8VAWt09Apyank8fswFUZ7mpR5T8twY5LP
tUghMsOOXDf8UgWtBvFC9FUcYm4Lye69WDijXt8f6/PFJEUtGrAmugQUPVdHutASU4+5WfwihbXT
5DIwWnkZXaRtsKAsjHon0G7N6n9zFJjCpBHq60XtF4lsKJBkH+sCmbbtkibfmsay96rTG/ueW5E8
CNICYX0dCQasiWapMFWAxT2kgSCggOujWzWCsVMao9iJdRvTApjBAj4j3C+CgVEiczHTYEPY08A3
mTfQPR/X8q9/LE2szosiFq8OmlAQ2qBOwo24KGKpnZmAQ8UyjBPfOk9xCWXTj/Sy/VxXEoZVthxR
EgmyMDoXejs/wTxXVcIt+MQDZnuDiq5arETnzu6t+Bw6cgPHQlbaY4PoXYDyb4QoCjwSkuASx4EP
ZVN0khvg+fB+wVgIcdmM1/vZHNPY+T458tz+iCp1wCwS81MV2f4xkm6nQE77Y2csBRCYLJUxusSe
bk/XYusDUwmiXi9aSRcsiSlE5GpJM9WPZDvxFyzSD4nE8w8G/97H3TgjVLJZdojYYGSfM4EX102S
NAnibfPiy1M0fLVi7Ehx0B7dXu+rv9M8/Lj+lUWMWX1k3tFURUlFIZuvHwx2M/bFIjNcg2KkfEQK
7F9gDfaXsNLLoxJN6js1TXO/ynXNvT7yc/J3MTQAI1JDvC8vSKN5FiZtXeMNBW48NO6qQo+/4dji
fBwk2/CpgdkIdkR9+G7ppfqbmvf1GRNS83MdlOrXsRvyd0O/TKfrv2rjS1PKRLaBhq/GdbW6h/NJ
oQSX6gvPgNbwwqZrb2fMIb9g97WHk9seCq0GWnRwVNYhzEFAAPkfky/dydpDVjb4CVEneygpI+xc
vJtDMS9QVTzXnPWDjbppnZhYRvhRVGO0HA1T52ZSFH10pLTbYRVubGChJAngF9lhUPPit7zYwDUU
YCdpbWhUZbmkTyG53ZcJu5OHHlRE/ltVZ+mNmSIXlQb7Bll/kCr8bTUiSO44BPq6+MpYWR8B0Rgu
Fl2yiz0QStFZWO/s3HU5QYwH4AJxD170QJVWr5p2kCqrhkPip1GoupOKvsdQ4fWEgUyOrV34W+YB
+MbM+3lM9iQXMRnPBRvGiSIrz0ODC7iwyo9hb2NBj18hXOYs/n8OJcLPiw/YUfkpw8Ge/UW1k/hU
dPP4IU+FfomUyeq8szU3FxN6D0JRokS6zgnowZt2hFGN77SjcjdmVXYDoCn7J5w+vXCpqieZ5GRn
j26dBxorCCmTEssXRXdhG1aNPXrKBg7Jj1MXZTdd1cQ34km3k4NsXbBQKmwGA8EFFvf1aiYgjEsu
tcknZiGjHgKowFNdwds9VXlUkP30bRmCrLbeqkr/vGVejLxKXDvTmBOJuqRIXG3kUSz8mRCEOctT
4Xj6pPR/hqjF9aQxy2KnQLTWlBS5A1KkogYLpg7YzGrWtVENWISkfNWhaUoiOdqdeK7NtLOLVk8g
JwBomdyCZ9F4NPFD9GcdlZNDYQbObZVItnKQUYsU9DI9jA6KOufdQZ2nwD40Rt1OhxExs/JdPw5l
dnp7BKAKRPJDL1m/yMTzKA+UOU9lv87s7Dw6kuVWS5aRPcp7+slbVyUJBaVdov2lb4A86Gamjwv0
qKaez2EZtZ4DWMyVw3m5j6Jyvrk+ta2zBtOa9g9JPvDOVf6Nd6EWhhqWUYMTOOpZ7zU0Dkeced4P
Wqnafh5ISgOzqe0+Xh/4WdF+HetBbOGVSqgnU16NbIbEOblLMc2WJrVyKWnrPxtHjhO/s2q7uUEc
1bLPBabZ8QnqXbSc5xqvXpzgJuPb6FRy8c5ExEF1EznGezko9dF2qznuw6O9pG16bpUcOFFZD8mX
XKiguEMRVP1ZrqImvMUwdPmCuIaMi9JsmJjc4a+l/+jC1KmOsAu730u3LKUb25gYuVj91p/nEVzL
YbHrCQvRfrCKO1mOtGqvQ7axA6jW0vlziCZk2atQMiVFa0riduC8lP3RqJRMuoPoNf7QKjnJzm0P
Aux8/WNsjUlnWDSHdUTJ11WOSq7JLDuJCnwpV6NbV8XMtuNmOGHJh6pBGw0UPf7LmGDzBcyMku6q
E9jQjlGnhjFn3Qr4CAqWix13w9mQpukTlL2dDSdi1Gq/YQlDqJQ1cmiQ1K9vXUDi2hAE2KKF+aLz
IqMDhiL4mNN5uz6xjSMFSBukC21+5KHWD2cnSjVcsvPJ1422ju7lTKbbHrW5LJ3mCffbQxgty33S
zsnP6wNvhDDYBii7wEcSTXHxw15E6WVMWlM2cB9QI149x8iMZ+dkBrB0ULYx1B2wxtaeYY8KCCgo
ugu9LT2fqrnG9dmvu6W/xciyxYIxltTJRbhFU0+mlu3dwxuBkxYGYniQmkWRZ7Vl7DIKOy2qFzyT
Gqd46NJSbg4mWjGYsuU/TUl6sApLm46F3QU7MVvsjvXuwdBBpP8A8S+4gfNsFXLL89TnTqnBGzC3
vMNCrLH1xM9SXffMXM1dsJLScqiGutlZ7a1vK3TsLZMMmtrdavdSAs5JzhVuha74YE9j7rep8gtV
rnwnIKylM0WcJpd0nms/dFvW2UmqGNVYANvza9Ik9R06YxRVoSvCM+zVhI7IwVny6kGz+hF7y0gp
ftRtXXjYSNlPSBJr+KTBZPjFKajN2xhnnc7PdJs60vXNvnGcCVdg80BV0m9dY7xw0eksJ58WX48w
mlf7rj9prbonmKmL23b13aF/IPEmhNSBNK6yFgm4K/E4pghH1M9ugiHvq7u2xvgGKvo0HHGhgxKR
xEpyZ+nlMh1oNi/fqeOWy7GbUsx3sfgsbmQrxpbUshrlTysjzH6McCPrDu0CNvSoB3Svb7IKPBn3
hFHkJzR7MKRNHCexfplSawfHmLq+esf7MJs9u63H0AXblI6HJs6t4BBU3cxHitMqOyDuOmT3wzwn
vyY9qj7ocRj+Uysz79xgVEIZB3RL7o8o0o7KMUdq9BZtVIs2uWTOhddUo3qryaj3fL/+vdZ0CrGv
ANuCXxNKD5eCCJmx5LF41fvmlJbBV6z0Gjxf02Hm2tCdavzbgzH+qsakPO9lvdW1hzqPnMnDotT0
6n5aMEPkS0VHKmvzPwtfy3wnIm1sKUr8nC0KdmSp6/aCrVS2mdWK7mulDGo8NJQvUZhNbySGiYXg
gUjzC+ls6ABroUTkXouxrAzdjyUuGrcPulq/RSAdqm7Y4Xj/kZ5D9PbXDTUVCpIowzDk+uYMl1iN
jUnX4BnmKL+SQzjxeVT7cPo2w57da71thEAkdsDWUJTcgEZG7UyncVE0P9dK09dQib9pgNMcClXN
v+I2OZ5zudoBYGwEB0GvoGoEbAqMpPjnL6If70hr6IpIp8VtYZeHmjOs7dHOx/dN7ZBKo+nrV+GS
3jkLVETv+u7e2Dq2ASmOaE/GjPzl68HHfGlLPcxMTPQy7GPDOL9J42l++51HVEfVi7apwEeKX/Fi
imOsmks6F6af9sZ4CFUrc5NISXZC3UaoAVAH6Z+6Jv38dYk86Qwn0MnO/KnEJclR6gQ2aiedtJI2
4vVlu2hichZ4EIKIVDA1YfVWM8I2dM5iCU/0ZrA0VzZz4163u/gUS8biWTOCu6Ged9/0ftDcSLIT
d9EGbWdVNxIZAT/hy1HFFcT016tqYpkaDnpi+QYuyV+zxOg+WrUSnEt7NL7OrRPudYm3Zg1gUeDw
6d0SYsUvevEd7TYzqwZnFZH6Fp9hXODuuyAa0ThG5dJYkkCFQeJLxyk652E8HoN6sdzrS785a9Rh
uPEEenJ9XFK4W1OUyZav545+TjWVURJzcnELRj1Ns5K9979YxlUkFerMNItJGYkDK5gW1ieZCcfD
8rFoTuzD1DnpqW70wu1sTEMstJaOcWrHH0FBZK5ky+3RsSj+z0aCED31X3ccVPsmNu366fpKbP0w
iqDQGuFXomK3SpuVcqTkLUsGZ9fWP1rkuwejH8Kd+W9ciaz0/42yuiFAkRP/5Nj05VQJT07U/7Cd
Tv06jfrPAb2c23bstJ2D/AwBWC85GG6gabRfkQRc7ezeksjfbUJu1eS9dKgsqW/OZTFV7zUrE7Jk
oOGwFc7Kdn5XtFGLtXIVpP2DmvSFdp/K3fC968rZg3wfDN/jTNKl97pa6GhkZ1rSHgZgWw3WbpEU
HptxTD8G5mj+a1N1MI8US5FSLqRseqKhI1k3Uxi2hh9VRmuhkauMN1EK887VsMXBIL1OutEtm0QJ
XMiNRvDRDiZASggqUGQMcQ4N3XY0MT5u4Qjv9XM3DyQwRZJdBOLoUquvD6Q1hUjQhq1JXaycnXOS
kMndNLUlR56SBliwtw0SBwcUMyxPMftZPQZqyOVkWFFg7iTgG9ev6PMIiWh08hVrdU6cuFfKLppN
f6HtcErM0D7Vidocidx7IHix59b7g7sXPoYQiaV9+HraqZHiiox7mD+EcfQnNcbpYOdVe8rDZn7A
p3vyUFKab+nvGztv5K0zJyAO1NK4FOjErkbO0WqEVWP67TIsp8JQh6M+xXuNs62lpCHKk5EsC+zr
av+b2TKnMew6VC+n7NcSKjk3W6J9TaPoy/U7ZGskbjYY2lAXRPb4ej7d3GWYL+REZifA0TyNy584
BGoPcQe24vpQWxcJheNnQwdyGnkVPKQC9YgK2RQ/nyztNjSk+rOZ5+p9zAv8Xp1G44dlNju51eb0
eGpRrOFwcAW+nh7GCFqaxCykpYW9dZJIwvJjbAzVCTXFZOelsD0YjwR0rkla1dVh1Bunzo1wMPy4
0MTNUJKKS0riGX2lu9fX8nIo3rCA34nDQh1dW23DOY6REh24lB01W+7qZpYRaDaWT9US7RV2L3e8
eC5rsLWp7pJqrIYy9DLlUlUN3xhL+RggzHbMs9Y+X5/QM9f19ZGGdQFaEYYCKLSLSp4zREGk9gk8
MbQnnJuJFob6wejLMbrLp7zIDqXs9HdiX/0pJEn1kCEe0IOmXvq5xQX6s6MDMjw2eVIrgxCppIeu
zZMloWiW1LkbtJ3SuEnQ2U+TZYbFQYnU4t+CFeunocJO9ByUpk65cgqC32aG9TpGBVH4BWPrMr+3
IUDbSBhRiDwgTScpR3sIzN9QDwztJm7m9LdlTHZ6sCPJ+NtEg/a7WZbiXZLr9q/O6dFV5T07oIM2
qJV8cGqrvYmcqrc+Y41NvStdlnr42E5ZUtyhAz9/WApjTM/BUC1/bC1tci8oY2d25xF80FGea/Xz
aM4agKQayO8RmFehnCnQtVDGMjjthxAC9e8sDaLhVM5JN7vcpfoDXjUmapo5mvq3aiDlPyUFu6dD
b9nw/jNT6/eE2DeiE114QjiUAR5wFDxen764k+W5Qy3JJwteWr4g/Ktfch0RDSm7xXZ06NJETQ+R
6WT2jUGNM6Ecbg8xxerKaXbSpY2HPIdSvCEh91AOW78lh24YywKQDvlS9Mmu9faU0K73Mo3afPOA
DWJ36ptAx++YJhZqVI4bYavhZg0eYhLdZXemvvz5+r5XxBqs9r0AsiHwykOCVuzqAl7ysm4mlN19
PZv7NDmYtlTcx0UCYr1ZnPCrtYBm8aYi1uVDO8RxcswdeZFu8RHustu8yqfkrMe4O+0EOkVcx+sf
JsSfEYEH1Uet9PXHoxEG4hTxMl9IWw++g8Z0csrmsXYeZkfufy6Sg4DI0KZ2eQz6Xu6ONS0tFU/e
Vsqf1LyboETHi6q5WGRk1dFOu+4njfr5XRUrw5/ry7hxSQH4B3wIvprUY/0UMqy5biW10Wib5/In
pKPk6Thr5rxXVnMuF4VSPBhjQMCMZq5i2NBbRmdHsFnlsXC+Z0MouyBcqncaeWp+QFcxyY+9Omb1
aWozKzzUCS7rOxCByzhKaAH/D72RQiKowdcfRrLV2kyzmguZ//GJT2ofajlXB6SBUcc/1dKMPjwA
yZ13wNYSEwXo7wCTR5dsNWxc5dxb3WL4zjKo58TIk1teDerOId0IbCqinNSwoDjR0V4tcID4gYR/
ru7TD6hRHStb53fvVOEHCJFycn7zruGVQR5JaRpK/fp+IqUfpqLJNL+scsOfEe/8sHRJuFMB31g4
Xo4W1V66sMAeVlOqEaVLUmvUfHLK8DaQneEA6ajekSEQ/5bVcQXDAW4PSoqJcOWqxVAsnRVosIf8
Ig4C558zqmbqwjDQzcPccgAfCrrXO2Nu7EQho4HjG5nBZWe8WEykU8t68pVaa3+MssCptHClrKGM
3Sqx0vu5rNOdj6aJmaxmqpP5CKGHLUHsFq2XKJ60wR/SsWkecrUGNWc1EV0UgE3Ne5ZHUn07+h/O
zqy3bSRdw7+IAPfllqQkS44dO07ipG+IJN3hvi9F8tefh7k4iClChKdngGlMN1KqYi3f8i7ocqXm
FNLtNq3BQHWojSqU7fjekC2juvbjPE8UPxzbJvw4QpP/IuJ54ZcC2XiwsrpAeT6NKuUztdSWvJ90
IHaVlAv3hxaVUfq9IrX6gciDUt6lXBgtkC41Rko2S1PcGAitw0+ZPeTY/pX7RvJba8+eAqFJ7Qdq
7qrbakUORNm6685Jok0vgdRmbkw0UQNs6dTjSCW79kelFp9uH5mNbbY06cDt06lDfGY5v39VgKKi
1tIM78SzgvXCExSu2TNKGyc2jEWfuay6nWdouVXWH5sCJV1JsltqiMsy/DUe9a+e6BlIeTxGxrMo
lPZXUdqRJyJjPGCZNf8CclOjZtUWO/ts49iSWHIHoUa1nN7lKfhrZKNS2ypo6Ib2emu5eq12JyM0
9vjGW88sI3CKltsBSZpVeF0jdi7qysRPO+7T8tIZgdzemYmins1KmCEbtkwXH1JbktAHrqL53mjZ
Ey+9EtA9HHot6P5twqrMj1x0g/wUqI0KAqjENFeVp2hPjX5j23FbwhWBfost2rrJlgmhJaju0c7D
XIhGsVk9TVkWEAh0Wtq7cRNk5xJlZce/ve+2xuWKBlkA+BlNmdX1ViVaPNhzMJ2l0qrusr5DZaUp
R28YUuUjz2SLkVcTf7096MZm/1MYp+y3pV47DKPJ18HrXLPnys8TOfVre7APY19+DcrB3qnnbuw4
E0di3grgjfSnV0e6KVJZH5p4Ordtr6Xcog42sHqV7QE11jJINHJAxlOoIZRx+GvNwJmNmsZg5Ygz
gicI3otQi38UlJcQYaOuHWBm0uhnRaqnAdBGGr/IUqSrp0GvjQ8jrcrpx+1l3vi2GEjSdbF5RWA0
rs74GBSSbmcyiiGCAA/Z6dh6rtjHpw6FpvtUilv1oGRR+f4qyxIpciwWSjUrsrrL5jSVY/oRcAuH
JDgEQRC5WRq2dwNhweH2FDfiRosLjHeLog7tltX2nZyJRDWuWmyNIsUzQlNx60Z2PDmJu+OoVcFJ
CeTuGHOWjpFdzp9vD7+VibGpaCVxl1KgWEM7khmUe6xW3XnWxBz4qBHmtlu0Y/4USxUeC0gFGsmx
tng1Dlqc6ZRYEyV8lSNT3SOxb0R4GGYtESzMQXAJq3t1JMVOpwwOz5j2k2+C1kE5VBr7xm8hl+91
2zeOMDc4XAbOFUry62eSZBcQV9fC8hIl2L0u6u9Is3rXKYvAb3u52Cldb80OZxVMvhmO+a3OcITc
YqU5SXfuYK2XXt1odn0aiyn8PthRq75P1XI5yHRkSc8WzwPkR1aj0dqv2t5sOnhlfedhiet4WEeW
5z5RpKM1Tt1lBGz8XGcUEG/vKOM6b6XWsoTNTHNp0K4+I0CXJCgzqERw/VKO6kCo7itGn6PyCOuZ
/hckksc5s8WLk0QOJGzdnl6z2ZaED5oPW70CZ1k0VWe8BvwmqGSNVy4Qst+JrsXTaK7H2J0c0Si+
PVMOOrQiKxKvDReLJRtnatlFYCw2sNwKlN+5o4E0H4Jwsly8Ha0XBeOmzJ3bfHwMesX4naJNEh2N
kZbBGZ8h5XMZBrnuDk3RA/lo+xdHWI18RPDJTLygMySNjzd19mGwhDN4lBVSYL1KK3wDfuLZVKNA
/C4jsw/O0Pc6yzMxvij8punCwFPMGJFa18j7VvXCOjKNnW12HRZxlEF1UitDnfbqGUbYCcqfrEzn
GDlt/SVInMT5PU9tH53S1ARXEuUNrJOE+xZhRw0No53vv/0DiIsoW8jKFdivDqMOoxGJ99jUu+TT
3IKywZ6mrR9CorkTDaPkEZhH+3GCW/rt9t67PtOLWh79DuIPLrU/l91fkVnc0mibU20+h9RzPNlK
Y1/WR8sVBg64kyAsuj3e9Zkm4CAIZKlJd5CLfBsJZqkV1ajqwTjQ2+IQ56lxMBr5v27ohXd7pOuX
8O1Iy6H7a2ajqhaxUUEq60qRHrrR6bFHGOpjwZt4VKMoZwNP9en2oNdhB4Nyim204zdkKLpkgpke
MT38EQmsY82+DGO6519If5gf/zaUZxznT8GaW+vq4i/ySXTUT5aWeVKIr9og7Pgfpy5T7QfmuuAb
ZD1SxQnemaW6XdzkEx63QVL6TRaExgFjWKfG7hdGy3kExpa4lTl1sy/hiJeeyjKfDVdTuqp2swhL
CG/uqyq5T5yMinhoplXv9jkoW5+Lpq/PbaVnwxOxxax6dKqGfys9gCMbxXWnwhUKZsk1MkUp3Dod
LRTTopa7VWmVzvCULCjSU6jN0wCfZtL6JymyiEKBd0fjZwBB0hdEASvEkrOwD++NAVF61wlE+Dsw
rdTy9cpqsYvpY9qOuhm17ixwl8PSsYiTE0X/6pF2dpwdlurSfFSz2Pyo0yhBE1Lril8lQeJRx7Hr
2QYG/9Tw4+9V4SiRj9SibLpBI5rWn3GG0n2pT5L6A9Rmg6pzksdflU6xUy9Sg2Zkep36KDplTr6h
jB7GLmXxjjJ7MFkOz2PeVP/YSW83P7uspCg6DJkT3Rsh0iSPsywlXzu0kgK/rltRHo1Id074Ymjd
L0cb4pesz/P0ZJrtKO7scJzLJ7nkyPwqqAk0zFeqQk+NzBZMVzerL2PT6oL7vU+yQzVWffmU1JDU
PHk07PiH2lIevbR2w9OCc1OmeUreqKHrGMXg3JW6HMRnDu/cePOoRvDJq84+mmmjTJehpmDoFRFk
vI/YipgChDR2Ar5thX3w3awS89J1ql75VMap7WuUe79JRtMO1MOVdPyczZXq+DY8GO1jECd6dYD/
kKeeNZWx/VWEQAk/zDV4wq+mJtXljzBNJcVVraa70xqVrejUMp7HeqIG4QepC0LhjmNPdDXTr9bv
mznWk7swLxvyqRZMuYuTgqT4BOFm7Bq0BdrjNCq8epnd0ACQE0OrXpHvtMRra0gtys21qv4Iay1q
70u8u9iWbaTX3sj9i9VKLfWjN1pLOOd0WvkRNyOuSRTMLPkYWaVcHkuzH57HHLivz4coGr+jFh+3
HC0FGc2uCTD5S7oZN8syz1FTqQz1nyGN0Uds5oTiiZ5103OqB3rm2qHs/HTmNND4W3N8KPN0QvoP
MmPvpaArfgZBY1IbSvOkui9sZ/zXaa2YN0pUfHYKVaN2X0WWIZ2tDtKCmyVxFB9nZDQX01gLXxky
iKyFHympmdcOdqd4WmZrPxsDEMSBtg/tfSRsHNnD06/N/VBt5NgvRinOkVrs8VSxCVkKN0a372s5
lv29aUQaHXE7yJ5lozONg52AWr/A8BmmS+UoKCNbsxWcuYNT8ZFMIn5IkF4qT5kwu8bLp4KDZUUT
ncUxmvLwg6x0QrvLMlm84HcV/YIG3wlXz8ZG9WYDYTpfiCGsXORuE8MPzKZPvaCtMuPkyNH8MDV2
fc+qsei0r+lj1fSfsFu15UI5zInT1D5IFLP/OspdY/0L8aM3D3bb64Qa4xQ05BQqb+9kFKmXtOBB
IHTxZP2LUaep/BpVefg6xl3xpGSq8sWAMBOesE2Nz2Jsc8XHv67W7uu+bpoTf4R2HmwyL7dsDPo1
A+DPneB1ox+zyOcQPC75NYLzq9fOTisjTrLYPgeostZEc5GNfqqq/9DryXxJkfL6pzKM7KGptOYh
jkP72IaqKVwLE8F/wqEYg4PoQtuimaQrOznpRoyBCChSA9D/MadY9/klM1btsZcgrQdB7bHtq+Po
OON9ITfTvTwUxvtffvQlOXhUv0FLq8vv+evl78KukLuKtUjIC58ba4xGl1csuwvYy9Hi3u58nsqg
//rutx/gqEJCalBLvOrJz2U7SyDzcHVAnsInSR0+BDTtjrdHuc5+F38PQOhsOQAi69ZBD0y5cwLF
Okv4wGcuSWEwekjUa48FHqtfmzoq7nWjGj7UUDo/zc1c/7r9AzYiOIdBKHggGkfSslpdU5UTtWtY
3Vk1Ox9rYOFWIWSNURJ7siLLH7WKchhqwabQM79GHMiQU+WxV5krxTE3kK2IlIxHQc5aB0m8ac+u
bXNqFC8oHiJFcCUipiZtWxCeW2dFjX7ooYk4Y+aYn7Jglu9uL+JGnIimJl0MzH+XeuySEvy1RemP
qynXCcC7MCI5yoTyaAxi+nR7lOsQ+I+qJYIltFugSqwuhWAy1XpQRvtstJJ8nyShdNRRlmURu+qO
jkDpCZXdc3vQ60WEOL6g5ReKxELSeDs1c7ZzJM4p6Kl5ZLhFPdcHMm8DePqgHP6XoejZskPo4a3P
QpdUdSCLhjLXFEfHMhw1N9KN6ZQnwZ5n8PUHo+QETomeKGf7CnWrt1UcEdjZ5zoCar8g0R+Ieuud
a/x6wzMKrQCEakDqUWV5u3ZzBrImEbp15iYP5AOIzTBztdCw7u1SyvFbqGMld9+/iIu1AtVSqtG8
Im/HlJOW05Alzhm3pCWm4hQoHg+x5JldLXZy7bXlFVWWRUZrqXcvO4RG19vRcssqEdSyzbOo7VDy
nD4wHumQGrpHV8D53Mdq8htanoHFJoDtyl2IE43XNqLAC68AIehSyLeq45C0Unkyg0Eo/lCFSXoc
7B6f4aouGtsPHbNqnjC5UXtC+SksXkIJGsUDyrlIpMDxM5sDOA6tu5tQphEewAD7PMwNXqJVkmq/
wJD06s69eb2DqDCgeMVhR2786hWsy2Ge0KKyzl1dJHdRo4X3M/K5/u2vufE8IO24UKMQK8CbabW+
Dm6BlSNxhZWVKD/1U5N+rwenrFxN7RTNbXsruhR5hES22tTlKbbz+vW9vwBYuqkgjQoWg+L76n1o
W8zlNZEa537MR8IuPQgj/NyzBGizAK7uj6NmP4+48vTuhJRb4NPUHfccov8IMrx9O9Cv5yTRjqYW
fgW5kNs4aQL0/c6asArVB3diFi8irZr+3i4okXrgqp3cy0iRPg8lfJMTUiI52Utlxd33SHZq4XfS
WBZ3UNvy4CBjmF7f14mwtMMkCbM9Krld7xGkrzcJO4PGM3XIpQ+8XrxstqSKratTtFDmQ5wouTeG
yp5N0MYVvZwp5J+oe3HsV9eMkHrTaWLHOBd4MHpdSpPARROYpK/O1D0Fo2XHrT6EhloftyZl44VT
8PbEJ1Wod6EMK0IiJ/Z6Z5y+DbOwEtcG4PqkE6TWXo/c+YdY63YFLjbWE01zi8aMTLWEJX07uCYP
oZaagOxri7JdOJmp103G3uOwQWMG2Il4GsxZpB+Atr8dBnWU1mrq3j471CwfYOYxvanK2+dWlVCn
Iy+ZJAprcqfWZOkcTagvKVlBWkiagPIvh4oLomz+AZ0LVBuV15CzWiZK6SK10OVuY89FTO+7kbOD
nSbNperAdXs5YLaHml46KOS0b76bAxFHCCHP7gcEkNVaPkDLc37ZSofuVmHV2qOTk+WT/qlS6aHk
U2kHbS6c1B0r4bz7xkN2g24s1laEibD+365KPuQB/2din+2+zQ5YjWl3GjCc979f6MvSA+HWoXqq
roKc0pEDMxzJLmIY+t7YWSm2RIXzMamnvddrazdBZ0JeTP6j9LEqXg5qxiuqEgQoaiv71MANPyJY
P9++QLdO59+jrCZEQS9BHTll2dR4BrVT5cdwDIbPCcYDO0NtBIhEoQhsLBhsIo/VFwpEnFVpGNnn
XlbEI6i5IHd5QRrgZ3H2walp1kOa37OO2YhyoC9xHBd8+6J+/HZfBHOnyphXmbA2u+RoYHJ5lIUW
eTQUxkMT1crT7QXd+my0dTC8IJsAH7CaZS4346ALYZ1T1vJxbsfJA3xm74Q2W2u5tOC4WQnd2Mdv
Z+VkIIbiAWk2KpDO97JrQ8dF9szTxlm9VK2QzjFw1j1F543NsrggLzw7gtKrB8OmxIdUuG6es1GM
x7iS8PSbwsRVneidQuuEbouwDY04kly4Z+tsgtsdnF4hO+hORQU5Z2qovyRNGh/p8mQPcCnzHXDe
RqcVkBxiwID2eTlo+r5d0jGsWUQ0yM9Uf8MHlLasfwFKaq/Up5zPI/hHv1iMPVF6cPxUzc3nOimD
8Xh791xHVIB/sCFA88MENLF+v4h0SrThyvBSmpTW/Rxjo/sZzXIUS1Ar+BoR1jke9ZY08hy1CAnS
scja05zfODKLDs5iuMkjBpXh7UpgiACpGgT2uVNkzO4cGZdaUKDS9LuYA67UyIzKndt72a+rd5uS
jYoCGIACBMBW+1k3kBKNRkc6284cn0fwG0+lCEGJxFNzF0fYrxVONLsDGcXp9opvnFcY7gsqE+6L
dvXZRZgblTNTvDSsznoSZjG4TuFkO+f1z+W2nqBFCMSJXRSp1o92Aos0nJ1aOgfGKCt3poQ21aDk
suWmAoyBC5Zb/k+WrPQpgSHduVSN44+ynsw/VGU25s95lCaBaxIcRmRNxjw+lghy5/iuOojMVkpt
Kp4jDZ3qyqEUK0dU763AaxQM4ryiDx0KnTlm94cBJuuHFmIlyiV9pgjYTZnU8UknW3jDFIv0w5DR
Z3AHQOvGXRWGymdoDI64U0BX09sIB+1TK9rgFcWe+FPXFJnqp7FRtgdaKVF3miDBPs8oYYERF0Lh
fSR3B6Y+1frkijRoFRd/qfHFTGHyeylifKM/Tr3y0Rkl00Z8LM8+DUWUm37Qm8XngWgNDy+7ItLo
Asmk/REDK/WaMW+AY9ad1fr54FS510l9abpdqIQd8YkUf+KZGYD2I77Su1E/1vRyyrF4NkrMkHxl
RMoNYZ9sVJ8wLSsLIONasfhb29OlIBn9nRud+rsPAXhXE2t8EGGf/4M8Zeq4I+Xs1pNpXP+EaKx9
bvI4/0lLM/jeN2Hzy85idbokfTJ/gVilFL7NVBtEOHr7AzxaWFyJJWVHrEjJPAPqQ7qLdBhE+gya
ov4llywz2nl7N27uJfoGgEXjeeGAvz3SU2+3mtL3EkTz+HUaVbwCk0axD7pexDsP4NZQKEojl0Ec
TpS0iijq0hH8DAIVTILHZ4RYyqcix341Dq3w8O6zu0AaVYo/kAOu3loafEmg2kQUHR2Tu7Tvpscp
GbSdGtPGdWgvVAhMdxbE0TqsN8uqL0ph2Wd9UKRvfMAaOy1HjqGpaDYpU4ljpP/+iYFDAfkDqkom
eFl9rqQNExp8lAkmBDgkaxgeMhXi6u1Rtr4UsR/rRnlwqWq9HcWOhFLH4MXPolVmPx3y0dd78Qs4
Wbqz/TYu2QW/BFHyDyFXW569vyqQuillphkxHyuBVqVJceabVbDXD9+ez/+Poq/mI8ECLbICIBrF
zsxL0cE40TiKvQ4C7N3tpduaEO8VZf9F9gaNg7cT6ovaTofIoY6l9Mahpdz1bytZyc93j8L7y7tk
LMy0qypOX1p2JjWRcw7bIT9ofTkdlbIs3n+KIBDKPEpg6ggpV8uWoP2QB2no4A8Q2woZmgicuzxp
RLezaBvfh4yJUtciXrpoUbxdtE6egzxvFyfqqu8/pyIBKKBq6KjRRa9D9/babQ2Gky4av3i+gD1d
fSE1GCi/dCQ2kDECH4o9KFxMMN1AV5KdC2IjeHGAAmsOrRgiyHWsGpoFkYtKLyaj/CF5rVLQHw9S
O9HcqZSqDkDAYP8somriETXn59sT3bie0Erm05HiLN4Zq4lGGlpW+UzdfRJj7kqTZFeArCsdim01
fUbVJNz5jFvT5TTDwaUlxH9WA+LTqCkJ4IwzahDpL3C/CQEbvsg+7b7sUcrAYMLIkB/boUEp7/Zk
t74qNAkapEhOUfFfj41OWdwv2RXw3vnSmYNBqGM01gPwD13duR83Djn0Lnzgl4oe6lqrwVoukGC2
SgtUHh7ijebkj3auZjujXE8JSQq6JjQwlkrtejkHrZ+tqW0DHJ4QEQfZ0Lp9G5UfR2vXCWSDswbw
ECUy7OAtPNnXYwEwVehSR8G5qCn0+GTpU+QvZSNcpWbN/kJK0QgPY3ZT+G2Xt6NX5gG0fb3Si1B1
dZ348GCNrbkHs73eU8sPo1QNFwPO2loBREZryGyLeIlP5jA8UvdMfyI1qh/LNlAqBPfaTvfUKWxi
NytrIz3c3labwy9AKjoTXLbrMzTaJdYbshKc4743ci+i3TcgdAT605XCtrwfhKy9govM4kMn0Djb
uUCWjfQ2OaBTAXoDCUakOa4kwssmEgWuGwES4bB+dMlx/EKuhkMRONqnPEz3WnUbuS4PCnk1JtML
SX2dbjVNXdNZLYOzrFWxN+gddFKkDszT1GuF1yudfDCUBD+QyhZPSdR2x14X1afbi7618Um4QJBQ
MMUVbzl+fwUFeC4Mbes00jkaheZNzghzNuuKg1pYxs4Zuz7JywNKyZQ7Y+Gxr14eK23NsBSldFZH
zCr0hHzaUnPtf9hF9KhRTFss3K968tbc9VVR2MuqJtNRVrL6BPArOYwpGlI9Jip+lgrNjy3kHG8v
5dYGor9LaQ0sMbHqaimjHmJeMOvBGQVg06tNTX8I+7rwbFkqPkp0IPZe1w3dbHxdaa1xY4BBvOr2
pnqrY4/XOecZeMiSt+Wp+g9aYWH9yRhmMz8WeV+8Wl2nfWmHQs88y0wtyysCOy7dCJ3p3wPUvWet
bKnu3F6MrVsOPCSg6kXUAiT3ctr/2lhGas+Z3FRAMjIjzY+DSNMX2UxUZFvR6XsVk6xUR7jjxT+y
5IS6i0h+8azFltr4oreS2aulSkl3tuB1ZQcIKuEIp85Y6kyrH9WmixRKY1nnJJY/TX3+oUSQ/BQ7
rXGZQiU7EB7829vq7IdZnX27vSLX1ULWgb/IYVCLuJJzNws10sycamGomA99kfpp1HgAkbLHrIyA
vaG7eXd7xI2zDToIU1meTZtuiPb2E4ThkEpaXTtnJ4gAgDvycIgyRf63Uqb3oxuo7BJU8pyhb8wL
8naovprge9G/PcdWrnqa1PQ+lK9u5/NtTgimydLvRHRrHXiksUaQSgnmDEwvPADrz8kwoBq+zEIj
2Xj/6hnQ3Plj6BQSlr+dEgJUqh6MpNChCagQ7Gnho4djuKYa7OWAy7ZbPT2AsbmwePdoYK7L1XIJ
a92WeuecG0Yf33UDFDI3GDHJcLGfGktPNmOQ6Opghy9yk0p7h3Xj5mJ8wixyAv5nDfCh9mETYnGP
yLY0+zbEgMOsdbVfWkPmQVrbU/pelm49X74iUoU0bKGzrGI6+KeqMi3JfN8a4oFkSEdfP97reW7N
imILJC0Cch641XszDRJ9ABKTc4iva3wxQqV8yWONa1iurKA/oDT0fqw7t7BNMxdJgg1khUg7u1VD
sjhLaP+pctt8qPI5eKASl+1RO7fOAkqzMqMxt6uzMEl57wj26HmsZIHQK8rHDTVJT0bmeKc6uzEU
3UH0uwEZLAqhq88lzyBgtMnUzpEFiv4wCzoflMwM6XcVtWl+uH3utl4OSrPQrJaLC2mN1XBprcxi
RrboDLKz/i1yDSUwcMdy6iYZOfJpmsty/KQ1YkZ3P2xQhxkc2NN+mqoNVdgWNuthlCs523nfN3Yt
PrDksRwUjsn6jkP9pE7zEAp/pkvN6yyHr6NRSJ9uz35jEGdJ60jfUKa66pTJUaApVYDWn1KpoadQ
KTxLE+j+26NcH42loAVUYzGb5b/rdzColV5fgIu9XVbPktk7E+5dsQkEZ05+xFOo71ym1zccAy5q
qhRSDLQvVmcxRebSahXE9uDxBc+dqefHMXaqlxLciDtP0fANrlHhOYnR7hT9N6e6PPjU8IBmr6/x
Vgk6LZEHC5D7OJ1AjVU0kzTTUyHc0onU3q+KgI47dqvIPPES0qZ++2xMqWPS4a+B5QbDeCrHQLlr
BmG9+2kHUrUUo1SkiYkB1++tisomNSLrDHkZnpeshR+KZv7pqEP5/vVDspRC0bLr6bivnkHd6odU
FSAy0c9WH9XeARbdtSjQNpJynOXY2KlSXodJdBoh0iCaR8cY7d2369dYQxKZMK+AECCDnphxcxhR
mvAGKRgvUqJPHqo9w855uL7hSMPI+01eI57hdccPYIajzm1FT7VxTD8uMQphQ1WHRQv+y+2jd33A
QS0CX1g6bA55yqoKC9inZ/wxuBvNOHoeWtGc7UoRewZbGzNiGJ5Y5NZYxDUreNI6BC7h9t2Vti5V
nqQopQ8lcex9WU33WgCbg1H3AkK7nPC1WjJiybhK53lwN8lmdmr7Cmcmsw7uIqXeQ3r/6Xu+iR3Q
rKStT0xCsdy4oq8p2J7ZudlEF2mywWVGyHNYB7lPEUJqJr37NeWVGP0SDXbTlZsMLaLe6Iofxewk
xSG0jAIt/3GsXwujzP8TBUWnYz/3U0mlISt/RowLV6wWdeDpRm9lXjLX4J1HzZasj1rIN1PdMMS5
1s3mRLcQOor7zCuLEnndXEUazZ/7NAx8HtPpVauD+j8xpQmoRoBdPfJRADq42SdEjRdGq6ehxsU/
nAtRHIre6gavEkH90ZBmSlz5HOIT385a/sq/gELW3BTD7zkJmztwRYbiR4Wj9GDs+gzChzynn8bZ
hgbzzg27LPhip0NnlkrjOmeCgZgXAV5Il2BsQ59WT3EuVAAOt0e52kKAbDmBnEEyLpCEq2tGjiQk
CrpROrdgwr7ocqX52az0j1HAm357qKsT+GeoP2oRjHQFV7YjZCAMA3SG1bTxQRsa9X4u8j0QweYo
vAPUkyjrX6ER56zvTfQ9KKaJzDkhISkdCvhrO3O5et2Qa0G+ZBH5hGhxVfWuZqdJBtsIzjQX1UNg
dZmnSGr8LXD65KI3Y7zncrDxnahyI5q7AN940FcPD62w1pxxK74M6aJX28rWKQCL50bRsJcVXb0E
XCQkysSCcEm0q3rKoFciG80mv9CHDhPfUPvWH5QOb3o7hgblG3oK46+brZfb++MqVmFcB847cs4a
tcB1J0E2Sq2qMlhbM2ruB4hoyHFqcvZRG+goFErSHoe6lz8WWS52wOBXi0uTkdojKSBX9nWte8xz
iTaXkV2KjjvMCCPqwsOcgRqIup0X77r6yFgcbBpAVNZBmaw+ZGtSgi6RhYCbBufNtWLKyZWqjMek
MM3QpUpeH3uztC4qeoEIaI51b97Xjta/vnu1MQZa8KJkMc5VLlhJRhxmqpRenKBvHiIpbT0zhdNu
psF/qRq3n2UzmkAQw3y8PfDVAWUBkGWkPEI54bryiS6MNlWmnbK9sNPEGVl/6Cpcrm6PsvVJoUHR
OIS0i4zRssn/KoMVFJISGWfCi5qO7WdF7sVRDafgg26Me4IcmxP6a6hVUG9I1WCNgZZeurEyfUeB
x47if7Bz42ycjkUobmF0kxEiYvN2QuieRFXbFdklFSL/QTiNzKPZ2KcKHPFZX1i4wKEMuJC12Rdf
bi/m1W3HJ/t77OWf/7WYqjYNDeyn9KKneXHQCgfdABopxPKy4sas7c4WuZZ6WQYkKuS6Qymc/fJ2
wLLGrgXWQXqxpx7zKVUNs3NCP/MVt7C0pFCJ+YrbdlHjy1MABq8jM/5ghOX8APEi3wMkbO0l9iFE
MyCUyPmsfk2iz3x9WA2XZuor1bVGO37glm4qV9dE//n9a40Z1cKLwhucV+bt1DMcXTRnnFNI2tU/
hRaHxygJBMj9JvYzZSyPt4fbnBteG3/EgkgGV5vXiaw6maUpvSikhZdI11sP2yXJj0LT2NFd29rB
yPaA2FTAml1Vu9SoDkSkDelFa7TKcUOqo89CKuc7OeoB3gsrxByqic1g9NFPSN+/h5cQGYk+roVr
0AK1xmk0qji9yPFsHqle/ockaXiAItk/J1ayV7TYWFdYGYvc2JIvXrVDFKHZU6Y32WVohu7JMXr9
dx2K+ns1UAnfOS6bYyEzxoVK9euqiWobcxr1ZpVdOnLtD0VgGmcFyN+5N6Z3mz5DDlws+/CkRY70
qitcBCiKUN7g8saN53GWxHw0wxzEtFSrp9s7c+NaXYrai8IhN9516aIQpgyFP71ko5E8jUZs34UT
OLHbo2ysHeVXVo4aLJJp6xqbAqzfRCYjubR9HX2f2q72ugwz0KFvtZ0JqRsHAOQHzy3OLABc10db
imvocuRDF0HZV0LboLKaQym4So5jng1gqhACxoKsRx7dpRFo/gzIk7CYaTT5n27uReojajqlB4rZ
6AfD+Ym9qBMm3kjS0Dpuk4X8fWdgsObmAuY4hpV2ciBEnajMqaDDPCdyoEdoU8SGD8tc+6+OGpEc
QYm0yKB1dlDuPFtb60tqj+0BEDUF9MLb62xoIngoeZFcEH6ukUnIpoNTzPbHqBVPt7/k1urCwoLT
g+IJ1NHVTSbZwCuxHqHg3OI0ZpEdnOzRTE9dbpQe/P3c0/BfceVWDw63R17m8CY1hsa6INXIUYFm
X9VpSR+bIFdLAv8hQRmA9ij6G6k4JfCj3byQh52ZbpwMIDdQEnVepOtuWhgFUySVUnTpTdoxZRnM
32ZrdHbC8a0vRzxOT5ei0DUyKqfkPCOeG1+CeZDOyaCKT5Jo+pNGFf9/GMpkc/wBn9MoXH863ZCM
MJTjiwBX69dx2BwTJIJABw97JZMl7lt/qyXPIODH1+uKXSpNPR1QNYgvmZ5I4mR2GsbGEj1IzymD
+IhMZv48GA1KH7f3yNZqLjJqUMkJ4K6a8LVQrDlMbMaNktxHcW38ngfjYx9Y9af/YSRenaXxiCLt
VewEaC5uDCO+WBLAXZimugd3V/cmpdwLsrc2/rIFF8MLgPvrw92J3gYKOMWXaJqQjkfa5UeGFq5n
OOH0wapRPrk9NVXb+HpUXwmMIAmwXVa3SdEh+VJkTnqxUNL8pk2F+lpbafosV0b+alR5BFehRo46
Rlh1wLEnUH+XUjK/2HNUyJ6MQ8fkEe9klW8NdXEenbKnAN9G2UWEXQ7QI7GGHwOVrsrvnHo03XQ0
kGFv1NLADKzQu51dcdUX5+aAGQg9nQOt63/Ybn8F1rwVtByDMbkUvT1cOAb5vxV578/SShosGmbd
xneoweMP1qz9RRNonu88Slt3Cbq9KIXSHVge97f3c2vYI3w6K7nMs1G+amaoeGUa7lnwbp064DYg
Lf94kq2L2WqQdgPIhOQiNVPhqkkMBzTOvyBNUd852FJ6sGnVu9ubZevEgY4Gkgj7iehoFUjPtCRa
5FnSy2BJPxOnVv6Ps/PYkdto1/AVEWAOW7LZaUYz0ijY1oZQsJhzMV79eaizcbOJJvTDgGHIhqur
WOELb3hXpUl0VjPR7WhMbx0DKvXUfGnmLg3l2zWcQwoUBFzpVUJi6KstIetBWxznyaSYy+cBNuDO
1Jb7cH2JgVqmXEHAvtSgbgeMnB5CzCJlbUVN9cqRmDwnlsQBuUSdJusgvmitNPlZxt59vKj3H3Lx
5aV8voD1yFBWI7daC5Ko5KYWzgBsQ6kGt9Ts0bfroPHGrltcjo1op0Z5P10GJY9fSqFof64bgHNN
BIOkArsnEMVZlfTvqKXpXjaHqidFmfHaBqVxUJ2+3KkL3QN9foMtF5g4EeiiGni70PZkaE2MwNMi
z5T+LfV6ZrjILc8znBEt9mmkhKcwadIYyokjDdw7hvMlaNvypS6mQYVfIpeq10Iq2bt677u1y09D
IJKFAcx2118La1pgJIXkM8ihfrHqsQhdo83igA5KX/yrmEVpuKkmJa/tJIrvNFAJiHShav+kOgR5
FwoUKI7Hu2NZjtt9yW+yAVhR3SEaWh8EBXkiKesIpuW8Q0uqT/Sj2YR/LKPAzImyFu2dLcSxVSSd
BI88oXKVG9deShFWrrA1U91OdzCpfjynrc1HCrc0jxaI4hq3jQBTbHcSV3QaxdJTni2iZHI2+iST
8imXtekITUZ/0u2o3Akr7y8w5kkyRd0X2/J7jWVMbbsWD9DrMOjyGSH04NDUPGOSUpT/wySpA5IY
gwuhxLy6wWqthXiVL7FeGOWXqCmNGLSaI+kHMPjF6E5TYH+p0Xx6SmYNAtLjJb6/P2k8Eq4spJkl
e1yNHoK9RKQsi6+1NrUeDnXpByu0Incuh+SEfEu08+b9lt9e71Md1YTlSG/IFqFKNMWoRETXtteS
d7EqhtLry6oQ7lBAZzoIHqeGj9sUrTeXdlW5WWCF36zUaW3fsruxvCRpOzVvclh02jPgYUQ7oyEe
XnAMEfZffTxIwqdmluTvZkstuRW7IMdSoskN6dyY6RicBPp5GF0Fk7IYdtCjP46102p+3qOpddX0
AD4WpYpOc2fR1+8Gs08gxs2ob7m8esFTnvZl5JX2bP5l8rMA10Rov6PaVerv8N2O0BPTZ0iwYSzK
t8yKE/MwjJJW+k5Z57HfzNnsuFbWUDMLeRd7d0Ra0Dih3oS2YA8KXWLScVl6VdU2kA+7CadfLPv6
74ZEye4wGKM1naSmzzjkMTYkXoEqU+mphoCbxvtTDIcZ5HLqxmOfmiijGr0KCyEw7aPaxSDvskrO
R85vpFc0mPOxO3ZibuozcZz2OS8qGWv0VA6qQz328nu5GXDs7AKzjw6zGBRtJ2ze2ISkBeBjlzIA
UlbLy/efUGysFuXXijc1rWrHzWWRe1M96C8Jv/snQij9p8ebfuMlRdUJOA23CoiQNSsoV8pZSHWc
YInSqZKnO88I/kcZ2kuh9rPH/fgt7+1q5yXdulIwH4MEt7SmAd7fTrITtsPzXEfXKQnxf0Q2FouY
sjvVw59jBrmlDWCoCP3DZ77PDaCl1LGZRdcQ/+Ijt3TjhakRPLWlvLOSG18OcwSSENAmy8uweqSN
ebLw+uvjq+xUhuZ2jZm8kWmZJzHa4rtRy9LOfbX1zFEPpwmHx9R9Cwf7Iyx56jq+Tjk2564UhHXm
Y02EO/bjPbI1s0XJA8weWBAmePu5ZLMz6ZXo8RW/pcYbAr0+dEotXMqOYLj7aQ+PuLU96L8BbaHI
TWyx2h5joKvRaIPZ0+S5OuEYDBQx7du3rtnNwzeHQsKD1NFamsErgQcsKuJeLqLkaspd/4QBXnxV
Kq31p8n8Y9cxdiJZAEkOoEMaJ8tP+c/JLiYFy+pkZBWLQvelNtVdhIAbP9LTvWBha1ZLpQsWA7bG
dGluhxKmOeKqnC47YzRtTxrG5IzWZRCQZObazu7YuEFgMGhkblBaF7mA28FiXZmyHGj3NdWQR9Vm
x+7cHPFMpC/t6iSmLnuhjrFHCL1PWekZ/j80F11cCNO3o1ZZmVNOIB7KRz3+Tluq9lNdqYGXG+Oc
+3QvkNmEm4Ss5VKL/xyCr90Nfpd1XD3gQC9ho2Lss1zY2u2PsOSGd4f38wri26IkVdTSi+QMGKRh
kZI9WwJptLcQrF/jTj2AUZrzefU5l+Wc+CIuhz1vgo2DqgKMITVZCrw0sW9/z6hgZGTGZXy1RwyY
qX7MbpOUqmtETeqbIpiPjy+GjQbZYrqFhy+bjNqLvFoAJJOAPliETJGaIDsMfwTP7hm3N7RID6lR
p2fTKqujHs6hj1FbQrG5C66zPe+5F2/chUDrKX6ixkgIt/4hSm/IcW7zbCZZ1p2twIg/OLke/C/z
XaQD8Ffi4gVOeLvADe3O1nCy9JrYoj/Kdu4c9TrSvcqejSdUVYuLBa/SE+RBXmPU1H5aRV00i5vT
45XfOOFQPn67/UEnIBW+/SFZoJelNRjJdZzG8GCBKXVhZM0eYjV71a7Nj2yCgENOBVrN3W2St3GA
bLcWX3Gs13pXLlvbOAyy2vwkRqxe+9JOPpd4QZyNaHoeArUn1StUQPpte3k8642rhgvNYtrc1TZ/
v501lHmCk7li1ugbngnBsv6J7lb33uzi7kQy3nyh6jDu3dwbw0IMNJYaGXgQ6tC3w4YCLfGSiupF
KUYzcEusalF5wQLx2MCFKDy0oAr85SobQYI/njCoa7qFS23snldRWbjT9iJ1LrohrKMKs+niDNZ4
kvS4fEraQDtWSATvDLpxlpB8gRC2cALuq4HaHAsrKhg0VsrwCEYm882eGsfjqW3sYBuRT7DOhGf3
leggbWz6hBA7E8VChK1OwkOja8d2kIOdaHNjPkgTUIZeOFL6XSUaj4TIzEHoXSpQF+6oNep7ESZ7
CLYNRA3kY2ZDTkKl7y5DbyE6CaGGKI9NYhy8QdTSW4KxFRHTEMaSO3eVqb+Tq6SJj4C86wrx47YM
n2sKO4n/x4vLp+OGAoq8UARWRUdpMgMLSxRAeySLxzIvzc9DiiRnZM3DTtVxY95wZ4k1uH0pcN5Z
ihP1ZkWBf9jFLKz5uXCCeeKdU5TvrZrPtZcoTi38qpqDjzF6nalXJG3/6ohG+/l4zts/hGhxkVLY
6GuiMx2hVFItuj1lcEARIvaaBuiCS6EsQC6oVY6YmE2eijLIIYeE4qpIyP/7+Ffcb2tWA/FVqr2E
y3el9KkujarqKwmBrQoeGb/HHblWvNqA0/p4qM0Js9G4IXiB7/l/IDP1qMcK+JJSv+FGCmvY7nGp
BSiwg544R4bAd6uMEJzH1qNHBQ+H3eZaN7ZaHXZ+y30otAh9EspwP9P7X4ecDOekwjBCemctqFWE
t8yPSSRlL3lY9T8S4J1nWk/625Q10wVRhXz2UwliPBrnUdjvrMx9cHj7Y9TbC7tSZJLneQqvaiEX
bxFA4tQdlMl6rpNq8BAHt320djLXscP3VVtMOxfO5oehGrpIIGrQatdxYd1WWtdPUXRNSNEO1A9T
4RXNoH0fg4nQL0sr52Xqy+AYwkd+w+/eubIW0h+LSiwKXsA05UXIVr+LzhKdzRiaXXhNDUucc8NE
4nXOcLvZuW3uw86F2YsYObhFWivrb18Ky4mkAYhwq4+4NlsJuEyj7I6ItuPjQL3yw+PNtnXGIC3z
ItPw5lVexf4Rgmyz7ozcbnklHdqxwrV97hEXTdFV+vOhFu4I4JnFunQdcRR2Hxb2wJ2SGFLshjT1
DqE9l1/bQkYM6X8YC0wmSEGNC0TXbnetlRhFXhRpeBWwvXGYABRptCgzyZOx127bWkE0tkmgyEhp
oixP5n9z0RQAwRiZ0qXP5OhDhMnB59wc+hd8Cpy/H8/q/vWlQ4qU2W+8Dhqnq5C5DSTg7fDar7Xe
D75eBXgrpVm+E5nbW8NQLqOqhOXuotd4OyMtD40yGCYUHOJujI9WrMvi3RRNSvheGEr3V9ykmeLl
1kz3ua9q8S0OaQyc+hA7Ei8qndLweCAmNBgcJ/mUT2ObHMOeWrFbi0n+OTY8nbiE44DklRaO1p4J
2Fo/NUQW8wFFOCqXLXrRv/CkAJDHW4TmTaTFY+KVTYYHimglJL5my4gjD7k9+1fR9AGpgWGM7zGP
GwOXClE2vtZByXaW7bEQ3oC8HDlj0ljWObTlWvf6KDILnlRcODudDNjHFsFsDiDnR8cn50971x4X
iVBZne3PCS4c+fPUOuJC41/U/qQnRn5oU0U/Z1aBt2ZtVVFynlNT+2pmOhzTAJ2ywE/HPp9PVjZI
ra+IsqteK7nK7GfC/ekchmORupIO8EqTSjDRE/KyXxobct4l0prmJ+mtE/mSXKXv1FrUAxpkeTMh
XJ+IzheyhOFDEMQd6sB5WJduK7fhRxKmHPmvMFYbF6uaIXaLQkENWm4b6maxpJffqP3j3/x4c26c
A9BAS9NUhiIG4vt21wQx7WA1QpMg0YfsiXd9UUkLgXzMVJujnfN938IhFwYuY/FU41btLD/mP4cu
aJpSC4smvjroivv0E0YXC/UZnocsfBNEe5Fn8UGxor2B7/MXkDNUIJZaGpSx9cWCD2CnNZaNu4uc
pl+SvpH+GpQhsT2SLHEZ85S3WFR4hDxe3I1XGHaFQZEGITJZXzs/2VoUdHWqU+WNyvbVZlHOeNy8
DrCNcRbSf9DWlE4odVKIL7t65+Le6JlSzqO8vEAbuLzX945jzIqeiy6+VgY8Gbco++o0RZSB3A5V
r3Pb6HDltDbAc7tW5/wrOKPufac5JJNmj2TeqDTY00fdcH68KhtbjkrF0miCVkPBcbULrBwiXdzI
oKZKM/J5Oskfkw79PZpiO7t767tDnubSJQvgWVkNFc+lrs4JXCkE+s1rksydlzn5v7AFSzeBhubT
M97rzG9NjysYOQBgCNQeVyl6lEx5NtgBb7NTqUcuEOUSNJr0nEhKt3Pnbw2FdApJ5CLbQ358e55S
AfyMAIttrdBuNej9HPpG6Y9jWkynxx9tI8IhH6aTzHjk4euVDAbHBpyi84glExY9ZeaEz0NX9oK2
eyJOcZHH8s7p2RiSduTSj0QVjJ7C6t0MEZUsOtMOr1FaRX5Cy/8T/afw6ER1Q2ltlHYOzMZmWZq8
NC8MiIB3pa0y0QYqGFJ4jR2VJ7obP2L2XH4Fl216M9ekawx4Vu1McnNQCJckMAvuaB0oZ8DBLXOR
HDXjuvOaXjVfpakgecYA3ptCW3hjVTU73JeNUIE0hVo1wgAor691MczGIawzielGo0ywN6MkaXkB
B8Lamd3WJ1yiEWJUclJgcLcbVEG1yBTmwgFr59yloRF5WlLaB2lsplMZZ5L/eJduTsyB0rMgiReC
5O14QRrkibWQ6JoU/zHLLjDAS429jbJx7AjzAarTTaMqtj52UtzPGJHZ0iVrC/U0TF3hlXNhey1e
R39+7OgQws8x2ZSk9KsTPo2T02UOQ+lqWL4bJAgfueb8jS+b7ZcOUOPH67f1vf4z3FpkMgHDbNIf
JnePHLTXI0M5TVohDkaUqT7otL1y/dZKAkbjcTQo/qN5dfu9BMZjkxWMzmXS58FVla68RuGoe10v
iR2s7tZQgJINFKPBcZAd3w41VdA4lEZ3Lu2ULnMpq7NejaxiF/X+41X83ci67YosR3kBoNHfvceX
tw1nC9dHyP6FWpzNcWg7QAXJAKV70t6NckBcN6SNk/qZYyQ/G71rBneg9AxQqZs4kbo22fNZFNpi
ZEbybH6UY2cWn6x21IWvJyHYTpX2T33Iy1k23iNPoZ7sIjX+SnS8Hz0DbM5TlBXmR5wRjb9EYhO7
mxh7ai8U5azgyDNf/qwyLe+9oLfFu4BcKPyOdgc6CPA+KmzORoBlHjolUXywwLDL7iAFtuNWOhB5
1wFXYX9v5x6NrgjM8Ne4a8TkZsYg6xe7KeTBC2K5/zvFpqk7IcNufKEexyNFhpIlBy2KyIQkJcSC
3Gox2pMmK/mVUzqnc/T4Y2zEnJQh+GvJXxd5ydvvPpsmFPoKyeNITc2nDO3fw6SMsr80iEg+SJol
QCL/ovxW7pzdjR1H0RXmEJpAiBGsr4lWIYCSa4XLKDDK48B/cciilnrPZIxvjye5VW9ZYASEuItQ
OZnm7SxFJQlwZpp0kWbLPE/ktlDEpHQivmYHStkkuTxeg9dEpv6qF9q3Dl2wPy5KoH4LPp32hA4t
Zd0kyLU474wCSGIuKgcnnVx4QWPNnzSRzjtP9f09D2p8CQ1ohpDqrpc2z/UCRz9a1QONoTPRrXTO
0rr79XhVt0ZBBRA35qUzfldlMWYwPBWunNexspXnchpwrEfedQ/zpdzfujiIwckGfIIvIuT+1ccb
MTHtwFmB1rO7DwoQl29pP86mZxRj1ntArCmhIw0sXslmxecsCmd0PKDFxrNifoO8Gv9IhsYBrCxH
n6Z2lM+LkOHnx4vxG71xe6lRZqXlhIoIwe1dfZNyTQb1fYiu/Ry215JazeTKXZT/6iU7PJNWICyg
Qg18nlCEJ+/NkQuf08GvEsk6GD2ekb3Vma99ZM6Xxz/t/qAt3RpTh5609DiM1SMZdXM8InMaXuk1
9KdMz5uzgQWzV5jKH8tkAqiENQDkVyVfRqr/9lPZkk0bLBPRFZ1v+SBnXXpKijrwMy3d07/XN7Yf
cHSI8zwjYDnXDf6CsABEHPFoCOn7W08JFaF1yozpKdC64Rvuk6LycBwC31wbQfcK/KXvXdA+4ptJ
WUM840EznUa97XUgYVR7DuPsqN/xjsyN18iGLIMG4TSPR4xfBaU9qaxTt+619lOY5fFfGKYOkavR
5j1P6phkhyQMlKX0Uo5fHQMw7kE2uu59tWCxDxqceOo/klLnXp6PGAMooVEZkKdk7ZugB0P5N8PD
FYtt2/k1DiWuuqI2Q5OGxJTUntqPdkA1uow/1hGc/p1HYGOHLJBKMmyq0bSEln//n8KDRMcrRc00
uuZ23HvqOKPvCGz7w6iVe9CdZbOtjsnShEePkI4Dnhirzdg5maEFDunfXCRflU6LTrNkCM/Oteag
Iq//3oENcchh9rlxIabD46Nwn07AB6TgQLsP2w8amLcTVUAc2F1GYbjRUvmQN444QEOuvdBxgncq
vBBgjXWycxtvTRkHd1RrSOu5/VeHIhysPJX0jHRCTmy/of9yESZ6rh463sFbEQQToJQgD05RVVJX
qLsGiPDjed97X6EDQdAF6mPBrtKnvp14qUxqHcnkUXMU1J8R4dPEYdEdfVYEGbKLDmTfH+KsywZc
oWdwJ9QqxbUw6vAtUZPxTS1G+eNoaCJyg2ykRlKWKpNB46T4rqDyv6cSfne4l98LrZIKCGXoOws6
ZTaTUYDtvFhw8j7ITRd/xYda3mH6/o5ubnYjwyxNAoNDuECT1NtlIcCSstp08KC1pRi/gigcHOSL
NNTYpgZb4TMPjT2Dfo2lkHQz6KVziL+BOKuKsL/lsaNFH7QilPoDzEbjb4PyZ4MnU+to57RIqWny
iYXlDzI6M099ysn3jMhoog9KMKaGh6yICQipVIVxkuJYaj0MGtNvxaj3E2h8A2unSWQFYjBpCuTW
sLq6PkaaEZQw90Hdu1iyzL/gptbYBAeButeC3/oKqHLRMoUXKd/h+iQjUYywpmaOlE10oSU9XbWg
xnv78e68u374CosPHjUogwfkd/T2n+unb9XBKLoiuNS0uH50hha9q5Rs1F0zJg3/Hwbj3llUiGSi
ljUaTemDQkLJOLhkSZ/i0DyDflKz/BnTob1E5y62Zl7092BlEF8vVIPb3TUHVhdoAULOU0zSNphl
6edpZvuTPPfPLR2ek1SkNbBhc6/JfHflMDLcF/jynOF77EQf5WMu2YNzqR3cnNxqSo1zTEcbVE5U
e5JNTqeatDu03Jh9BAzKy+MvurVxMJYAUQuslitndd0Mygxmt2udi1EE0XUgpvHSFL3Zx6NsrS9m
DwDsFhUYIq/b9W2NmLpTIAF+sRordINyJLwhF/8nwSzzLEnDN7DYrQed7I/xk6wvAe+i3MNThozW
7chSic9NYtPPMIZZO1Xwnk8jhjAYsVXFn6ZJC6sVJXXq1PB7QH7fDtXqvTwUy34NINE8F6pcPBV1
Zx2birjl8XpufDW2Kq8jTSVqpmuA8rSomWoxD5U91O2XWoMRA7ej38GDbHw1ShmULmmaUvNfr51Z
Yr856lZ41Xo7/RWq/XAqeszI/aoZnK+zkmvca0YRnfK02sPnbc1w8TRFMx3xHqiMt4tppZJtCwTD
r1XZGSdZ67ThIOuY0x4er+RdysJHW+QA0DKkYEqX4XYcR8xpgcIyUQ5GyD79tvOc974Ti/FMCr+H
rdhY0SW2gEu7FG/u7plJm2IA0SEgS62qYdNZzrHqJtPPcfP7rNVqfVHtvPlb4LW5sznv4qnFzxMK
O8ePa+6uajSmpWNHMh2rDBQaHZGFmJFl6SfMxbWnbG5+5Y0a7FVnNxaX8qxBkkEX/F4RaMpNHJms
LLvi4lgFPjK8ku0Wdhm2rjVAevFFW+bJUcRJqZ2DUWn7aw5bBoefPgr/Qm8ngShE+vCjtRvVcHs9
Liqf6Hh+y1SnM9ysLVvhaj3b1AV0EZ4UaTQ1t3Eaw+YaM+TXEYRBdm16U1TXNmoC4ZaWsFUvlnP1
p51P2C5KTnzpq65R3ap04hdsyMK/zTkY/g5CefgVh3JQghbAFseNhKP+wJoi+6fIwzj0zbaToxfD
mNqvIjX0N7Ts5xeLDRuCU5JN4EnZXH96vF83vyPnHkIMmPo7KdzaKZRuyFTytihBIjyfFaG4yB4N
htuCzzGp4sZ27I1J3Wg7l/jGU0UJl4EB4AEPWZdF5laKHXpCQGGsLhOnrE9DLJ/aUDfeyrRt3rHh
h+8S1nKvKIh16nM9BkiAP57+PUmRffx7Ty3SZVxOq/cqVrSsG7QYPHySivTDkqNEWD9hboDnJteS
243WPHtSoITf21wZkfmg13KAONOSytVW/3GGobXH37gvW/GzUGaBoAK+BBWF1XVFZTQIW8FVWRZt
2/sM1FZeX1eYgI7otSuukyuxcVKUvhJeO9VGBrXS1BFAo1e/g1na+k5kTVR76Lhgort68vQOb4lq
IHVSsU0+LIrwflJNwUuWYUcT5KbhOlJRHOIR494Uff0fjz/RMtVVpM4dQ10F/DoKFusEJgANRQ0n
D6+F3tSuLU3Gc0BQvXMONiLRRZYD2WniQyLe1b092Yjl4UnLKCGifDjEtO7MKMehnveuzu2hyEbB
orOs6+CF5lNrBQ5gnjlVHV90o/5BS5ThkAKi9h+v3fZQS7d1MULiRbp9jaqwI4pJQjBK+SAOcSzr
B0Aps9v13Z6A/uaWRQhmQe7SVL47zs2QRXTSBc2fYqknh13hS4FmfNKkon0Z41JcYrnIKNfN8lGM
Cqa4WpB9eTzfzeNMnk0mAXTpXmKlDvoc4h6BTAem7x8U4WNi4BoKeitnyPMhEN3lpxHkAfZ3Kdfb
u0kZyvlQhtrwDwUsyXFVs9CSnVtm65JlB2uAT23Em9cIJDnNZ4tbJLzytvXfo6ofcf3LQvmzFYj2
KQP9exnUYdhDWfyWcl0dHcr7ZCIL0o8nc1V/UAKlB4kqQZoVNUT72nbE9xILv2/lOMn/FGpXv/WT
lRVvatKXiRvUcie7GCMn08ucNSSljhDW22iA4p+nss5cQFLSN0vjCvKKuVM+oZJF4zcuavgMsjZI
uidxyLqDjTIfVQWpao49SIN3le7wsNZD1dI8Q8LiYxJbmXHVsElucUNqAJxEc9R+Rem5yJ5yU8t+
AvHvyfwzq/L1ElNPXP1mGsGZE0X8M72St2Sq659SAlnGK7FMxEswDCLDU/Io0fy0KIOWm3Eqv7W2
UiIC50y15VqJlr8nNZTKv6EqlE94abXax3AeUz/X27l9qtsx+VFD2f83DqPh5+PtuXEcb77HctX9
J92twskGiMjuHIz0m9rHlj81Vu0Vejqf/3ikRb9s8ZuiCXCXIHUTidNAHHSddPyBjD4czsXQW4ci
Ho2d/uHyo1eb7LfCAxcMaEhUi24nVbS1bZWSiK89ULknMQejZ5ZNefjjCYF1IxdCBES37nQOwCin
Jvxe2Hh10P2lB2n8Ap48PhbDsCeBfs9qWQAqHFN0vejOk7DczgghWzuqDdQcaCvX36AdzF8neo1f
QKOpH7tKDK9DU+XflLqPq3MsRwPV20HrKh/8UvD18bw3rg7eXVaWtN7h56xWNzIgDfU18Qk2Qc2L
jbyMq6axfUQc3/IBKah/O0Zm7nzSjTh7qa0vhCkoC/ShbxegcaDU16USXeuwKHx8G/HB1KPuJewa
4UlYpX7+Hya5aJYvVCJeq9Uk5dLokCiBrprEMTWmwS6Sj6FSQLAfkIv4B6OEcXZ1qlB7BMXlf7ze
uxBoCPzgKCy049uJchc6UoW8PfJAAKFcrbBnL58j++3x/O4RZ+wo8hUSF53O550T5pQ4irDUKbo2
URBqLl5K/SeZJto5FYEeu1YVZu8l6tY/6iIYL21fZZFrtqBR/CEf0HsTcqIc67mvdz70xoXErgJD
wRLwPKyz1VDFVbLpQKMLVUlfBskaTgN9iOd0TvdkxzeWGjwDhRNODy3K9UbOop4+bAWxW416+avV
qNpRzBhGP17pjeMCq4VPqXNZ0F1efdBEjkH3OwsaS+XBGbX5EKNzOsnJ5AUp7rSdVcaHx0NurCHO
FzyzlPwosa/DuWEsBrxoHSJHI8sOuhnKJ1PBu8BU82jnVt84l9iQIaC4KH0uffvb7aoi1yDJsEqv
FdqjT31idy9znKAYlRH1i2MhlWrnPp7dEiGuTghJIT1ewik27vqEVJifKaHCCZG1rHlXE3l/bC17
ekL4Q75GgCCfDLO1JcTQE2mPPLC1snxIoCLL0YHKfjvdXp1NC/owZcRKy0+6Ff/T11L5Xq3rfx9P
cmtvwtPFxnNBwd7x88G9yG2/HM/SVJNXnFW+yTgz7KRRW4MQ9NPMXjjBd1szKO1BmylEXJU2KZ7G
NmgjP9L0Zs8xe+sI8BgsXiELz3e9SSRDKeIIAOS1E/3HmjL0CZl/66iLLG7AW8uVFzfY0O/sk61v
Ra4KqxyMxb1lnVlEzmAa89L/1YP3TTXknq2MydEspz2Q3u+sZb0nkb+glIdaHRfrKqvB3FJrw0VN
FL/zMUCro62T1wZ5jl+NbsQfs2kYB9caRagfNOqNlksPQ7yvwrz9KJtz9E+S9IGOrnVQfWtxVfkh
h2H3schE26OFaFS1OziVtReM339+OpeL+CNy5YRJa+1wjpDeTvmUXSvNbt2yCxS/toM9oZqtUZa+
GbI8i/XyemlspyPYtUIqZEMRHxJEPP2pTiv/8Xm5/9hsY9idlFMxdqYOf3sw0W4ZIyHq7CrPZgZj
Uc5OTaNUl7TBmPLxUFsTosZPBYAYiGto9a0hpCVqOwwIiUnYDlZZW/kN7IYdGa37M0MXnAoQx0Wh
2L7uBuaT6PJQJMhCiUgFbyfqGYwOmiqvgUDE3lUrIEt+jzvHnmvF7xzsdjMvXXF4cfSJfjfGb9fS
JJmKrDDOr+qgQqTGtUK1vV7tmvFQjQvTIFFgNCHcVYRle6Iea5quJI/yN2S1u89FBrzgMCQd7tO8
pibNpr7Nf9S5UHRXqsOwdqGa9OGzU8YRPmE46v1LGXJ8NWD+mR7+kaCenCh+qxVwScDdnQY4KrKr
CPoJJUPdXQjb9K0QmsBhiEJ1OtFcQ80tzuYxf2+Akcu8Zmz1xmsUsNae3eBxQyE112OvrGT9y6yV
OMv3gO5VNyknEkA9a+wnuzD448d7ZWtbAgcFk0TMeq9yh4Mg1lOayvNYiAS4y1z5KqposHJSZ+cy
39owVMKoEy2KvOY6Qq7QNx0kDcWOcZGzSFmj73raYIlm9c3Hpq4Vzx7bP7Yt4xGkH8sdSxUOCdnV
89/DTtDqlDAZkw3l3E54g8qlo7jNqEoHnK/qnbN3X/hDzo6EDpFvmIp35PambURRGCjjKnZpZIc4
jfQfSWMGyuKbnKYAMOk3WJNTDD5yLdYPNaydPb7mffxB/R3UOa8/JPe76KpOIrigwSKdUyVF4PXB
FH6iFp09tdOQP5tCri+62gA5Qq18ryu2tZ9IN2lzsOz35nsNnjWTOjB2kWWOt1hFuU4w6K4xZ3sF
361rDgQZ9SFq0Avm7fYWSKWaFCdnPwXyjK2RXVTnEqW4nXv7Pn5EE5tgSiXUQcF9vYGyCQJ/NpuI
kki5V2Z5foJ0GrlyPU4esIudWPw3X2V1teFrsCStTElW115iYZKlEmTP5BqqnapTWArNcwJK8pMd
FW3gL7fB4mXRYtFu91Rz3KZOpec+x4CliePMK6SuLs/mIA2mF0Sx85TIYb4D0fntQLT+kVz6hH4o
9vFwrg7VGHLjSWPHWxZms32agb+AhKEjoBxCMdjxM4y6UPbrrupewwCUsQftpC/9uKuyTwvO7ZeD
X9D8ZMpxeYE/IUb4mY3+FYxaYvkmbsTJQe5jG6/mTK7KS0b9S7o6+Cf2no2wa+UF9pyOfh6YLfqc
xCZ7ShEbewudCATtURiiMLq+q0wqGfHU8RmUwsk+6bnuuFqiV3tP6ALGXC8k7VUEp4BqYi61WshZ
i6sFqyddHLsZp2tcZrHiwre3hGunUtE80ZZFtLiLa0P5YFSlLnlaSvvCbY3F9VfFwSh3K2kaAvT9
5eJjgB7k4LatQto2drKgpNvq3WGwe7t01RLhhqPT4ePkJQjuIt01TvY78hHcniazkmevk9P4Ryr0
jlbkbH7Pu1l7M8Cqaq4CESJ25TaKEz9VR9uEjC8Z7aHNcL/1la42EY/rae9SZbHGL2Wj5fArhyk8
l6UxIJgdK/LXuoqDf/MqMF8Uc8oJJ2Elf4qHTPsOwcQ2L6JwKucpKGasqCoKn8FxSuf+n2aOcsnl
Ei/7QxZKyeCDDTacZyukOuiWwyA1B6ecnM9EWFJ6nHUlukxpJv+0g8Ia4FY24nte94gZl9hchRjA
9H2GJ4scK+9gdY9flAZW59EO4kWJJZm0vXR3ozpGFgNEi1lQZL/Tkp3MyJ4ru3EuTYtOQkmt9JDo
TeiFaOW9LsCJF6dNSjpmoniXS6I7CHoonmV16s5t9juzXu840E5LQrWIE6/vF6pxWp4Ok33J41zT
fSfsI6T4krZuXmZ0ezlZahSHT6njoNKYC6IDjyw1jc9tMjaGiyDq4JyAaQXTUdOG5O82t2r0CUKB
ZJpBad5+pm0ydf/KShMLaAX/x9l5LEeKbGH4iYjAJ2yBKqnkWq32vSHaDd4lLuHp78esWlWEKubO
7MZ0ViZpjvmNS9m7Yrt80kd0TG97NJvnQ58g9BQqbdKblxaN5PbYDMX8sypFibQCeXnz6Hmr/+iu
m24YMHP5DGE8/+q1mkNwV2JYwn+men75UC1LqPUC5xDNtPpvGRSG4lgJfcBZbwGrH6ypXc0vqIlx
YJZ4kfXdtEANmftsrEJOHJTw0l+Md7q19l4gfPbZFaTITuBDcrFBezjmBAbbE/NXCXsCtp+vqvFP
pt75Nx1cCz8YyLGi2WAP4NHTRSmR7pVR9zYdw8KLhM9Hg+m8PRc3m7eZ1LxTqplLkLugN+aiaqKs
HelmjU0JjrSPw6EnHNXNdr4XxixvrH65puWyE4/wPJOO8Fs2SsHZQy3SpUIzeeSH4MIbzV2xPuGH
MhzoRTlPw6gDGhaVODrOtULwTjCCggJyDdDGNhzrWc4lwA34Vrttdt2vj3Gf62He+fZRn5JrNhA7
5UoeKnqGVEL41BelCoUKnbTLGXBkoYb3NvUE4M0ednVBb8Hwilx4we/zDLHhQHQ6nczMUmP2cZy1
9btlytbqAivGGBZpz1iv/zPCDItEopjNTJpM+ryQiKjVTEM49U+eJstDkVVokaq5ujLK3j7fOmfc
b0DaL3Be/IuqWhC9OuV5rtHcAjj7EQdPub0eo3+nxkKgZeagYHFtq+9E3ZsJJL12cMr6BYLO6b1Z
DF2qnZK47NXBkklPdFv5CBQt/Cs7kMsAgDx2puUnniPqD3fR8MK+oblaF4shAplag39wjdhBqtQy
CzOKRTt9WQCa0cwTuXb0lKR/n5OTvrydghm7v37LZgm3oRafAxcoJ88GjDzt1K7cVOBI6Wk7edkD
EjAq+2GxEusdPtnJEcSzfq/iBFY/ebETYp1rP825X4a9NmnvfEtpx9Ub9Q/J0s+3YFG0r5bdq5sU
8Ysr33onLIawwItG7gwM9Tz7H/1V9H4K5Jh7BBentUpv5tau/uR4i33MKs24skg7RxkdKPTet+rJ
ZbkxLTrsNwfGw2m2/FVixtmFzTTK54RH/5pJ4+5gFMTheCP3dCEyP8Qpefym57GoMY8oQaURUgoo
Ozirc3z74+8EmqgrcTVuCC2Qtme1mqaY/UZrmReNZBUaqzlGDfrk0duj7H2tDePMjmY6fLfXLxAz
JJxKa3KEEuhJ20H3sSkR3cDxKHGfuapftLeAvHZUwbET2qmn4top2xwYpqrcMXKIrA7aZCJb3COf
+PbUdodCG3kDLsB7Pgcj2XEsVJlsU8uW4QETb/3DXHjFycd658qe3x0KoC7lO7JN4IOvV9EYkGcU
YwF/tp2yx1HzFUJyov9eGek1rvO1oc4+mAKDkqok53iZdXLErYPSGrbrn5I4Mw7/fQF5FlDg37Cs
YBtez2oTvp6R5YxPua3HaQCpVIYYQs63SnCJvD3Wzguxyahh0sL60T/bbsK/IiFNDmYOpsQ/VXDU
Dr295k9pNeWRcNbv3Zj+sXtjvnl7yJ2V/HtI7ywGmOvVKYBBoDYIcxO+pGuqD81ELklw2l+DEOzN
j3IBmJV/0c7nIVe3QWz0pYlPrefWT5oXl/dF19v3tYv+jTMnM4/gKq7U1fZmiJMWskO0mi6B8/zD
dejH2DtpDRZeLtZMpHqreUyc+Rq7cOcegZoHjNSnuXUp3biMQ2b0AyFlA6c6Wls7iWZriENsfrOQ
VN29sjf3xsPBixIe+PHNNuz1fsFIPR6nuvNPxTjlx2yY199z73yzh8G8y9zJv5KP76wk2RmVno3Y
zUu8/Zy/tmdmZLVW4rcFBj8tH3gcmrDKhvoGbZHmyknYHQrw8b/vJw/a2bZUDaarFWyDOy7f+cGq
neWJqo/7PHpwjd4+ATsAL8fjmaaR7HLEuSdfT8txy8Ra3Zg3BszgUS2VFraqtiMFLuNGM8RCIgJj
XuLl+yStdvhczUUdmkar3ScJFe+3f87ezGn7bhKo7KWLdovVMX6DKMZpFR7K0HgF3xLTaYeESu0V
8PPOcUQtgp2zPXs8f2flFUz64llMSjsNZbM8tMhD3hqZph/lmpQH2TvPSmvyK+CT7WY+S7A33b5N
pgf4iXWuaav3VYl354IGUl8nB3+pi/f0IuSVEtzuIv41ytnMWh0NyskbURxz84x83KRRgRtOFnTZ
BHjp7S+2l0mCz8cmnK9FDHa+gca4XG2cDbQTNA/xY7Va54RUvx1NMQwBQlHfeu5Qe7ofUF/4bCBS
JMJstYCSdXF+fPu37C4vhQu6FaQZF7m0JUnec4vQrF10rBFdUd75iT9eOTK7yytgPSImgXbLecaq
6blI8gpNk95y1J1XAqLxYMg++X71fzTrWFMoAYRJm37/2eGcQRTmXQeI1lMpEEzTr2/Lqfrw9qrt
HgRvu0O5SAHrnl1sg5X70sPs4g7xoCRYxCIPDvq+kZZD55zQMAzHIv3x9ph7a/jvxQ18h+fpHAIN
OMlQwpHJnb0kPbVBqO6ogai7IsZf/f8YipIWPiObOtZ5MtJwfZbYjWgn5HhgHi5FFZa9Xp1iLemv
7L/tc5wfb0AdHkw1wNUXwG46aLLRO3I1VK/KG6yR9JOYx+I44/URVeOcfyMBcz4Nifo/StKAE9Fj
pYaIdvR5oDsr5IVnn4slTlv/prGrIhLZuFxpQOydLxIsyiWE01vv7PVbUSSpMTseRx3gsXsypKaf
CtMsrrwBxt6GJHHUCQKxJ4P193oYgeFBNfh2fNKksyZBjY0sKNphWozA7cpZ3sZitf7QIKORKldD
tZHssSu+qcrV2epWakIV0OsHP0LqGTjttjdShKTW6rder7I/UN40r7WC9nY0ZbStzLM5bJ9nUaa5
pgqCrHaqJ31Bdl2Wv/zatA6uUMb/cWAF0H26eB4oqfPKlbHockYjkIJGU3nRBqMKMlcfb9qhno5F
gd1ahVfSFa7Z3kdBxMnY3BSo0ntnVxHIRj9FZCTFkWuewgbmRmCn9XRA9Oi96y3QFaBk/R9HF4lb
ei3/CvecV6Z8Ex6NmSN2KozE/lA0Mgttq5a/0EH+9vYlsXNyUQKl6K1vEfrFzq7y1Wj7TXRMq80k
oZ1gy3uMmI0nAwwpEjVOUn1wB7tdb4CWXkt8do4VuSkXPJVIKj3nN5TIEW4s0Di9cxTg2wAtFzCb
ebVckznbHYcaGJWwDWdyDqyzm9hNux7d4EkWuLhNziyOiOTEP//7WrJPeIRp/iGwenZLpFVrLqs9
UcQsnQ6x3Xg80BXNAvq98Z008iH0E2iCWYmx9tsj702Q0iLxLKbTWz3o9cVh0uxy+5gyqxyr6YWG
VgfdRF57lPciHvJhJGoRsxScwbMJxnXeiaXbJDjT3IXWknW9F0FWUFWgtctmyTDXrThUuV/FAdSU
WVG9TWeaJas1Cix/a6u9EszuzXwj0oJhAK15UcxuPJU4eQP7vrL15amn+gAjQF2LzndnToK3yblx
CTD/1wvslPOit5BVTrAjjFtFZfrOq1UTJS4UDwsjc/CgVfIE+kYFfjpOJx1PzWicve5KtWX3l2y9
d4TKgBhe0OxmB0M4Dq13KnEy53FFqa+EF+5kXVS7C8pEMmnH77qmd0uA1lPuHlqjduTRAmrgBYXm
zvm1n7R99levP28WUT1Vkq1OywZ5vThSDvPix2Z8qkfYhoHpl9UJffDY/2eZ/Mb45aNAOga8Yt5p
gMSX3WrwItGqx19BO8jaNp/nIvc+m2vt/GNTkq8iJSYeLmLra5YWWynl/KeCmuOkIBoKGPXsp/pc
b1MiJNvFXb0uBLUU4/vWZoiDtbzLbjBkmSlCx1+VvG3dJNU/GVlve//1vLJiHB+6IhvjlqP0esXq
TOf1KCTlOctfwhke/bNdD+2Vl2vvu7BNuNvpAABJ2F7uvxL3oShEn7kZBds20+fI0fz0RSVQycJm
aSSlkCFvP759Ee0MSX5AbQLFh82wcFv/v4ZMSsTHin6IT1bhejKSGrzPvpoW/yDKzP/g4frw6e0R
L8KPDTwlKOeAfcMx5VzZqTdiPAn7ZLv6xucOtbXDYCEkqcqiun17pH8hj2ebB/AyCZ+DJuGGrXk9
OafoIIss8NJm5WqPduqXAEJFseph1ir1kw23GkGPSQ3WdG1dLaciN7KfM6KedaTVrfxhxRYNrcHq
/D+xay5NYGuu8egUs/NcW7Segt7ociNcDV21gVZpen+Uk1Y7d4vZIqcqeqSV/xi93ojQTGaFOFTc
Jv5t6yj5Ms7ZmAXmomL8kAqz/eRkQFsDHt+0or+HxuBhmroJBEQ8Dj/R4Z6tg6k0++NkrGAYZOvX
z1quWSe6KwNKdqBv/ZdNaOO+RqvKiOzJdptHdH3o4wFywn7PG/NqjWKjxBBwsrv1PQjkTgu92odj
Jatak7dZUbc1/6Qz0kgzpU00WyfFjY9PefkeTTicXsxmWctIej6ASN1qxRBmo6mPYT0Dk+n0ARRh
3QhU9dNS/zRiMvoB1AvGgFqqTY9Z2bVQmmlpoR+qAD01le99sCyU9nD0m8SThUnQZ8/oGw9HFSXi
KGtEZ9NZNS0MENdcrREsRtUFlZxoeftFk8hwYF2mYE0WRLahUaRe5KWux31UxeUYWcOUjxE2mXoZ
1Mbq4zyqmhJqlJloeiBQb/iGhWZaoPw055/f3oIXsSiBNt0QKDW4bl1qD0xycDxE4Z2TjsrwYdDM
7Gsp6ezr1RRv/s3quGTWNUGuf6tur/f9hptj10MUIAM6Fx/a4COL40j3BBcMwRhpd7YRdTYdGejn
k9SpdcjkT0kS3a9kGx6fxEzlUt7jZFv0V5bg8ry//jFbQPDXDUM6z8cBwXsyiiqJarAVh8btzIPS
vTj6z6tN6Zg4jrwG74FzhIJwKw7WbNon2JxpiO+jfjc6TVoFebH6x5WD8jhY8zU90p0J0ndA8IFL
ZssFtyv2rwli2TyAwZis08S1eRO7ehetRYpp55x8fXt+OyMB6qclyl/M8rzIkg1EDVk+GacRUz9A
I07+Muipft+NTnplqIt3gd4QiwgkGuA1nb3tp/w9qRlppMlM/FNrai/UO+SdMfcf/T7zCSOt5Nqj
sDccDAI2w8ZtufADMGq7IZ3P/ROCau5hTQc7JJgwQj+PrdCu1mvY64uVZHqokVB/IEtk2LNnj1g7
dcBb0k6JRfUpnoYY4x2tMb629arJK2WCixhmGwz5EyjSvEYkNK/X0h6xYymR7Dk5RZbFtzUGMzS9
a7M6dCbCD+G6dCoJpsrvEm7JtHzXj2t9JezeW2DiPSBTyNXz8J79htUkZTQyIU4efgaPyWKL8mbC
hqw7mE5Z37dcoVcii0sMKNMmaKLCBBcViYWzNba5vSscX/xTWnhuf9sZfblGFuLqAMwBHyOflaUe
Nt2ZQzDuj7UVGcMU/+7r2TwNYsTVPvWK5FObpTPGF21f9EExl8M1MdTt/nl1WfIzgd+CrYYNh5T3
2fHVvJXnRwPU1uFv9dFsVPlHTNZ/Lrpso7hoztO1JiA5DyB9ExtjAIpA5+pOfW+rxcV8Z8H8IZnT
9tPb18TejDb/YAB36FJeHKbG8ucYLSb/NEypOhATj/dZm5lXLtu9I0QrCwk17omNBvx6VxPdVRUq
duzqfC7CYlyrG4R32yD2YWW/PaG9A7TVlnEloeBBLvB6KHfuV6+krH/qjVpPAuFM1teWd/v9OFbx
F3jiaRpSFpaErkCzssBFT/saw2DvAOHgRMGMFjOSfmeJiFHOdjnkgLAWjKMS0IRuJ3AJ7qcchV/U
xU5mk1yb986HpL/Mqd0wjlzFZ2MuZU2bMjYpYGbk7XVddbdQyNPT26v7b8n17ASQYRGncDlxIZ7r
rdvS8DTw1d4pwXm37aNm7Wd5IL7IP1DdxKcrR+GQ8l3f9QgI1m7aHlZjLuUzxbdNJy5zmi7sx0pz
vsu0t5/HuABJQOMsSULdWIflCZ6Amz7FIm2+Do0zaPfrmA9FuPgi+T3ZdkWMrdXrMVlTvw91B8ki
O9aEQTm/LvKg7pFqObVzE38eapH/9sai+KCryfKiWHcW79a0x9IJZ9lN33WxYD6i7Hn+NQ+oB1zJ
A3c2PQ0khB1pc8B5u9j08+SJYgYDKTwpbwydwnw9WdoG/KyPb3+Wi9ARGA0UE155SFBb0+P1pq/L
JZWuZqIDTqwd4hLiI0yU5hFuoeuNY1akTPoSH94e9N9C5dlecOjAg4mnc7xJdb0eFW3fonWMgUt7
mLUjeXlNOkDT/kNDvfUuI5RMwhqx90c1dc67tS+qRw2ly3eDW+QnWtmYiw6USb/7clivcWB3joPD
qm9qVxvL8Xyf8nA5a95SCzA1t/kVa876fklU9/+s+9bEQrl5A86fXTa51Ysh6zwfHIK54kNoGk0Y
l6ktHwROl+Mp1/rmV5cXRn9lb+3ccv+yKFH/QSWNoOv10kuzlK2En3jCsQ4NcJ+uwKp8KMxuDhk8
b/S7QZWoxhiJeinr9BrdZm94ihwEl2xw+2K/rX2yFEB1fIJLZzy1g5+FWl5Wt6Uc27tSGeUDUjzj
oadLe2xLx7zSCt4bHqcm0GPwnDcm7uvZL4abl0aXEQF6nvxMF9x651iNztILFDyMvo46o+wDEsg5
VEK/apu3c79Dhec5g8S2Y8TMfBdw9mC97M3WPRCqr59zr8yNaBhX8xnarFaTIcruT77OKRuvEN86
J7XvsfqYjRvNWi11O6Bw/z2ObYKU2s6SZ6XQYryyTfauIEr5EFf+5fGci+kusgApNhG61pnsvisz
F9D28oU8fLaSaxXknSMH3czQEStCU+Ti5RWJUppMSANM7M5CRwzOP67Sx29v3zo7a0/+BNML8UqK
NefJRo1sj65pDQ9Qsbq3VKeNT+kyDEc9tjU9HLr/7AtM83grDdMlQqXzIvovrEG2/+KIAYjEN73R
wwYR1Sirm7fndQlZYSC0JSwTTVu0Oc2zTb2aYCDjnMClNga030pjcVGtQwH5u+YNWvPBR+LqZ2/a
MLF4CIYfZpnZGvVYG1FiUWct+mhtdk2OYWcDvfpR5uuTliWZMFXTUZAe5XKkJxC/NxGAPHR6vF4J
3C4rEdsCAKvlJfMwozyvNHdWLSRcUO+k7Hi8mVMMcTJc2wPR+O1txW0T4sBpBRyZLBxSRZFqrMtr
+lS7Exb07/WtKsLD9nrCbd6thdYC1+t4bh9RAIIeI5v4rlxL78rjsTeUSx8QYCXkt4swvx5XuTgV
CPXGHpJ/+mGio9Sr4bNwm49v762dk8nGBQsLO3q7sbf79K8E3XCopGWYKp16p7ehkCXNCwQ2cQVK
tnMyGYOU3Edv9bI8vHoo2juSqHdN6/Wzng757ewn83PGUidh4Y/uz7entfMMbN60ENnp2WxwwNfT
GvIK6Tu9BprX418XiLnLvpdK5OprChBeBDYqrD9WWY4vqhx5oia/pCb59m/Y27Vb6wghBYuw+MIL
yMh70Xf1LE5zas3fEW2Pb6RsnT7wJqtGLIsUIEUa0qpXGhJS3mMesd4tnjZfo6FeNHtJNLbSEu/x
Jl9+nvgsa2wKe9SdExh1UkVQdYHhzMUhN1LMattyeL+MqxY6fdxceY4v21YMTaC2tYk2hNt50UK0
aynmpHNPnmjFerAheh87CymLwJxgQT40sd3KwNK6DLqqFX9MBxF/zH2xPi19EV87wjvBsE9qTvrM
JQI662y3x6RYaVnGzsmsZB+kMd8nmHHEjNzM9Y9GK9sDaqfrj7c3ws4ZQxYXDTUATTRqvbOIjAtd
WWlXuadqdL93a1ffY1KZXqnM7FwZG7KPTU8l6tKpgbSy1CEwOachk+NdpSsgJPUyLj9XI3b/syrg
9lUBatF9gfTgn9/HcZ7gy5wv1KPzqjnVKKDBmO/WyO9n+0r3ZW/xNmkFyHncg3y11ydZ6pUbl65y
TlRxsO2o2uG46M5VCM72hJ4lLD5BK/wonsVNzOn1MEqvrDlecue02qorDp4OEjPAbi5/ibutg9+t
Rv4wZk1ehPCv06exxfMmqNVcwpnRKwh3b++Zvc8JYx5Npa18euF14Ium70ukt08mRNX7icJSE8wY
MheRPnmQWN8ebW+RUUPBdwMnpMvSIrVKW61e75402nvhQC8pnFCX+u+vGgk+nV6g7sQh56fPVoY3
1Q2jgBiFJWk5c1jY3XLEluWa6NDe8oFx5T3bDHNADb3+nAgEtk5bM5SHb2lQ+rM6+bnyoziRxpUv
tbd2bE1uUCBBAKW3n/LXC5pmUltboM0nXWjV3cR4WGCp9sra7Twm4NC24h/9gU2C+uwc+JRKPB+5
sZOeVf7vQS12HMbrMMzB6i6LDA08y34TI7kHHzJ5GbhpUxeRZQPevhKNXT7m/JLN9QkAJY/6eQ2y
T+iYe5nhnATuOo9TUYA+mwc3mYK2FtWDuQzmtfxhb0iKShsynLuAVuzrNXb7RSB77HIasDC+xdA2
x/geL95j0qjqTlnjtWru5f6hPAA/m4+Kbgxp/OsBKaJPleVl4oSz5BTllUyO1JOcQy2xmnr77O0O
RUHCAo1K8fi8u2wpdLHmwnEBdkBIbyq9RFNS55WEoHmFG7Et0+tLjlnR8yGaRqcA8unrWRGB0Wgu
Y/dktVIc9FhNx2WYfhhYDBwKQL6BSL04rLD2vtOX/Lob0wZHuhif/A/BuA2Bfx6H6LmlpfjCiJNy
fAkGIpEfEDYw7sFJ9TdGB9tltWSDGkpcm5uWXjo/rXV9Dauwt+DcdRs6lt7URZo44aGcO3YiTnpv
VEcT101Adkt5a5j069/+tjt1sM11iq+7waaJwM4uh7WZPZEpSq+48SH80NP+/1Xm6ULS4mkfy02Q
R3Mq/4OUyj0pVSN4MKLL9LCW+nwvPau7GbMpf4Fnpf55+6fZwrz8GmxvwXHaOljkza93g517TB0z
sFNcJP70g/Crtd/PTmkgq6BZojvaqwuZUMQ0px+wex2w0Fu0BXgR8k0wJ9JRijbA50XvX7ICmyj3
fdsi1ds+OIXtFM9E/H12ADaGi8Qk4XgEkyi6fzA58po/S+0OybFDsT97GPQ6R5zbp7v70cnICIIR
YKB3ZzZTAlxo0Zv1W1r6fR26PYL7geb4S44JhZXkPwD9dHM0Wcto3WjCqozbwTMGK/TRVbDDVM5j
/I+AvViBOFCZmkI62Un+2E+zTII8nhwFbt91eI7sZvxRumiYH7FqxNwnRc7VCBM49ktYe2M1RMS3
9CR6IdPlXZqbiLmUmt+XQS/z7m5csjkOMswqFeDUuO4DV1nmM3oQdFBk3635HUhVowrRaOqJPdtO
80AaqemndJrJDTMzHdNI70b+T5nF6bMwm268K7LOiDGO6XTzAC8FQ78+8ef+czFalelGguI4HIRZ
GsmxtoHeHVoLxz/0X7IlyQPM1dbyC/AMr31QeWbU93PuLM1RlqQEP+emUnrYK9udwlqZNpIk9VjY
AbDTWb7Xy1ZDjmhdl++ycyDIYAFafhgWcLg/DatqnpKmsPRobETtzCeUbw2UOEbEC+3HculGPexs
Sz1sprmgKabB+Yl+gxM/G25Ptbuq2+6L43ZTEZmNA3jMQDbLDapWM/WgcGJTRWZb6xNKy7H5uWnd
9I9hjT4Rl6nUQ9UhL3/jtmwfBDni6gctDtEFVOuLNJj01Pi6xKbWv8PFVyFuZNSD9UCfx3pyJned
Q2u189+j4ybt5zQpy+WGevP8MHhtUz2vPAnpIUscMw8weVn6YHBcdVfh0RMf57WZPgteez9aTG1+
gR/t3Ot6oX32F/4O7XVZeINheofjksbfGtI6J9BlDPpzHpZVy+Ew1wJJ+Eyka4j/aIMRUBYnoW23
1rOkyDHd41AwJIG+MMfAqkZrCVurAxWecr98EnM9/Bh6bzQjv8rpXOjgdcb7IpaVdVNomTXeZtNY
/4GY3s5RPdTFz8ofiy4ofAfmeUs6elwHN/uROcPwvRKG5gSuXnoFG332P2V9qoM5pyo9Bsk0qvda
qxEL5nmb9YGPxmoVoG2SGUcbxy//qNGPiXyNNDxScUyPNZ2EQY6XVfVpyKkE3xYWAif8SDt7zOUS
/x5mz+giw2jVpxGZ6DTy6ZE8w8aq6ilypbLEe2XEiKVYWTw6R7rr+FhKu00HsrPR0L9YfZfxVEJ5
bu6lj2+mFkp3gLRlTe4G7EsdkFZ1u+ERpS3Ir+c+9WPkWWaHyG+0LO1F2G0l7qm3DZ+qgT7fDySV
UdpYYA2mj4bMDfezypfilmAVObKsSXss3LpSzcO9KuBdvxNmlsnH3GlFEybZ4CNgiRXWIdH85bH1
dfUToCY1MM8W+YSpW2e/b9Ni0J9XgaALV2GCfnq/lPYvdBanIsTI3Fd3aPrZ0w2NyP5BUQhwg1Kv
AdQ0UOaKIJuEPjxnuQJJGU9dF/nod2GnZRkTyDOZ11/mDEGY42yP63wzJdTmnse2L5+0JgYqMMVt
MR1GKkoJm65anENqZ4iNNLWBId3CinVIY3/ou6KZPxspDKdDwvXybh0HtBqqRtO/u63XvbO0fLAD
q+9149TNzYDdOWWpJXAKbxWBh9T3s1B2ZmMECzX4wWjXNHmPtfPwdZUa58NKPPkoXfb2MeU9ACwq
Cy/UXQxcQ9+cOjSkrFK5Ue1wkL6gUVIsx2RTarxvViNDsCNBBf5LqvWDcWMbufyQjkstjnxbz3/i
sV/G0E3d6V0bN4nCoGia58d2EUDRerMSQ2Rlci2ChMPhBWW29FVgd3pahqIpp+5YFqaLqgBo2u2J
M8byYJl59Z6AxGiOTmXKPMySCfTXVJjOr9FWgxHgKlFu0r+2EVDIY/MuFRA0sZTNiwL58tPQxuyP
ENJ6LivP0PG5rvPfWS/n33oh3Dxqp6QXAQ4Zqx7N42J/oFKeg0zFBAn3VPbfFx7kvor8sVm++UYX
f5hc1d83ql7+QUdG0TUul/HTRN7NPVGrYQiQc+2+zOaKyYlWaqs8lpVRfxJW335rYyP7QC0ZBdGs
KNtDNw9GxqpM3nenoGYc8OdmRVQ3VfOP69EXQEwsnZqTMdZNCmkp1d81nlZ0p3qZsyc0TJDVKrAa
jINh8t00RCg5/VRSURQkJezqMNdF1Z4G4J95RN/bXR6GxnW+pECCYpQyR6EHqWzVP6hkAbEubJR2
vVwMjxLqAipp0tHhuCA/9WCXdVsE2J2mzRdrGWQUTz33mVPgBRBkw9DzyYAHvq/ot9DlhHCE40ad
Z7/WNl7tA0lFlhztwe6/T0ljtF+U8qrP9BZnDY/aBhWi2km5adcZR83TuLTpyUtSrNJQLfS/z9PS
/rKd0bYPXEWV/m2ZVOccYxkb8kgwp9uHoWvrJ1NU8hsKrRWP/GwOcOKl+ZV6wrCGjtWPgOIn8peg
MfnzbtpmydwIsXhgL8GACKN3J/J1tDAN7icZIAWYZbw9fmkH+OfW7+c1UQ6l76ocw7jX8XSCSvTV
Jdkr0Ayc449IXtPM85aul8+EkCbvS5m1GGr4ud9Ei6atv2ox6Q7Koc6YRBKIArmjQBP9Tg2mB+3c
SxfjoLRS6Tfm5MjbHslpJ4IUOqUPpSnWFzk1nX1j4gWJY5a+qs+yBE8ZjoMpxjD1/AIPkaIj4S4k
0FygSE6R3xAvtE+qG9fl1hkEz2+RxCuUsJRZ+uBqX6ommw2ctuY4R5bfqrQ0hKq6ur/rASGmL2+H
vZelULAmW30MJqOgLHsW9KLwUBl2WhinSlT2qYDyN0eDXkg9sIDViwCRnOS+t/r8IR+F0V1JwHZS
j41yDIeGYri46Ps7QAlLXjQDPQZ/C9KS7BkFdkTL3PyawdnOUIAXqfUKi6IZta3X0T0XclVqA3dx
3BMJJMRRoYjj/hbpl/rw9ppeVkBIo2wON3LZVJfPM9jG0pMmnTvnVEMQPcQGaWwyV8n7t0fZqQFQ
u0ZLCA1HWCjnnd1mqEZ9bGbnBIZYWwPdGdvPijvpgxXP8ujGevLr7QH3VnCTwN062RCVzrPVyUYm
di59AJnElQdjGsyHuRabh1JhXSmp7OxKuMSAdNDmps91DpdQEw7SJnwDrp7G6A6rm3mHGIec+naI
tf4GgyyvxJJrrnkbWyMdrgx/ubRbe2LbkVQGLIpYr/dKVfSbNmwDIBTFY/Q1svjeLMHW2j5GRVCr
lis1XdLfndwT7ibVQGNrOp3X5yrC/HWCXIhkSKr9aJUbx4He8isCd5UWgrAS8b0Qet80hW7l6WtQ
9H3/gBi1Di4Ly4bqsCT4sZ+U76cFvzv3fpgIYkt436mVB3aiT10kdd5UngqrQXKv0/0fqHmsWQj6
pHGiUhQQ36RtDl/sZNLUl7nuoHa2du18nfTC5qLSsgJg89q6930TE7TpFRodR1ursFpd5YCcWjfF
cUYy0GYaQoD+EN/xp8TrfWtvNz2RvSGjtKUzg7dIP3vvYnAny0vfCW/TgKla70Z1ZfosW32xv0vD
UniFlaaj3RJQGkmIxiGOn9h8DX0Sla2vVYGOc3F84yZyJjmKjf4FM6CmQL0QT6fyKa+MUd0CtTAR
mstqRZulqzQ31PUhHiM7sxAI9nJdM24oI6simrTEcY+Zr4w6Igiqx8/55CKZ2SlByJ2YZt4+Ta6R
uXewGbr8k3BI8WF/d0V2j6F91x5Ea6Mim2qgtZAwg/7xySaFf7cqMPZh7g7WGLZjjgFWYhWAft0e
fAM1n0V/VpU3lY/AuZ0Pq+Mj+Jf62JkfMFozqoPhJ00bKXfKAZXTHLBv26lZfyi1Gp/juZI8xVXb
Jg8INvQ1hCc6KsH/SDuPJjmRbg3/IiLwZluU6aKN/EiaDSFp5ku8JzG//j5opaKIJnrubiKkURZk
cvKY15h5mbdw/vO4uYDjq9/33gLdimfYAeRJ+rj8xdFoTrqjTJh/0+yOEMFTZpcpoKiUUycXmT7H
lAO9it5KWr+ovPaDYrg5NwP3WHdWupp34KflZHwuKjvDWS33bCQdu7TP6pc8jOvmf8ncFF+R87Qp
Hyxzch9jzRVPdm5HKFMmVdr7IHfCoIaVGJ+8QnGNM+5CZfuUD3prPUwKGuNwRLT8L6/AYxYah27x
HQAC+CqH3g6qatS9SztpyWNGoJ2CLrMaCOUxasqXIUfv+djZbvatj7GDxvlNmtEhG1PjU29V3nfK
nOTT6NX6o2AQqfh9ZOXZU+WCkj00ZaF4Dxml3nNmTojiDunsJA/Z7KGN16YMCs5dlpA45ICRy6OG
92p14FNVh0NX6+5LGiV8OFlRRO2hxfuj8m2Zlz9Mc1b4f+rM+2WKPBr4bpBLOZFsqcwjhYCe0hmR
NiOzUSfWESN4+bFXcbV5UjPIslgdTeFXM8/n3AeoF38jR3Qy386s+bNHW/x/cq7V+VSLbPyczmPV
o+Mxqt0pVIzl30zGOD2njbQ/irlbGBuq09EIQpj4pZJZXTL4tIx/KAFm5XkavP7TUPQLca3wFPWE
omedQuOZHOcSun1MuyfHuuBcgtX4V8nsaoLhAlDwII3cWIQYremjPSl14Uf0GPWDEc99fvWqornE
be55fqdFc+mrkydUnxQ+R8k/BqjmDx76rwdKLhzpZ683ykOkGOEpxsnSO6iKXadnKjqD6s4F/jBj
fX02hqhnuoEh8GOvyz7xGTzAydS7ipG2U3bDZxk37qJGr7efk6Z09COwArQVNYvqi8lT1h/mMau/
CTzz9AuOzeMxTGRlHmqmOJHfIRyHJDsC46cc7cTeTyfQTddRF058wA03eU/NbeOx1EfNzhVxn1Og
VYgPJp1qoFzcErdXUqYNqipp8V0hlmMkmIbtUZfC2+vPLv/MbUeaZQBscenRe2cydbuM5hQUJXVi
XkHG9slhsNr2nVckBT4H6VD8y1S9eDe1hXVJI0XDM89OKnsxF9eh+RrJ99cTjvssAPAsUscqwgak
putnRsQ3Txx6IFePMdmTF1KfKrreB/T9nA+0+BJ/zrz+4CJ2cHl95a0EAMjcb8TJxmSuy+pWd9rW
uLaN7n4Y+1Gjxpjys9m7xcughcrOzGzzSXXI38C0oPCuUyszcgck2GrjuqR6h9LryqNbG/E5C8u/
Qy+3v1Ei5fQqG3l+/UHvczrEu0joFqA5VJv1FE1JJKRERBiuqABh1JNY/XHUU5euljrtLHWf4rAU
7StkbuFtIA54e7RobaRJYgnjCtxhPmZ5K547gtk7gTbGOTUYeUrb2SMsb3w2IEmXbJW+PpD95cX/
MYyU9tSW/Zyo186s66vXh7+sSRU7+f7GaYGGwutbrEjQMF1N4yoZlchBZ+p11Dobw81+yH+ikNU9
d+Hs1afWja0dRuvGtnFaFiUO0LTQo1bvMrb71vKQbULImAiqIpoZjFYRn3vF3ZPzvp+R6QZ8JQhL
5ME0e1dLJShlSNyktKvilfNpbmz9J/Co8AKnzQwaNJx86rvmlBno5epYvO5EpI13C9HedkmNgWxj
9XG7gXGUIvvLuOaKrXF/aiQQ3tROQtLSOfH7wfwPHwS4lCUNZ0lmusub/+PA5LjEirxT56vEG8iv
5rS8MNyVV8uS2Q4I7F4UFvAAh3OB3vCCCeu3azUWliJWb6vXPCz5slXFaX+0EpboQcPB75eXjTyt
SIyiOiSJpyQ+Jd/YwRRttJe+q1Oojo4qy0MzesWbi0t+GlUlSi/LiH39Gsy6a+2e3OuK/I/1sTGM
6acmxyQ9Dm5l/qo0Gic7Ndeykaubh0gPLsoi6C9I4duXUWew/GwnhZQB2uIqVYTspxnBW9eq+sCc
Tdfvoa2+MfoBxqdAh9oINpnh9io6QN7OwRWm4TWd4uzc4KvxZCSjdl7sfnbgSHeBaFlq8UKhmkV5
Y82hzOcylN4QQ8921OhkAb49KQBrdh7o7mthFWfhgCMARFxYa9CMUxEyEKgVeod4nkSQgh+kqqWY
djThsZqTX29/f3jV8OpAogKTWR76j4/FQ/6uzEoHVWN7NH2VwcNDVcDc0WWa7US8u+OxPBlMpWWv
SIPWgRxFQVIwIZSrMsVgi2lIKQfTbqon2c4Wg5w50gwGZdH81+uPuLmuh44J0KOFiro6IrBcww7q
BuJmoHguDS3MwHUm8Rgmrsb81qBZ2O6y2n7jxW4+Bp6WKxkpD1hKCKStVo0qDOk1bMiDkAGyeYqr
0jX9OPJIySa3QEANXmAf9K6gPk4MYkUPmeWX69TY2mCeHCLNQ8WuHO2yoVnRYa6YHnqQfKVfN83U
n9woGz5Ms6fgFtGk43DQAI8k0AWr5IdhGSNa+NQW8RlWUfstrPCRpgVpN9/VDq/I960n5ZXGdag9
wBtxHV8iOiJ24sHyiOtXAGuADhpzAnLRZVr/x9lylKiK66oiu1aikhHy6KRP9VR5ZwpvvTrkUVte
Ixj2P0erii+vb/rWxwpc1iUvIhvjmr1dO7OwfS8YLlyRHYlPfW10lzymr/H6Klsf68J5Ap5PU437
5naVMkcRXx0Qq1HqJHuw1EbFWQr6U1hZ/SEqjXSn2XoPmeJU/bng6lQ1VZT1WAWG19YpbRRx29w3
ylm8EyOWPvyXdzAnJTpSrSJeEmolCmJoG/+Hh3b4krWlFwvy5vahq8ip6gknWUJGVb8bFa85x7PQ
faU2YNF75Z62+V2mhCE0MD4wrpAp4Vys7lgF1JCMDCu8qoVkHCpNqHb4CJ4AUe5hJu9Dxc1S+urR
ygRLEC9BtaxyneLnnNPa96be9VHbNl7a2iNTwmdr56jepWc8HzAw8HSgignCqz1lQtmgR86ejonO
+wwpdFVsI05uHGbykNlt+SEV6HV60KuOzI7mnf3cer9Ef0NbykVwjMun9MdnmraWO4/Uu4Fh5NG7
aJyLJ7evKxhe2FGFOyd4czEUz8BKkjrdXQItYz1dmYsooFOZvRhh2wHQDMf3WdklO/f11lJIAgCJ
Wqpg4v/tc40mXO6EmVMw2l51pJ1aQaP29FObmtlOpNtaymQCY/0WtMDb53YptSkqVXR4WcdTrDxO
mpL90xqyOzqTsUcevw85qNJYGup9sHRwf1v+/I/dyiCTTlw7mKKp9IRabgvLGMQ5DYcU5IE7n17/
2H9X6LdBnPWQBDVQRKRCWiuBNW0yxWKw44DC1/0smyI8jHOIfxgt45Pse5RbWts494mYjoLu8lNV
9Vh/pJqxI1x4f5vQQ8ArkIoJaYK7jr6dgRWuJD8kBN7+3isthu82anIGLTffHFHwiGuayXUhrZ1M
WruDlfGF/rn0anuVIs0s2U9pUM+qijBI31addQKynT7PyC7Vh4oevDwwuMLyO9caI+hhjFVBn4Xq
ueVi7nh7Nci3nb25Ax/yu5Dwgv5tEULutCrHHtlpCbQp0IspggXd2pdOmeNzIkcE2vKsejRkmxw7
KV02rYkuSTnsJf1bR5+7ADEVZj33epKtqbW6whkJ0s5y/LBo1O9a33eMOBJjZx+2jj4DFIgnXIH6
nQmEVAWNcGQgg7Sav3q5KFTf1QWCRG3lfCrQ/tsJIBu3LYqIgHMh+HDe6KjdfmtGZMqaxDEKwqTP
znqkoUkZT7lx6CEgHEsjZAzfELdKkCvvrBqVVRl5zU5jaeupyWRAtyKUpkG2uP0Rbeq4RSvwt6WP
7P6tNp39Tk5wqmEDtY8mGdwejXJzQd4vhBIcPZDCv13Q0ZIkzBi043DH0bJA736clCR/dAYl+pDB
Zts5xluXLoWOjd4vBdadd1JJw9eo3CQO8r5ECn8YRl8WI/Oook8mxOhkeGwS0/j4+sez+ZQQyfmu
GVxznm6fMhJk/okUcdB4cvw+Asc6FEqUvAwWvWldxHu6slu3PANRQhcuxRAFVjFErxtAcIUbBU5t
z4cMuY6Llsvvkw2/xQtzhnI0SvwJfbsDo4F/Xn/YrZNMc0tzEIkgVNz5w1iyBDrslUs1oubdYZlH
jWcN/D13SGfP51xqfaA3unMWMh2e4a4YHws5R8719R+yPOXqNqEvwHyDyTDXyvr2smtrjLKxF0HG
gP+QuXb0qRqUPVD45ipUmYzUUZdx10UtDXxUMdBuCqa4Nv4BvfClLkbz6+uP8jsvWz8L3Syi3u82
+1pC0hhsC2grmnRqoczAPb3F4DqeY1AyalXhRbXQc1U3cr7x5ULdHKcRBEkh8YM6ZGBdQf1G4dwc
Jo/DeNCKqkc8wx7L4phGtdUd+0Ji1zCWaarsXerGxjYYoLgJojpJwTo1ysizvTjXKMVtE0yTMkTz
UzJGrXtBec1UHxL6sJBybb37JnJVWgBpRvVRC9Pqh+j68MlGGis/kguU404mtfFZokoMnRpiMJTU
dboxwLnLCkvBBkYRw3msO+Mc4X73j56V6oexmLud6Lp1VMhcoHwsk3tMHW7DAEfFUWTMh6HjJB8w
wjSLQ4/r9fvXD8tvvMH6sHBH0gpA65fbZBVuXIWyDN1KEcC/ytzDoBvRjwg895d21mtOAnpsmo+Z
qPihA9IZnxVQQw9mXzTSn4EItC/GVKbOSWdgOPgYMo/fIwfgL3BoHdC1Y2Vuc3AVOX1rjNz52cik
Uy/ayBd/tN2kzg/hnOefSjcE0g2ybXK7h4Fhuncq+7LFnBHjaPcwq9hxn4eRAT2YGhfBisksy0f8
eDxxGKSWfiomaEHPapT0FcKpvWguul4NfyNJ1Kb/6yIc5Q8tAmrOqa1IkU56r9fi086b3Di65L+6
SUZKF26dajs6/dx56vDUVoF5qbVnvwxtWzy8vsrGnQRxjIBJtKI5to5T0otL3XVRSq5Ql3iEE18/
2kXcQoxO8xf8gr94Zah9e33NjUyKsohaBR6Jiq7Y6ih2sgLSWXL0p8Sr/DE382uNajsErzneCQBb
XxlnHZGS30S8deji0k8yRsNI9tTlr8pzJXuaTp9ic/behcIr+rd/1VCk6RksFyCKLasSdwpdAfkw
R9Q/NCYsjxtE/s91hrjgQShGM/oYJKvJl9ff58ZDcqlhC7zwU+ntrd6nhpB4PfWohnSxop3mQf8J
Qh24BlDISw6JdyeSbGwf4tNoQcC4JLCudXVrJ26xFEVRuG+gyBxGsURv/jZz8DI2kp0d3Ihb2C/R
ueWe/J0b3sYtYRqVUOvFsaGsO/RuFgYSQWWnWt94hSgU4FwFEo7OxF0CbGKbXtkIojcqssfnWqc7
8ckevAjTMq+Zy1PVlMI+vr5vGy/yt6cHtSbtWuBbt482JdJqFR1p9How66MrZ+WcVmBmUordnbe4
sRR0dsj0jDMxoV+rsGftlACt0rCYqGV5dihfn2VloDJaZ7uBS9/YsiXNpXhB8JLkevURoKOJaNFs
ZIGTxx4SpsiNer49q5Y8MJpqGMJTRv5qeif+OwaPAZKbeU2KsWpm/svgtX4m4lboxDWqWZyqVM/Y
dxG5Z9A42l9qT2IN3Gghcnhlj6unMnQtEx9d/cdwBYD7pEyGTy6A3Hjn4G89F0kWChHg7WBsrOoF
c4QnJEYlDarYa44239cxdMtqJyJvreIy50EijuYHReDtqTC5iawRIZ7AMufsoRpcwMDGtNcL21oF
GjgDbhJU0o/lXvijuzIJTcSuITPYMVX3FOOk6rdlN+4cu71VViehr1kGWFQWxBbi/8ZoR2fdrtWd
VbYO9xKO0PzE2Ro46+2zYKiH/C12kAH4bgUJHPpFKGaXZ1Odu504sfzg2+xmmTMSZTGwYDa23hx8
Hsa2nZM00EIRNz7VRHMKATl+lCBnxRFlUedc6OqD4aRvFgmg9c61ybSEmgo9uNXp88gLbXU002Au
zCKwBEAiw5RTAHxv2iletp4SZAcDLOT26Patti2q67yg6s4CpA+6/BK1SdufGwfMM/AwLO9/6Y7U
TDB7Rogg1YRl9uuBcXN9lOFhZZNJwiK63dC4SQfN1nnLXWUVj+Y8iBf6pyowTCt6yKMxecF4Vj3j
AbsnwHV/lHjJHmBakiKGu+urtNMR/sLZjZVnZOuY3KvuTwuPZnFw9Wrv3N5/HVTIfH5wS1nyLg9C
LTnr2wzzcaRUMCQOp+gJL93+8vrLvM/wwLAgSUvcQrkcosrty2QkPzDnLbA4j/Fw8odotPKjCuO8
PMiwJrbWURc+2zRe9oZGGy1VlkbKDOEY2nZs6O3SjSqKvjXSPCjNYvoCcGB8zrLEVk+50IpfUWfJ
D11bOMcxteDBGYpARLLISgjw7pDuFUBbW0vbbpFzW7pL9iquCjzQkjgKM3qb1ec6yp1rZEX6EZ/w
6PPb3zgAvMXXackD1x0Xo570rrejPMBLLrtKaGUfJmXsDx5akZ8bZE7PDr5FO0Pnjc4H0gKo9CyD
gEU/d7XPrazp3eYiDwpZVufJFsqx1Kzx/UCn+dg7+j8QO71L2nS9n2VtgcKus6dwunWg2WlOGn2T
pW653e9YGcI4m500aGiQX/raNXyUr7ydcL/5pKASMH9Cu+F+4qyYrtDU0EqD0WuyDwZIc0CW+uhB
qNKqhd08DdNTCUvl5NpxXkIptIcvsx6CUH99o++zRpI29MN441DF76JFqA+d2WtpFkCWBm1eGc7w
s0rhYh/qYRTo2qb/5WNmekZQBry1jLFu33DTgxTvyQsCTL9NBG+4XB+HlqG/nw5IxRz6dGElNrps
rJ1n3drbP1de/vyPhIH2t1ZbbZIFbqnML+ZQ2wFc8Gan8725CtUuLQrmdBDvb1cB51yJHMl+kAqe
VQQg8yAWhbHo99Cjm1sH6AQ5ZFXFEm71tUTqQLXhccWFpl6fgRCbVvxT7z3dRxGn2qkKN0Iw0YA4
SA92KQ1Xoafv1FE4qQGLfACV/5k5SfpVj6Wtv0ttJ7xYUVZeVRXw/5uP5yJfhY4W0C3wkqst68zJ
ZEptxUHW9ghCyJnqwA8TWmCxnraPetHL96+veN/7dQA+0fUl6pP+r5FDGDFJfDnoNUPzoLt+GOpB
r59cpVPaU+4CDJ9VXRrnuoizCGk0bp9zPojO/Pz6z9jYXMTK6FvQFV0IBqvNlW2upywNXQILs2dM
qMtjpTcSY5tSPEVOvyclvjE347mRJ9Zoktpw6FaBTxIQGY1IFlzkTLIorI4ynsynxp27S+PY9RFm
XeM3k95Ck0VdvC/Sx1QR2nfSOrmz7Vunbbl3QVct4K31rRt7SW+aNHaCMkrpaGY9pJez1XrTX3Xj
xkfZmy2Ydk3s6fYsD7nKjYE90fhD4xqg1br3IYZxCFN4EoEQYX4052KxiDjDB7HsWD7JzntvJE6x
c+1tBAySVHSWlt4ARdPqjAMUAsEgPUZlauic7KpzXry53HNv3cgdFtUjFP0gsS0KrbdhKfL03KNQ
ioPEUmIfO8XmPGtTeJxy5NheP7tbS4EdXU7R4ia2bukXAFpKZy6SwIPQavt118zykHZemMHbMPeY
hltfCppZsNZo8C8edLcPViv4greRkiyiYz3EfdAtHQCCB+x/fkK92as6N5cDEIFyL4kKt/ftciJB
iiRu9CTQ27y+MuZG0now2islIop2odXu5L5bL5Mm3NKOpmK/Q8TBwUZtQWE9iZRAEKGJjnZu4R1L
pMROb983smvQoMR5ugOrN5lp46TEo5YESk5SUs2FfkrHVvvaGWF9fH2p+zOPPBZIZ04H8Q0Jutu3
2KIi4iXVmAYhrN3rUnme9A4D49dX2UizWAaxnwUUsdEzwjTP5uDrLNN4mQ+FPr0s5cyp8oR7iTLD
fV97sr44c5wc4OyYsA2bN/smGMtvWBTrqOy1u0p0TLqxVycySsvqOTBE8YcRjZQnyOm6P1QY0ByI
5+UhVoQ4jRMk4Ndfwn1MY32LXIThOHXouj2udsJG3MQlH9GRajjYdvOYum1zEsz3APnCEZLVPH3o
nDQ+v77y5ibzYdJCg2PJebzd5E5r+yZxc95+HnWnOYnLS1uYxptP7e/GONPSBWiCP+PtKkhAF1Ck
Wp4vUkJ/MeBAQ11zjqJt3swbYSs1Ff0oWp0gG9anlmOMJUtXsVTYlQ+D43TnzsIzycGDA6fTUT2D
ohzOVtdae66q9+j1ZW3qbJ2qDH3hdUXW1manKbQxgloWCD2UZvIrlxbo32USIS+0JmPrkkVK/Mzk
raofvM6JT1wE/RHFhvhzO0dgTdrm7S0dftbCZl9MDu9xHsKQslAMi7xQ2PUEcisJP0IOG9uj0jSA
ht9+ovABBD6Oh4Jjr0/UKCposynBEMsGoB3DJNzPtdu1eyriW98MM2ATQCxWOHdXcowydzejtkjV
30MVSMoq/eJKfZbXHuu/R8jg1PbYicPmwxIl3Kkgfgsq36YhvFQ+VZIQji9DitsjDQM0qzoEdgJM
Gur0o45OTMewTsziqOlQk7/mYyWtCA3meOAtJIOOAA1INuOgaxM1ZOwiWeMrKK6X6EuADDyOVuu2
8Cjn9ls36hXuN30lH9ppCu0zNh5j/ADfzQhRuzKjPXb5/Q3G0BrIrUs5xNld9zYtJw5zxACToFH1
PMjTcTx2rpU9dLOxdz42Az7YcT4TeHu0wJaN/aPE00NESlopkyACTPWulKaRQYEss9NUwdBEpGZ8
dlGEwe0zzv91O6iglta83RaTB14mdlyhWLKsHzjBSElY1gCgQHTdyzhLxXfy3NmJe1vRlRzVwNCZ
zOeuWZJkUVR0aKjxRmsIM06jPEAfdvcaBFu7xxqof7N5yMiu3ig0eVlq9sR0tdHsYwSr2G87PJa9
TDg7ar33qRUNCJBxJnQga6l+bjePoD1gJTmQ5cxV96x1unbNTFqWo9TkcTbc6b+kB2AlmZrR56KL
s/rOULVDbNqIqS5nQ/1pKuaEjZ9TSPMxg5qpHRua4TXynZgLH7wiLZ33cV+479S0w3T09ci29ZqR
Pl3anCREd5UHPVuhuJBygwhbz6NrNmEQoUN8TvK3Kz5yk6CEDOFq+U7uACUmKBLsm4H1lmAF5RHV
+lZ7HqrJ9UNNMvd9/cG2NpW6ktYpG3oPEonyiERHSSmpOqvwRyBNjyIBe+DFofkLEOYevHczBIAP
WcQ6lj7pulOhVyUapgZv0g4HPTtUAkc4o0Ph7GFqAST4Q0n3IHQq8XkqoqQ+VWEjHtKxMvb6Mxtb
CoBsaf6jGmKSf90e55a3MhiJRV03zKOfazP+hMCtkgdZDPXOlbG5FsGV+oBRLGOW27X0rGerRRgF
wJv1B9tLmpPn4ICbapBQXt/QjbjDqJd+E6swQl+/XzE0ZoTxN8ennNFHytvqHKJas7PK1h34m0rq
0o3hKvy9zX9EcgPpPBQlQLrbou3NAxpp4y8tEdrfAJvcFxR8S8TVhlAvHvtSVlyGBhPvHygXJN4p
i4zqC1YYan8ya6V8KFFkQkugwuJJO6DTlbknzRxk6ydU3ogdxS6unZCNnZOJvqD39k8bCAzFMLU3
Ar3rzM0skVMzS2auim2kvlW72iHLRfqQIiCwE9E2PjaWInRy7YBBXfdNchmj8TTEGYaUExFU6TvX
b6AjfY8xjjwbZjhpO5/31sGDUwNpiJSYsLKclj+2KepmfZ5ysm/YutNz35rupVZEd2Wk5+2UExtJ
mcbon+YjySbV1OomqqZyltD6mAItwkVK4SXXuUnt8sLLN5+hzDkBc836XPXwDHf2cOvQU8Qs1gt8
03dF1CgSoBs5a8dodp0mwJinzoq7nSfcepnQYfF4YAfpCK1eZmlILeyWaZpX57WNUpdrBfqgJP+z
kYzc6StsHZUFcgN8jybbHRJAU5Ik0dsuC5LcTk7If1aPoyI+VtCPj4XjDjvs263lgFEsqfsi37y+
aoe4g3IPnC5A3c08ttw2fwlkYg6KKdNLblh7A6ytV0nLmBwM5SQG66vDYsWp02DJlQVz3mkoegzh
kSNZHAtDefvIyCW8M/5ccvV7DAz1CrJaoLQCFfPpR62S9SkR+d5AefOBoAYzNAEkBZXg9kMDXt33
pkubq5uE44/0Zl9wJTQPs2I2X16P8PfdVx4IKg5McHrud63CVJago6osDVwk6s4KcZEZWOS+Azqb
X9BBSq9ZHapv7oKyKIIW5MvESbbs9vkKEHx1LVICSU2qbAlNcpdV/7z+ZFunEFIKfUkyLcZey5P/
Ea3GvJoaHcpsYIDixTS+QfwBBXgxodakIFP4/1ttdQbNumi5Fnpad2VsPVVZ/iOp0/R9x6fnV+2U
nl5fbuuEAGYjV6fNg6vSajlPn+BV4HMcTBKeQQ/kwFci2Kei5At4fanN9wgoGageAiZ3KaTnAs5L
Rg6jqSjeOTb07EFvBXJDSayemghh79fXWw73qiBezj1ahKCM72l3hj57TuHSePFSLTuTyldBqKTx
w+urbL1Acicchxcd/bvMpjJblJr6Mg1sV3onCxruaaJT+SB6vfkPe8WEgQqVcQtJ4mqvXFrG2YBX
WCASPT6jkhoZRwWT69MACjLfWWxrt9DG4+XRSiDgr+qqUsxOg6AqgpyRCklRiwY/dpoiUGfmdYvT
w85luRU/FpNL5CsQW7i7LEGdwDwpuMYmLy++NHnX4g9axue4atUvKsbXJz1Gzef1zdtYlCSRG4ZK
mN1bZ1mcw7xJlz45L6ANyiya8gOSnx3Gc53wbSW3J79v2m//YVVipLdMVe5b5kh4wTF1ENduC+kc
YyroS8aI6Jw1kfPo9FpxnudSe/s5BdwDVRJI9dKrX+1nJb1ZVknDopjUvPTFHH3E8T095ghB7YDF
Nj4J6n66UfCLqC3WzWPdiRDhC0USIMimuefQzup3IgU5eS1tSpudPdw4qMSTBfsBK5LLYFXFIOxU
Z0YUUo8jQ/J3HdXhRfZ1e7HiQUEJu86GnUtn69AwhKBEW7jad7BjXuKMxt/IMEdJFD+OPenrZiQe
jEiXZ+QkG/TakVh7/cws3/YqmC3lwDLW/Z0QrbZPr91e2mEZB3WhVe8dbXyhjEUFz3Fq34nq+DKJ
YkRcr/0POdGyJuUBmpz3fSmtaJBXd9nMRhEt8iaaib5+PsBikrYd/oe9XEDrtP2J23ftqUknZSgz
NQ4Mu0Qxsk6gGfiVUUU0w0ooVe8RXsn3zCw27gkuQO51m72EDbgKq2FX50vGCx1umbXYyNc9u2IX
Ybe1CuqRFFhkfMTw1QYmNmrcPbblQZ1b1TGdlnZjJfdkTTegZ3xvjPxwSVhIWOuHSUQ2VJazAPk0
kghfUvd98+pKed/wGSZ+impFcWiLGr0aDSbQUQjULI9zDNBERQ5pp8Ow/XMWcOoC7KU1vfo4GYwg
b4hWbTAZYD2ELHO/KGT+pM2F/bXSyuob9oD9IcHZ9QEV7eiI7nv3LMZS7IS/7V9CZ1WlbNmgjEXe
mPHlahTUWWo1/oTm95OVKDFH2s68oA1F99JojXmeSmt6N1SR+hw1U+werLl7O88VkIbqcRyYPy9C
brcZpRdF9lyU9HqbNPqVoTlD1Za0h6L29AtqzvVO7Ng6emRdRH7C/j1OWGQtEBTLJqXUkvmj5dTp
uwiows63uxH1MVBGi8NAxeEe1Yn4hj2JyRAB4LPh1Brur6lFj5NUudq5XzZiIYx/ggSf0cLbXp73
j4Qc5xV3dHDDxpO3rH4g65+M19xFOR6THTxH2whhfjo70XDq3dFWLm+OxNAl6P3CyiZUrQfeYnaR
NKRdESj0XhkAA7dJ6rY8a80YPaS1aV8aO0fOh0C2s49bb5g2JDN9AjF36ypQ9UJo05TltLrVdDol
juIeIydML3Sqyp3s7x7QtIAHgEdAxSckrk8oSi5E4XYQQTq3XYASK8rai0Y4inDjZ8fBCqsozeni
RIOBxKytvZ0lSAG+XALcOATmdfYZtskwymWLJ5meYKjM57mb4dl0LdrvdbTzYjdudCImPxPqAW3e
dRnpOHMpIg135SLxUGNSLPnkOlioNGozHVPmtqdoUMXn18/RBmNwYUA6EEbIAWnfr6JAS+Zdiowb
Aa+YZDzNwmEqbM92np/muqyLgwQtNuAUlZYavOHB/phYXQQF37JDiRFwpX3VNFGfIFsO/1OHKKuP
epq1cK2Qz8U7JBQZPGu9jnEToT12kfMoPsTa2GGchNzmY1imCNEjyyGSc9e05TfEo7XpQi2FLi1D
+O4H46I6OjPsav4ajTk22XR3jI5T5sXuQ2HZU3zMNVG+L6AH9se+7bzsF+1xiju0HBCi63pTPGC4
JbSvut5Nn3OG3HtIiY1ggHUX1BTGu7zM9SQ/LXMNgmMcBVYW1pd8DMVZ9niXoHyb/JtUDGSQpI4g
48TqzpWycWqgIyy2cEz3ddKy2zAUhVrdFANDLr2KyqDRKtibGAx9oOuBPoYUjZ+16R52fuPDJH+H
R48ENWjndW5dZ6ox9x7syLwX1cnDc+mYxl3xtdaNDJWerLqMopB+64A/k2O5Z1e8cZXQLfBgCQBj
WsATt89cOjJJoYWSoKGFe21jJz6r2dzsKIFsrUKnBRAfeQxTp1WAr/Jxcr0pXUZsssSawp0kSs/F
uNNe3F6GccTSjoBxuk7J2pnrIQK9aA1zkR/ySeQ/iqhMd6LLRoGCthEBm4D2O8O8fWdi0anh5MdB
FXnWM54kHqq6BsZUCCYcy2Hem2dvPhbJLPoxkHY4JLfrGcPQhV5BEl10CjbKbpd9wjV7b9ayvYrH
HBR3Us7jao/sGAUswVVPv0+z46OYVMsXGHLob08rLG56gN+g9KCzrjbJQdxSA4mEeNGAr/BB4hko
/dJpoS0PCiD3naDMu1mVWciZMX4DQkpqsa6SoxJDtbwGM5cVuXJoKhDZUbMrNLgVs2DZwAImLQOV
snomu+v7qgaBFJjCUF74nJxjgrjb0+ymSFA7o3MkohS+po17ppkbKQRzay46UF0WgMRVzJoVD65Y
CmxUmxlgTqWa+cms9B9gDX57/U1ur7SgguFkMMpcncIhco2xyfM4EHYlv5cWipktDNrPI0DpnU3b
+sBgXdIHJlfxmBndHvjEk9gedjMP5ZbMIRov6HQsTm1sm7uo+/r6c20uxp7RD16O/TpXgHDvKkZq
RsHQi+7Zs+LogMmDe66mVD+NvIudWdnGd7Y8Fg65i2ktrKnbh4tnU88Go0SiJk+mM4nEdJ3hkh5f
f6qN3WIV8llyN5hg63MRd9kwTtoYBb0ez+9GtMWPNtPAp74d9lCcG4ffBmNDZskXdp9s2Thpo3jD
jJZBi2cGiYqR1dGe++YBnx4PqxdanJeGQ/qXV8/2Tsjfek6go5A2mClRl66OSmGUWuRoWRRggtuk
R1T5tU9hMiTVUY30PTXlrZoTPAHIFKacNDXX34CSibCwa7sIMjQMT9pkhMdUHbMDUvDKWTp6+BBr
3mcKRRN/QDyAatqsR7dPdz7FjSMLcZNfsTQ4GBWuPkXkYeuwQUU6yPRSXAuUcPwRrDr+UB5Jmkz2
cpSNHV5IhEuAWzBG68fW1VIx69gpgsEY1QZpkTj6po6K3h4dLZzIXGL7XZtGiwcF9KzXD/LG5wLI
D+gIWBXGa+vronYHLvPQzIM2B+LHBofWe4F2/p6G0kbyBziNvA/gv7PIn99+lno+d5YCSzPIBokp
4yChxnIfn4oWkF8doUvcNm3+8B8ejo4jmB+ETu8KX5FU6KFhDRiYodo+5maTX5sBH8fXV9l6NGoS
WLC04cD7LNv7R3kNDvX/ODuPJTuRbQ0/ERF4MwW2LSsv1YSQaeG9S3j6+6E7UW2IInS6I3rWlRvI
XLnMb/QqlabiymTI+NkOs3oOFCv95lQlAv9DiJST34/pHmZ968stI2UaIwbg41sKKjAV4ItBVNAV
T/tD2lgxopvquAMX2wgATHqgGTARQsLhtj8W0PiGepRhFqtVpewC49G+NUlbDpjmhXQ2336VGyeB
hjQnj960Yq4lIzoytEEKOAmB6fRn2xrbB6Ytw9fWUaLCtzSgk16fSL0C/nISpXF6e/0tADA/ACIU
o0sKhtsaRQ+UlF1jM8WZBeSUuddT2QUn1nzHYjDBBrw2qvk8EDYiF2+Z/BdetvnnOWrFj7rDYIve
chcqrgTXOth5NxtfghubI7T4L21Arlrg5QiQ8tNCtFTl0J6OlpbpZyofeec1bARAUhAm4H+i0ooQ
JgHhN+mB4XrX1JVv4Ih53/W4EoTtXB1IBfeC0OZrJ9IShIB+LKzF10dIMrIQdjHIj94Jusc2MY1n
cv/aPiKUPtnHWMjS7LWSSGW/RfLZvGqZ2XxAbRXXdquX0MKf81Q7g8FHzvLtLbH12ql2lnYgtDTt
traSqmgsFcGOKBMj/ylhueplEhIfwWjoO/J6W0stiv46o50ls7i5bCXVzgT5BvoEWvzbCHTn3m76
4ajRfPj07w/FbAsaCi1IIvJNNBYwhoJYNbJrOqX4xsnY0LUmAnO5Olk79cifEvemRGBSvoBNKcLX
KXQiDcYUxXWOgU2QvIxFM7/rRrxp3TF10osyOvrJpANjunqSo71jl8Zh7Gjf/PPxcQgsjNjsBZa5
wqokCqY3Sanl11pTRt2DWdinPli3BdQ2qc2eTOj6W2JoIpNBLOXeQvZ7vaPLtB9sOQJdbi1hs0yn
7PNkmt8RetX++ZJbrFMWbRhm3IycbnbNwK1eBPjaXVXME1xDDuZLXWZ7+Jv1Jccq6DChaumQrNwG
RtrkozbYMYMJ9Hc/sU/kM0lc+lMDb2e5cmT2h0FGY37nq60jEXAwvNkIfOD6Vj2jlDsbSyqBKOFs
Zh9QAlZhNJftoznpdXgatFhRj28fjfW1yooUs/Tk4QWs4MpW2VCgGXp8HTEI9ukN5L5UWcpOhN16
newKWBYLDmKVdmFWNmQt4/prW2fhucGX7TDlvf0Y9/hEUQp0HxY5z38/ioztEcr9U/jxn5tMJYop
VJSZajZOChUHdo4eLkSRR6Nw+tCgbPt7ZFp6UfomOyJCGLoVnPFi55NuvWCiHECkZZpDUvj6ZFS2
PvJOGObQSc9PAc69dyQve22Qdd+PoSG8SDpVOKyswjb4jklxImBBlSRN/WmKdecscXl/DFW0/I5q
N8gy/Pcoew8AN+4xkHKa53/fSSAM6bSq7CTizusHRbYv7HI1gjsQDOEFV2LFHxHL3en9bZ0QjiaY
TfpX+AncHP+el9zjOUNX1cbtZspF/5w2KnroYfgjyQC7vP1QW3FtcTCkh4XNxwohV6DiokC7AAOt
ENwkXDTc2IiwLEZ2bGejbJ0RfAOVBSG3lGM3G2XIVY3tZwHtjrLK7x0DiDlapDBMLDNaVJa78DwX
U//57SfcIGnTFYG8u3CUufZva95+kqpRLim4Q6MWmNUCtPGECOT7EMjrbyNvm86DM6+cjDCdHJda
UQ8O9TzbTzVidYx3itD++fZv2jozy8ddGLhkxbcVaY4Cot1MQ3Rtx1j7kYZ28awPkbXzwje+Ldc0
/S4glkCob2tByZZgajSMBmwDk0NrRIbFwaTpwWzkPcn8P7fS66yAD4sEHgGQcRWzpNeHg1oYySmH
wJ6kcdbgF5vX93U+5pM7a3ULRiMNjdALLWS9jglX6EcZ47/wR4MLKewRtf0ymFX/JHdd3uCDVw/a
ybbY8rToutl056jUFRcJR40ZjAAVe7Q7xzgUSV21J6mXq0PV2npGO6GOv3aaM06e1g7MARQxg95y
lLi0vBm8ruYKRWqHnei/8TkXyS76pShRqav5GaLT5HoSCApROh8xoTYx4kuanbJ062syk0S4gs42
A+blR/xVloZapnZphxck5KLONzSVmYA613fGMMrHt7fnRgwCnAsmZPmU66pJjdJqqhfMiz7KCpry
8/g0dmr0YM2z+r2QxbCzUTfXW2ad7NMNIa/BKpDMt7ijpQyRxDg2v6LDmZ0HupdPKPjaO/fm1udC
l4O6kFpqzZKQKge3qDhCp66Re+ZzijjAUN8zaN36XjwPWsR02tZN7jqclbaEeXkVU5bcKb1Z+aWk
Kh7UsGqnqF8i583hWyTDSQAW6XBuqNdbo0SPERcSAA5RY0w/U7QmvZ75/Vn0GE9Xkp3cW1oQPXdJ
M/pv75SNh0Q1kXpqmcrTzldfr6x0CsNFDXEyhzaQcUTXM32M86T5liVS9/L2Whu7BJASfQQYX7zS
W5Uhs9EmpJUXOoE8xZjRzyU21joz4yJtpcZtCl3dKeA2NorKPcxrpWPCEObm6VJNmwss4fPrHEml
Zw6Fdlo8Zw5vP9fWO4ROQHti6TyvHIpMyYCTOMf5tWl1OtxhFF9j9DQ8QGl7Uh1bS5FDAeMmv6BX
frNR0L3q8cdM8is6XPP3QZ5CXMqQCP4aw9H79fZjbVz3CMIAujGYlnLh36w1EJz1xJAptNURy1gx
To0X5K36IQ7UuHCFqpSopZbZTizeXpYmGga9WFzfhsl+YSdXON1dG1sUvdsTVip3iDLjEAldMrwG
1bLrJI/OeH77ebfe7aKmT2+ShvUKFzNxSv6fRjSK3vRjrIA/FpqG1ayQ1ff/vtTSdKWvvrARbzMp
KTVUkeYWV0FXGCjOIDDvWpWO3fSoAXd4e7Gt4MJ9AwoX7M1adWLsFG3KTfw45NEwv7SZUNC31VoL
O8bGuCRzpZ0V2EMPSZHoe6TgrXdKixl6Fi9Vt26tPnWQs5PekVUYNrQXjOzng1zH9TGO7XDnrG9F
l7+XWmLBX9dr1o/YCQuFqbGdJ8cisdvjyO3xe9ZiPIfqKPj3USsIaA0A1dL8W8gVrxfUpLbGPBsX
gl4Zf8f6ENxnbbwH1uKe4c/c3A3LRcd2oTVEL+4mhiGEEjNmADQVVJGhf8RJ1p5LF7a8BC+3V+Vj
Nset5QaBmnYeYjpG70Uo+FMuQyzBeqUocs9Semk6mbVtVt4UGvI7XG60L1abh5YLsyZp8BPIheHL
etaaz9OcNr9TKEqJa9uN8zFMjaI4OyZyEyfNrpXw0EZF2boSAt3XTFGkznfyNJC9qBDjb1MubBxY
Slv+qpiFo/ohKMl3wzAG79PBnNvDmKtF5ZuqQMDdScLhXhJO2x1rJ9G+2oUkBl9P+7DGf1ibcz9j
TOP4rVEPvVvKtSRdJVzBH4WqVealGnuw7qME5N5zoLn+NFoKy/cBnTZiRmCmykmtmhb64zTTpx2Q
nPOmuEwzD4t3S7iT0TGSn4EtCpNSrWgfIRxlWLRkdlaRXZTiR47gIArX9JZAphSh+CxCkX4iSlnz
U+tYzKVcsP6Z8QuxSYEURKtE39qkjsdLXunOKR/gjFwkdWzDA9k8drJaKuMrH8hZah7kPNRxkdBD
VSOuxfhCl1oSP87gBTIfr6f2P6KHMDGGx674EEpSAy5qTIrhUzJR5PgztrTF81zW7Ycqqc0H5PXC
3J3NUTTPk1lFlZs15vzVNlLn52jO09EReFi5fYzQz1lSzMY6FXKdo3A4DsNjnxZq+jC24zC68E9D
26euHEnvcyMN/Tkf4I6mzqjPZxlvvNANZW69AzL9VuYrU683XjWaOBtW9KbacyoPSo6Bd1XrftM5
8V0xjW3vwgZ1vqJBNtpeJwrjU+0YeIlbgHXsB1Uax6tRKSO24hxdxZO5aHAuj8qpRvbBzvUYe5M2
V9zOgTkF0acaOx+b6qK+KGmELWrFZVG79hB2v2odmT83yDBxxq6OibPX1lMu31XdbHzupSACAGYk
hZf1BaKKZsqM2p1AuYXPA8Vk6+a2WUufC9GophdCr75KVTt/0BJE7p8Lucpml5wtGdiUzjRcBBbk
n4apNTpXrzrtS1Wrs3JEaNUsf/fSoOJbipnGXgNp466kLqT/xySPvOO2Mq5SEcL4g4hh9Ln2DBA3
+OjUjv0zpzb/ULfKr0ZU0851sgrpCwEDCSguSJKdlVJ6m9qjVcMgwE5nir12wdpVsZQcJsn48fbF
tWoZ0eFHrZmSFG1M1rpJQARtfdkYrfxqtmr2zRZO/i7UOhPMkZN0Xyv0OU992pacvEl8Bq+bVIe3
f8DqURk5UUfRfiRdZZR4E+FFIto5G2t0o2unfCciMeHQGIyUbU16/F+WQjsDaDdXyi1KIhmKInRk
iIDBCF8zL8IZekJlHFUp2LOpWn717YVCNsfoEAWbNUchxgm9xWKaeW891r8Wt66fSs+k7N8faNHG
5YZcNINuu4phjLYbYH6qJ23g2DazSBzPthPj+yIfO+9syq1LkoIX41Mgdwu4+PVdrHeVNjkFBVQK
U//eibXxNDAgFidTE6SttROLiz4UyqGUFbF3Cre2iU4Tlzkb06BVx6+oAd/RIuIUtlhH5p3eyK7K
updC6rp/V8MFRAMuAF1eoGsrOE1hxnIXzfRRVQXOf6oSouxOnFrMSHbe6R/k6auNskAXuSp5o/jW
ruoa1ZTMEklWBtpJloz+0jC9mxqn/THrhf2fGencV3Jup6qLUX3xkJpNZD9MeqVJfhdJdnYMRBZ/
k4NCZmQ7Uti+vcNW33z5editwURgNrraYVh2Tjp2pfk1CprCK1SNe6SdR83PKuf7EFrawbZF5gVB
sUegWqWarEylALp8gZAi0/l6t5VKHI1h3eeUIYE4SFqRH7KqGk5Gas33amxMe/2V1Q5bFqTiW+i7
VA23kRDp4TqoIxYsJPTly0kWHKvqPZSUbKdJ9SfQ3H50WLQUJgwiaQkub/2vNBrXmwmErsUkUp2D
wVXHEMS2UEcj9HWta7gXg9ouXTKWhVVZFzWStlPSvKhpUr6TMXH6qBqxPvnzBCP+PPSIZbtFbLTR
WXNq61PetuaIEUSVvgAXyL5lagB2aRI83mFQS2U+jLU2/yyEhNhnNQSAGxBcVTKs85pG/cye7zs3
aWcxvGsiOnUHq4VUypQNhr1L2mPSVAOl960OQ0O4lANW7OEwmjguV+HQuWGJ+8sjYSv90CADFbjK
ZI9f3t6YqwDL14I3SM8aBTz4kerrV1gUkSmiAln7mGc9mHPQfTJiKf1XXN2yCl0wxpkwcFaBQLYS
3K/kLL/KWacS52LpocnrPVXLNQSMZZhPEb8oQtbToThJMjMDU3qdrSA+ZVkwHsh3ZF/ESc/3VwIv
ylT9KYq7GJc5Y36JGkt7Gplb+2+/1VWus/wQxoBkfpAIYUG9fqvmGMh0spj7x6k+HTAjIthLLbNp
WRN+akvsSYLjznHYijEsx1HQ8R9dUes4ac68AE/ogYTFf6GRD5dECm3Lpb60joFe6i/ww5KHAFHu
PULx1qFHz2dBdoM/IAN+/cBsrYpDVhVXs5/Gu0bOBvBmAdZogzPsTMY2l0LkmJYqq6044IlUUe4t
0CXEqG0anFIIUwWxAJHO9k6is/EZbZkBK6qsNOVWyBKqiFCb0Ou5Tq1TniY9ra5VapkHhVGDV9VR
eSdbQbGz6Mbz0VBCHQbcJBOk22Sk0WqTzHzOr0htdy8ajpSnuOm73o3V2dpD1ikb1wP9MqSCaIdv
mF7SOKOCGNg0DWWj2wyGcjGbJnfLNkOcMJ5kF7h+cmjS3v49Mir0qxjMXWrK7TmBRHOSitm40AXr
FrXK2Q1qeU/NaCOzZtxLNwihJhms4c0FtigHKUJwn8SGBXwKgcecYIlI3RFrh/IjZkDt1xn88FGk
aEShtpFN57dP8+Y7WsakHNll4nQTI2sbuEtDqX2d1dS8k3vjGYMKlDnHHKYUDic7uczWcsx1aAYz
tlxLG1ZmXcxMnPJrZSvSJ7tsER4wcpRHqyE7zNbUiZ0F1ygb2pDQWzCbBKO0Hlq2Q1U4Wd6BWQ3M
6hEcUXjIuypCd8lIk294E43HrO4qy9MKZ/oYdMlwgetU7uRIWxufljuSfFRRa39QVUhZk+uAbHKz
je9y2E/o9g6120l5vBOfN18xzlnUaeRigMdeh6s8k+faTsf8amdmd7DC2Dmhl5KdnSq07rq5sb69
vYO2Ho3evg4wDkQKz/h6PTUS1TiaPXzYMGpfWMmYPZSX9U/GMDT6zufceji2D4eOiRN6qzcHpsds
OsTCKkVrCXftVEnnk1Kr9alEmMTrLRH9Dw9HlY0jJi1Ndu3y8H9lYZlSpFYw45RQcVJOc1C8Hxwh
DjGWqJ///TX+vdLy5H+tBKpECWfSoWvHkNkHFpbS96Lvhn/sXsN064tRT2CNtBAijdszr7a4wDgK
JeHUVqVbguN7yNoOVynYb5/+h6daMKN0Q+G33SYLE7xXzHhBRyVy0V1ji8PulzbxbcSGTdopdZed
dpMyL5BtjanBH72zm1eY0iqT6RIl1z4Ke2+0tekuqux5JxXZenuLsCapubFR+I2tGesdcFh0qmft
UzJH6UF0xnys5navxbP1QBQ4lBtUVsts8PWeGDKHflLNoK4NM1SJaCdfAe/sIdg2cis2Askr1wDT
7tshCAbcZiJq3MYgbKKLKreRq9tTezEGMzpENu3ZuB7aEwnhXqjaepVk6FA4wAGu+eS5mYEq4FJD
liuJ4WvI05kuVOplIi2Pb2/EzVfJDQdKhIHtirrQmgKTqcjMrqTXsJ2nDk3NwdoDN27eNmRTML6o
iZkP3lyn6GtHorWWkiNw+kPSJjONUjn6MGlzciS5zBIXfaTuoKUznbqxbzEstsodbsoaNcydt7BS
oC9w8a0y1qBHz5PiJ8NLvFPDQ6IGpqCXnujHIUGKAFCJncMKliDau2XhNP2pLHMUjdMUx1aq7Tx3
gRL0F3LuvabX1mYj5vDL6JmswdrNECZFoDIEKIBL341mzRDDtKTnPC5/jIGQvzuItb0MjBx2bo6t
DUBooHigTlvTe9XANiXNqbKrkAfzwerG+AtSJXvSVFtZNbc84B34ahh53Hx/zCjUIq3y/GrFVvgz
70X41ZG6yVUEJHcgRMJ1RLrn7r51jHikRZNnAYTeBtlOx0LH7pBzMnJDfsiVKa/cwLE63QWSpf54
+yBtfcBFAQ5nEJt+9y0+yWxae5ZzFuPHQKnV4rE6oRcRkB83kX5CEyh6FLU8+nSn251SewngNwF+
wSpTX0Jyp+OjvI6HUZWFiHISDxko6e9rRfqVisz5jRVXRA3cD83OKHNjz7xa7+ZrNlGgDs4yAu8y
ZcjcQu2mH86sJv7br3RzGbjQ8EhIaVY5OOEfemOkpfD3S+lBquErM8TdyWS2QhMCDAgNUV4qOmDl
1y+Prykzt8TGbIjUYTgjNEQrCbt20zfjzFR8yTRjxTWK3lTdqOmawsVlJ878HL+xfx5HI1iFfCsA
X8pPDsrNTS1baUPwI2esy/xFM1JchO3e9ECdlv9+W2NtggUCMRlXkNvRgRzojZZ0CE32fV5+7kqb
rlVRwg7MJvN/yAyWj4ig5TKoWAF4B4b7Wp/RiLPRmfhQWanxFCVV4FtisM5vb5mtdtDSFCTU0JTg
5N+kBtiAFJLZoqpmtHoP92RS+995WpU/Grmu7kWiBEcla2tI/HioHaBQDhdVK3rFxctO29m/G/GH
HYVbL8gzVCgc5/XOmtqmsiWFJFk1o/BL30yKZ4xlc82ycDq8/dxvLwVQ6vVSJTbHw+wAk4qmIPbK
vq99RKvyR0mjcH57qY1QDm8AJUP6MM6Cv3m9VKthBtwuCXmUKmCWLPgJIkriiyO69FSjjH6eoj3s
xDoSgFwCLsh+pYDjBn+9plDjukuKhla6CHBgC0LjI3WjvKcJvI6jLMNmpAG05OW3JZsWhZYxO/QS
h8GeDnEYaw/tKBV+IBXmfdy2e0ICW+upSBtCCWbT0pF9/VhqWpfarND2iaNKcdtKCR7UMUofVW0w
wS9hnPP2p9t6jTA+AWowlF16wK/XK0zhdG0NT7UNButDLynpYycr9c4q672ISRTGE4wkNTKa2zIq
1qnlTUQRriOp/080c4Nj2kfiQZPTHaG49Z3LShSgC3ub6ua2Dkh15llTBHwOSkn1c3ZwTfKsTjZO
diAYCqBbejEMZq+xjWHkzjHYepesuVA/qHgwhnj9LsFxwDbWANWV2CpdWiGU+1hUe0jSrR3y1yrq
zRfTgyjKJ7VgRxqd/ByqU3qsomk6mkr/TQL4fHp7g2wth7/iYl5ARrhCQCY9iTkseaSOp6rzilGy
EhcDi/AuNvv21PL/7OiXbX1B5qJkvApws9UE22w1JRhhJV4bpRauGVlAbNBQQOpPBB8ksNs0JYfk
G8buzl4c+2P59zproucELor9sxT9q/oOPH9PQZVfx2TqwIZYZFBuhxu44g3MRz5WdaoQRWWQKFrQ
X1PRS/eg9jGywgzyC/mc+R2J1bRxbZEnOUJVwbCzv9fMAki5DFM5saSUiwXB601mq6kxMmyA4AcW
5H2YlulxbIbgIxpGwz2e0fMZiBcm1hmWInVuyy6azZoXDq39kJVWtHOw/+zp2zcGoIdfRFFMNL75
OYYMGiruBti2EPoLtzfzoPGSVNOvYz7ajdtHRhH7mB/m01Eay6r0bYECqBsrWmZ7wJr03LWDxrQ9
wLw4T4dKF8XPSdK0ltcNCX5kVj6DvYojmw6/6BpV3nmE5VTePgF3MjkIIQHY6HIA/uomRbUdlbFj
5leH2u+g00Q69igMwQm1mwc1QN3HyRCKm6qxQIO12dOy3ThfqJ8s+vwLQHZVkWDC6+CXrhZXe2ik
p1EeuqNiZMapKSfHoye0J/e4kdxymDXUFylM6KTfRkgOl1SEIQYvdeLIlwmfPq82tC+6cMraM6Z5
xiapKkEgQNYeHuvayD/DgxL/+tZB6HLKFpEeFDBW92pZmPjEM8284CT7tW70/Bn6u7mMXY1zUzX5
kzY3oMDkOVvwWMbl7aC2SliYTy0UYSi5i0b87XCFBzOxChHmxZHggpTgxp6YHQ0PjB7EMVexOKV5
uke+/hM9Xu00BLMXAC0XlAUV0bipyYTtzHYiJ87F0ZEdvNdUE5JKO6Z6eqcbwvmM3LSNyFPWx67Z
2PXz0Fey6eJan0R+iqzXE708WToHzsTkcA7S8EPB5n2UTXRRZ72d78ge1L36Y7U/+dGIEiC2TGcX
0a2bWohGtRBZKdmXoY6+JBjMnXQrTI8tVH+va/V6J2vdWI682IRwCvh9zenBFLANFsPUC2qN4n1g
ta3HhBj/7ymUfth18/FfNwJkVMAJNNUW4c7bjWBboTzo+L9eSq3QGGilQX+vDepXKQv05xzRyjNI
0G7nSl1lQzhy4DuL5yudW52e5euIg7h5PVAbORfARtPF1mvb0yfUBccRccO3n2+VkrAUbTpYdgwT
ARrdBLehL0UYtIItZ6Lj59uoy4VnHQzIr7fXWX82qArQhBYyCC/0VhFuMDhN9KqsSz1mtp/omXSx
euA9wRzHx66qlZ1tsgra6FPx2RBUYqZMO/VmV3bqaNe52toXow+bd05aducaQMU5NKryqghncCWr
LB9tgdb5pOV77fN1/ECmg2IHLTr62itwS61njjx3inXJNTl4Qtoh+8bYsmdVozBeEDbkUnasOvTf
fsvrjcOyyHFxWZAgrZL1vulQjYdjcYksaT6l4Is95EWdI1riyc7G2figEDRJwmgeMfq43ThhHqI6
qA0Sx17+BEBbvYyxbB2x4y78oRLZ57efbGO5xfwDuR7g4pz8mzQCtcK8XHTRL4nZjLkL3av9Ntpp
/CjKHCH+cfpnPBToCJhzfETG+stE9/UZnFoIdHQCnIs9FvYHqa5kN0Hz8Suwc6Y7SvP77efb2DCL
4ORS+hPW2Devl+vx+6NWVZxLsFR0I1zbxyntlSdNsmq3cZT+Mstaf3x70VUmvTwjQgVMeha29m2q
CA0FeMrcOJcu153wFOJ0VrlOvsA+ZlBG6QURR+nFyArle5k33Z5T8Tr2sDzwjEXVbQlDN98ULdZ+
NE1CecNDHydbS88BD7nTtdpahb+OPCv3OIdx2Vl/pW92oml90NnOpW5q/UuNhui1jMN/7jsabBYG
PgagFrj9t+3UPGxF6EiQZ624oA0vteqhr9K9bHrjfL9a5eaN2Y2uh/T5EVWbnPZQOxW44UCTXboO
e9f6xmsDJ8ye5E7g69wG7LBk2+shirpWN9e+0k/qRevtYCdgba7CpwHqrdL/vuV+iahyRomMnvls
Pl8UkYKVD+d/9i3k4zCtspjjQKzgQni9BZRQUfK6QexRS4rPcxdkp7xRYq+2zHEna6X5y996ncOR
py+YDLTviIu3kAE1r0dVxFgmt6NtPVllHX4d0K94UmY5StxeS5EYiotYF+5Y5oisgQtRs8/FYECp
D4beBAkZReB69TE+I+iB44JOU/IpkrLkd6qGcEA40sB9FyZZ+hCbqIf5UdLLP+UyMnsXqob63uos
QKIFbT2cJZNBf4jsPJvcXKf/7KaktJg4S/h7WKBuY8/p4kE9ZkpXqx9JynPZNdDgGQ7Ij1skmlku
J35Z4xLoYfzKrGuySvPZnNNCpuaRrOwgjTo3m9Mr9i/dTuUK9kLIfZM2Qn+2p57aqA1nZ3ajsZ6n
R5Jc485oGxQjB2HL30vhJL+jSLPeQfENA3+U0Jt3TZxP/tObrHifZUjOnQqi/xMaSUHpj6YF/lLu
pVTzBlxfviRSUb60Q5873mgYue1nQxWMOGBa0cfUhlnjd9DvDlpgj/056IX5gCN8MbwzZ1v7UBmO
oBBvA+1r0kHEoF+vLcCdKJUOY6+J0DURY5SOqRLX97kY29gbUyl9iVGtis8F2l/CtVqlcY6YY0eF
ZztSDYg0RvEBEoxAc6xXjfoJkzOl9gPRqZWnZ3mtX+YWZSdEnZIvJeLwNTaMETwXKZ772jXazjZd
M40GyYdWZvVeUvKPa0tG9YRysZT6dQBj2DfJ3WS+lCnRhui4hR+nBiAUA6NJu7NySzQPkppP7bs2
1OT/inJWNC+tkV5wh7qe62c1SNNTYpZYbIQ0riQXwEvzs+JjD944p0Hi1W0BcUS3RflutsRouUbi
1M1ZUtX6N3IEWXRpWJLvocKocY3YTpxnM6lU+WkYTPozVCftPQEXHQXgcBWQLCuzvuOQEqUwpYY8
eR9ALi13BCvWp3AZ9S9MRMLyWhYjsAFG6SgpX7jdjW9DGHSfuVoG/+37c7UK5EOQVxgskT+v4TpV
NEtMwrFMwx4ofUxQkXqxYsPZSWU3VyGAkc4x5wHh/zp65UMqBZZkpteB+AtcpumvQHqy8z8+CzGS
/gIDd9BAjD5v8h0zrhUZTl58nbpwvFO0NjgYZtHs1NVbF5jNbUypSH66IvdMXF4CcxfEYfox9iFF
zYzv+8RvgnHPaWhrKdoG9GsWpTem5K9fG86GyI/GGZLws4SJEgUb2JI4PVE8tjtU942lyEzhgNPg
2hhvyGpbjkZSS5cg6TQvqZv8WNVmeK91g7MHOFq+9s39AlkJywCuZAxPb++XzjAxkwMJjjGG3h/M
SU4PRmlk36U8zO5HzBCbnUR/tf1ImWhZ861YkcHUTWaawRdWy6EILrPVCj/HpsKvCUx7bcvNZZbR
0CLjv1bw6oBYZ3jGkqaRgPpZ3Tue02DhbqMQ4pqjqv80hiY9m1Ou+bkZlndDPf3gcGZ+OJvFeazU
3uuactg5Fht5Oc1rZOooOUAi3GaPDJbwsZlD+9KaFf4FoRMB76/lQ2fZ5Ys+mcaJNHYPYLOxn1gU
YPjinbumxwaE8DkDjX3paTX7AQIix2EOwQb0krUTKNfbiU72Mg2hl74omC+f5a/seJpttAWNSr0o
YZj1bhSKIP7cyPCnxyJq4+/lGOwJQ6yfju3EaJ6BATNXGnyvlwwLCLmiHZRLLEbbbxDPPAQqoPek
qPcCNKj22+PCIlRU/Ls85ApEUqHpPNk1g6VEH+z6gG20eVTlMDC9LkK5wZ1EZf1OCxzZj2nWJbYr
67llH7UyqBIPSX/rk8pML/TpAMaBL8YQYimAIcE9W1qlm2pqW/tRj5c5drSl+hTDsReYK5ekeWgE
6+lRakfj2WlwHT5lxdS9ZOC2/1OSNP9sOFOonhxa9M5FDrEUuNcIWbqXM5HmQnWE+svsGqM9YqMx
frVQCJzOFdJA1iGgHfitwAEohryctfOx07LsOCvjwEiwKQ3rslDHq6PiJJPtmwOKIHdS35KqhCju
6L6hZ7HjydLYo1aBFUxwiEoBXlghRXzJYQ6XWGXkdeKqMAgMP7alTnUb3Wk+tC2sZ1ING0wDCn+W
4pVBT4cBbXjNQgJ8aCJXEl0ZuJJjTqqrZ2GqfBN5aZYg4dsMtkqqJT+MuIkDjywg/RkyEtOPRew4
X6XKhsjihEV21ypO0JwaMp3Sy3SzjY49pPsfaa4E2bE3RPdeSas+wfwgLoVbwEzL3FLrtftxnsf5
TqucKHxwUskevABQ11djjE2S2chCgzp30vkukqcx8200XTpvkBsMzPU+KH91mNLi6VeiE+grcZBK
kLW16t52snTwUJmZdDcRofbfnOX5S9p12h0GK+V4ULNQtK5lJWF9TtJWPuO8KXdu7+QAQcZC+qWa
6B/aSmO8TKMjndNBzX70TVt/bQosGiBAvEdAp+yDWD9ngeZ8mFJtSg5tWPbxYYmG0JfNPCncaE6G
//jo9UOi9bPyjNK/aR5sdeizd1hg4WQ6QIFs/FqVpo9DLKAc5dkwnKRkirWDHuQd4gxV7Dyh9STV
kNDHmEGKOXeH3FaT6FL0WlB6pDzVS5bBjHb1uDG6Y+vMcnq2zED/rxSVU/uUjhLQtojMx8/6GRqr
SI3gWMthVXhqp/exX7R9yBaQJdFM7qiI9n0Al38xAC+1+l4OqR7crmgNyx/lQEtdPAdhnotZ6s7m
kM3OmfkE6o0CF9inWop0ToM5vp/LwHloS13+MEUMOM9V2GWxmw9m9olBXDbxNfWwOdSdbYen1tLa
F7gtsLsqOI3D91CdR8XPnVqh/Egnoz5FMeyAPG6b1J3/j7QzW47byNb1q3T4Hr0xDzt29wWAqmKR
FClqsqQbhKwB8zzj6c+XtM9uFqqicOjjC4cVtJhAInPlyrX+oavLyIsUuxp9uxrymylWqsYnCKvv
OiUylgdHmtovTWk6f1iYEkh3WMLL3V0UhdwxpDAu78bIjOxd2CUjmJ9JyxQXRkT32KRaBqERLrl0
mCVktSAZB85HnNem8T2aUkylmrDC2Z8E+ceSFKJ7jyJo3D4tatGGXp9xwb3lq6jg6pfu9wC5MuOg
F0v1oSqbevGvZ4Nnxx6ZrYAU0a8Dg3OWDdo5ct3QzOj617E3wXlEkbXXd1ncQNBfWnM3lK8m0Ygh
iSbAjYVW15phZpU0CAEygLXPx3HfxXhlVG0T+RQpmqO1WLE/6Mm8cV8/yzrEoEAMhWon3b11klhU
5bMyNczAqQ0+9WqqP3G52xIiOzvxnkcRHr3gNajxrU68QdFi/I1DeBNTnXt0RBUPHn79rtfLLdUv
kdWepIfPQ1FlFcJfyDytznOuOxTD0VK+5VgZYnfsKxxPmhT8IkoLgdthDgTAqcz2qRaHn//Gonnu
W9EcpwSyGruMqeW1PTgqHLQsr606iyK7Pu0yq0NZYYpTyeMgkL9eH/XC5AJgpE1Jz4Siyxq9lecR
ohujkMKoYvs+wynbrS0p+YoK6lZV/9JQNEr4gHgS8TFX5Tf4v10xicldFj31hhm5bUXLC7/Hl+K1
VUtqwUihIoJAznned9LsoNWnDKcLtVAeYzLfuwb1hY2k+yz5IzkC0yM2nYPe5/mdD2ByIdTbEF2D
rRXKybCzDRoycV3orsNVfuMucT6BVJlloX9AO52S7OouMcoRdvMdNP0wYUV0kqzdob66eCF0540J
vPBu4q7M5JHanksqW0MgQYvF5C4P6/ymTot012Rdd6hLufJQKNls3mpnO493I3Bxg+ayCWb5NK0F
YmGYXTymt3oXZ7NfI/AoYVetZU+5lCzNT1VJyY0iTR3pzabR/LaYsH4aollR3HlO0L8xWFw3vSWs
mq9vkfMoRwiHscXeFOrI66AQ6FE+RDp+wlJmt7hZKcFTG/T9u78zCjB5PjDdt7Woj6M1lENSm8pn
r1a+hNj2AxnL8OP6KOdLiI0hwFtCL4z+0yrIGB1sN04PlB7aKMA6MQhdhL2jD10/NRvY/0tDYZJI
IKWuj3bXaqggxbQghT9xG3Rq8maeMuMpyJdxcrt0GuONrXH+jYRXKjUe2sygUNcoE6iwmhOOyJ2q
Zip7oxbFe01ptvgpF16J80dIn3ESIT68KorMZrqUlPITbHWlr2lb5P4k5eoRIdJxYzWcj4Q9qYBF
0oNFbmFd2R/62uirAtk43SiX+6Cef2TWjGt7rL3aLVusOGi+4vymh7Vu0evJuLTolKbotcMkHgoq
tBDaJFeNqi1szFlXWQzFy1CMA5Z8BkrpAHbJaEJzupaINIZ9Y31xoJ3uM6Q2fy9L0/zIKw/HKg5h
4Epg0TZu6+dsFPEAoBap1dHVxsf3NMgMg2WUZcUJNHdWPR3yIjYdV6tlp9pZVVAErkazznpqsFz8
aXeVkvqdQ8sBf88AnYIstRG26SLTckNFMl5N7ubhaLAA2iEAnDthoHjlaK1BoVIPE+W2Wkz9QFVe
OpS4fG5EtEv5KeURlc4sSmws6NN5QN5pJq3jQ2C/C8E3V7IHszBTdxzBgbhRQCugbJctXMalzw9q
FPiJaJqeUYw7LAPQXEc7H7N0Y4fWApF8rM2Dxn380NGa+4jw9eKlY3RQoi3vpvMDjZQOmxFKZGCN
z4K4pY0Y/1XkObVklB8xTpPcED1LN8i1NHWx0JE3qpqX5hhIMwQvMCjU/8RsvCgNYV4oB1IHyWEy
jODTEIWSh21O4KbdmL/pq2QRdY9qIyE/Dxu85f8OSkJ3OigMfUJkEpNioVd+MBAJvxtrQSevN+XR
L0RccA9gJEXghUi8WkMAgeveht57O0wqxRBqu49ykG4dIuK3rBNyYaghFDuFmKb4rC9mUYt6yNIB
L0SXTH2H222+bwej8BDQ0hW3nHLzkETjZ0lpt/oGF1YrYkWAbTglwcmeXahq4JT1PIe3daoOf4TI
Xy2M1yg091VAuy7CYU79VBWW9V2bC7m5Q8c02UIHX5hkFXoKtXHhQHumcKEMWg1/uggxAjdnwJtR
uNelcov8eGEU+CgCXUQAUs7yym4pJzJdav0JMgV3zjhFhmcllb21Oi+OQxkR8SBHGAaslgywjKkz
EbiDMh0reOpm4WMGLXBjD1xYMqAecSaixm+KnszpklHs1FTHXJKOap8XHo1aB29vZaFmVKsPdpWo
XoSw/NsQ+NjrMx5uh+Yz7QY8xvrQVo1IHmIUjm/jMECvzpCCHfLstt+HS7QRXS5MJSVZNjsKJNi7
rrEnoTaMKsEb31zUC942o6V8gyGXbIxyIYZRxeARGeqZoX06lUtcx73UB+FtaWMquVPqUP1ppKaD
5M+UNfYe1ko1HcuQu87G3epCIPuTkkWfC5zUGoCWFUNT2ipQjW6kWuZEaePH81L5UyFFx1enxOTB
NsEFcVlARKsQMyptnAFmQ0u+ivE85f5QAFQM4z0mR+rfeC0OBNFUA/t1Vk9PhxS988AKkTQMe+xV
ssi8mSGi0laOi3HLqunSJNJ04ToFEBnmu1hEL4Ln2BhOI8VtfJvWHO4WIk3+WAeGb8fSVqPn0noU
l1IAexYZ67pGY6tKZ2fqwl24CMI3lBfng6SNv65/qXNsNTbwoJnJWEDW0DxavVDpNMZokrXdcjuq
domWNk/IRuG/3ozabkq62qfXixVpIpm7IB4N5DnnV6NheAahjoCoGxo8ROfTSY1iq0/kgMx8lPP6
mGm1ctBGJNXrsJ03VsulSWV3C0E+hQPgbGVKsSMnBYqqaRZ1N/aUzIcpteMNaunFWYWMDISMXhYS
Lqs3oqBIBxQawa1cKaoflaq1L5d8cS248F4v95k/oirmlSjRuM3c5091oL+awSRmFUoIiHu0287w
kPE8D1koVzF82rLcxxRAQF2WowvyJduY1Uu7gns8sRNSPOjr1X6PsMKu+rbB1H0K8QzrZ8ttpqn5
OrebCIeLQ0H1BjfH3eose6ktLdINiOa3MO+TnYo0mq9NMWToWHs1dhWJFZCWbA6KBxBUVvUToTCm
OZmSQ7Tvm/cAZ6xPqJOgmOCYkblxORUztErKBJyC4eihI6axOmEldrelF+i6SFk37GVZ7t1F8LDV
JpEOclHZf1zf9xemkfEY7hmIdrbtZalPQlVGOKevljxCgVjt7jWuY2/BbAWvXR2CskAxD1l6kJW0
dE+3d+kUk2IgNnA0grLbKWOhghtXHdcpzVfXtUHWUIahSc3aYOGLktiL8Cy6+XGQtdpRKYyAM2fs
M0DHvTnv0p7O/EZadBZMxGgcOgL2LxLK1YuFCVfPRLJVrFbJYdHLNN8sALtemzEwikhMENy0FCpZ
IqN48U4JRfU6q0P5GKly/KYxohZBrdy8hxO4+KRdiE3T1fl2fX1cejWQsLQ/yBZIVlaDgtgKkISX
5SO4wvwO0gTQW6ffsl45S4Z4NQKUUF5zqB6sP5eddKmqL5ZypNhlP6pFo93ndde+JVfQP9S1Iwfu
HJGXutdf7tKw0MWBErNC2G0rVksX5l28xL18VLRKfpLiRN4PmRHvBzOXdU9JqZi4qN8O9ca458cC
Lytg8IJZKpIVsStffEoWkqoPlMOOZA9W6mJ7quQ0Q+zld8Q/u9GtyS8Cv5VBP1bxtNx0Spfnflpg
iby7PgVn+188CbpOqMVDZ9L01feVOslYgKDqR1LAdB8gqXlUZSAPSt1uVUYuDAVIE84UIwmB4dVQ
hdV1MZrS+lGvq4cgtruHVOlk1HelLdPC80UL1YAmBU0XrpksrdPpVdoOkzTAd0eEHUyRuBjB4hll
rmzsyEvjUIVFp4rXItisoow6RVmcL/ZyNKakvJ+7rvDnQZX965/o7NJF1kfTUagjU7qCe3P6NpRe
C8CVunxE7duiRz1hzruf5iRR9zaOPoNndH3yB73+cj4MuKFubU7tDKnCA6CEz0cDQ4b8yOoBJjXR
+9CclWOnK0PntgX0GG9Ki6Z0TaXLKvRA5xHRWVNS30Hfc0xXhff0XTJC57NjVtp3mar050DcFN0m
kPKHHrNQGM0R7XAXlwTla6qN6vBNVfr2ndNkyI/LPeWmo1ZyjdWcIvmWRrbxpVLjqPaz0JRaz2qt
/mtjJAAqsNCV6GhPk+RXszm8mk7C28N948AS9DdWzen0Gwn6dSkFhKMW9hGakNPkyxIVpyYzZg8Z
mP7m+udebxOAlILex9rFhhXXK/HzF7GhzTW1sE2AN/0QNR9JcxZPl7LKk/Ko2rqercdCdZbQTrGd
tgUqn6pY4C/GisGK2LPWTMShhEyjDZT2IUOqX31YUkRMwLlN3Z1ezmBuwRBEXzhy4e8Zg6M/gouy
76fF0nI3kQTUt9MGU/USJCHKz4kezNZDncm51wCE/IbgrBP/aIzMuZfHrpUn164j00RxZTRqP0ez
MfUNFTPKxzaasKQcm6ovPZAzueyFmRmENwU5xZdldnC3qso46/ZTJtudp1Z1M/lSCyXTk2YkrkCh
ZGkLWLipw5t+kqffDQn0tmflJi/Y5UAvAKWPVfF2HMd2D1xnmB/AnmAJAqkzcm70ET3rt7VKH9CN
wyG1PGjLenWkDxmHh7LvWvMmw4ANgwHUeOyP1z++2Eov0z8+COcCsFACF7ah1iqTIKvMJPZFf4zt
yj4qktxH1HCDPrsbkskebpq8Uj87ZTSF82vPJIZGyoizkPSCW8KaJ2IGnBSSZA5HDahT6tlRFQtg
fBl+RYnPGrwoVmfp1uwUPT8qnaR8YreCnsmzxdoy9bswCyRubDXof8ASrNU1glvg2CVdMRxbpB18
8PWJmyiJ+d3Rk8EzqxygOsiUjWB+JrbCBKBuCHKHriyVtLUKIFfvVIXl3R/HNmAazMx0HhUQSrUv
I0ufe4k+JVTwqa0jvzSFNCnqsO5MX0qqNtrFSphsIWrPtycyGpwvoHdJivj36faMCnBHYxrMRx0x
m8ewlxJQ40huL3W7Vc9YH2UoPTHbYgGgd3deUs8IFHQ2x+XYQ4u40TuwEpWJBMr15X1pFPguoFpg
1qB3t7rd5KmzBJI64Fec9bkf4XxyUJpM30jHz9Ir8TKEJ8YB/M71frWLDCuLYeARsmOUGrwcDsot
WMx2Z9W94qtpHn2YNDK7uL6DEmE+KEWx5W50voIFCJqCr6hZOniwn365EpdW8GezfATsGNzEbRvf
1FYHfMEKrGOqNbNXmiCzrs/uWQ9OvLfwFuWGwW2fW+TpqNrQAvnFeeQICECJXDWwAI1h8VKDUSwm
+ThUaa3fI+JDcqsi6OMOulzfIQwQdS4Yofg2skLJQhVulLbq4M+l4dPIxrPRaaBfzVlzdqxloZPg
1dUtx0zJ1LsyodjksvjrPywaU7M7pEM+HaIK4wKQf/psu7XhLMVRHho98uQpwA5W0mB8PasZ4NeM
nY5603RkGx4Q0AgktlSZMP877ileEI3m75rWIojXIOus+L1at2/N1uwnT06j8kucN23lTbCZcZzS
8/zbyO5/nPIIc55ApDNu09UwiuRQHn8NQRzDf+ks5AuNLkSpORu06K2eh/kXue+qZHf9O64TPvEZ
BZEUViDmbUhEn35G3ayCGGmb5dgYSvAgG4V1nyfhlHj6kjo/Ci3vf9V90Dd7NB3MD9fHvhAFAUjR
WaNehWrXWe4Miklt2T/LEY5EXO6sWTV+YUY5aK6Oh9bkGvCWHuukxw0eYaoByhhJxO9Zh2oIgLiu
MTbOJbFXV+sG0TJQ0o5IiLirnU6GYYRS2tSdfCRgj9KuDmdcYGo0GHYYbVngxqK0DTxl1q3cn3Wg
Y+4oS9q367NyIRCjJ0gCTvCCe7s+GnBCK8JgbsYjiMbkGLTyvJOlNHhPIlhthMgLkQPRAvIxofEn
sGqn76u3QUCyv0ywamfnse7SHGvkuvLGsJJvCyK/n6dJ9uck/9f36b/Dn+XbP+ez/ff/8OfvZTU3
MTtt9cd/Pw4/m65vfv7jzbeq/QcB4ce3Li6L/xG/5H//0umv+Peb+HtTtuWvbv1/nfwlRvrrSfxv
3beTP+yKLu7mp/5nM7/72fZZ9zwAzyz+z//XH/7j5/Nv+TBXP//12/cSYJj4bWBai9/++tHxx79+
E+yk/3r56//62cO3nL+2+95/+1E267/w81vb/es3yTL+Sf8C5bPnij9UWvW3f4w/n3/kqP8kVedq
gKjq847lR0XZdNG/flP+CUeCZUNWodPpdPjULQkiP5GMfyLGbSDPRx1HXP//73OdfKr/fLp/FH3+
toyLruW3noYLsUWJ9IIgQYUZvdr14pQmMDLYR0i7BT1V8P4ftG70mvxXYQDYRj+hLA599q0oPmXW
vW3RajIbt5vKYy31h6lWD5Ha7ICPb9wtTguZ4qmE2Ta1fFFb0BEoPV3HWTkFdu1Izq6XaXYOXBe9
ETj5ro20fgc2ZEt9zD6bBu5gqI9BThGdpj/5Fi/uMsFCcsj9zdwRkNA2AxBg5A/Ax3GdGHBo1dxQ
05tGIN6t1uMykEQA/gvpPS5hi4wAMwa47hTW2UO/zHHj5mEATxKpdPrRo9xKT0oddb/X6RQ0uyJN
7NQFhqlUbj3p6udqWkgNwyFafo+SzvgqIVIdHlA7mSt/sO0xeV8AU1d2OZYNjZuQeQR78Sbmrs16
DNNCSTeigznKDSgYp4nRUqnF18ySIh1cY1G7d4EoaHjlnKFBPCmDcYgXUOSSOSeGD7Q00/cw8/t9
lIcIr5SVZqK6mBXjIa6N2nCnvkh+x1BB0yDpRorpF/gPLpxjY/+l5uIe4vJBllAFCQdiqahZ60eV
ZZY+9g9N7hZovCSu6QRd5zkhWa8bKfkie8lQFt1ej0DdeFz5lu92UE+R6wRt7WAOVBmVh1+Z5QgH
xDL1i3CcH1vNRsrQVGemV9eSKhKC9yW0T9vK0eBvnDFwAcgaEUAEyTBdGa3xj/1SkzNhc2d+miQg
oN6YjUp3Q1sjeVDIKLd0ZE9PHVbvM9sQq0EB2wVUw6Z+eTGmKh5nUz5DS4i19mjKmfOAuaJcuaWk
6JIXZFN17KAD526W9RBnaU6j//oiAP210V9u7PMFjQ2o0LIXEYLK8qp31KphZWdUm3dlY9Wzl8Vd
m3nLABcCd5BCGIFhCWi4yOlCZp0ob7b76w+wyifhuomWoML3wY6LILaWfkDqWmr6JZV3YzxqH/qU
HCqJ2tGnUdXc97jNHEE2FPtAgbKzUNG7l8ZpdK0AbMACZ9iPhs7ayO1PbxA8kkHlEI19qiRotSBr
fvphYJtWWDokih9Bt3njQDl9xNWj+Xj9zS+OIoAOoucqxERORwmnUE2SPuayoE3F3Yzv5C4LFm0j
z1vdU8TLCHELPjLgKbQZrNUtgZpLF5QBL1OVqf3WGWzjXd90+k9FD/0et8EHZ8a9D2aPX+lh63Ww
Gzei9GqNnT3B6kVtpZSXBG1wf5yUXzSeMF1uu8FLuPqXZm2RdQSzm9RzsQHnWO2vs3FXWU4wJyWK
pbniD1E/3i6VKd0mtf61juoe9HVVV/sqCecfMx4zkZfL5fz2+gdenU7P4wstXJCgJHXgn04/sFRw
aQ91SfZZ1CHOMjnGOhFCB9bU4nM9a+Yf18dbpdV/fmqRVYPVUlhS6yJuXEo5IkOm7KtOk1I6iizK
+5X6McpM2VOtKTkacJqehkoaHhbFmH7OZm69Bz88bVmana9tmqZ/2ZmR0qxJjqVMcJ5pw/tBMmPI
BFzvnV7P6dP1Fz5NY5/flx0qOMdML5dgsQBenMajXSpaWQ0Kgkpy8qFz5uVYpJP1wYgWx51LVrgb
RtlWh/H83bgooIeFrR8lW1Kv01F7yZnTrGI5G1XHOYvR724BNrQRg8Ti/M+VRLwbrTZmCA0sikU0
rE5HKcvQmPmcsk8VKtpP+YQzxUBEzJUk+3J9Gs/XKVeeZ+Nbbj+inHA61GJH5FhUq/wlGsY3hTOW
nyTh05xWkr4rq3ALlXTp1SDo0GYUJ6CqriZQmibMZwdb9iEv1gdjkPBrwQLV77kab9XbVu9GWCbo
idYGPCcSa311vkWW2VRyGpq7rm6HZYfHttm7RmWUf2hzUA9USFTkKBW7HgYfp5HxhsZUSYclrKv5
Prcqudt1YT29HcMu6Hdp1cn6mynmwuqGo8SZfP1LrGaGpyWzFuKDdAqpzmqrjKAPOx2H2kTdxVkw
+Vo3l37aJdNe1opw4+B/1kF9scD+HAtFf7hfZPT86/SrK0u/9EU6I9Rj9vLXkZpI5Y6B0X5sit5p
vHYubFUwNTLtQN9DC4XUv36rWMk4e2iKy43bdlgJIfm9ON9yPFTtPbQSyuX5pOkf2jaTC9csW1X3
F0u0xwNlzpTjq+eLtAnlahwSqGPLqwibpg7NfjD1O2XW7Hs102zMh5r5zhrSLXrHKtaI6cKckdz+
ufgFpu50uoo6alOMd0nWukg5LIq+PBlLgMHFkjTtTink4INBxWIjwj3jAFdf6VmOn4MbRX4SsdNh
yx4d3rrKtR2oqfZdUtdB4aVNI+2VJiiXXdcokCkx8JmOsDKU0etyFXXiJIigM6fYJ5o3+PQolqsF
i3kbo+VSHvo+jg9GgzKJN7ROXNwqo5oZdxPGIMUBCcA68e1uACqfKok9+te/2Cp4Pk8j4DnQ6cTP
c9ErjC0xI5a5pahN2L1x+srxLcRQNkYREWQ9awhYUqWkMEpAW+36oMqF1oqt7DIA3PcmukI/SjMx
w13c2dGtFuT1HpnY5b7odedDz8G0AUK5MD69FVBmJqAoquqrzCPn0G3LxCB6hsV902h3lapT96wf
ajP+mfd67xa29UnXqu/XZ/c82nE3Bb8qPN/AGzir/VDT5QaGKBu7vNKGXbo07RFb49EzhzredZJl
vXqeAXXTaqfGgHczrMDT1ZnrtemEUqnuUPrFo7XUsvd6HhVH0crMoU5H2s6RVOmgO/OIZ6NuRhtR
bJ3ysJ64+rM36GWSaiEIcvoEFE31WLVq3jgag/eWlduNN48zFkSVg5kx10xroApB1wGCfGpqiSeX
KDvhWT0UH+vYNLYksM4XOLVUoI2iCsDkrNsCTUQWLjWavuOnhmfXxS8NmSDv+nd+fq3/LHBwWzCY
qMQAcab5wD+r17YMqWuLypF3cprgl6GGpvGdBhHaC3ZQWPo+J7i/jQvkrNwMrQ7Vb1M6CYdRLqJf
5lQhx6g4ZeZa/bTA1MkR4sD02mrvIgfn+T2G5cCmgBUCGNHpdaLcnC75TQi7DdvfxBmLw9J288/r
L/WM/ly9FIRFviJAMWKdvlpNThiUFdJg6m7IYAmAGPPVxBxdpc/N78u0TDKyfPC24nmyGlca6v7Q
lcnkuMoST7t2qVRPjwvjSbel9OP1Rzs9l5luPJoAKOH7wMMJPZjTVebgq27PaWP5thXX/tDZ2uSq
VHCe7FAxPr1yLMDSdMEAHIqaG9y707H6fqxbgMeWb3Ew+40d5n6PBp03WXS0XzsUdwV4vNzBac+f
oZmdSO/mZe4RJO0M7R78hLWjcIPpLRpVG3eh1TWfKRT3EgqYlPvBdyB/cvpamRYiVlwxFvjCh4Wn
Ih71g9fnivXd0ah32RolpHJY+r3cO+ptZCYoZNWp7Gp9Uu1rQFob18Ozjyqyd850DlZxaXqu9b24
Paj4kmhKC7w/kfR53yqdQT1vNI8oQ7zS7FcQNU+GWmW8lt7IapExVByVzW6mqAG2JCNOdku4ERpO
8xQxz9QnFcICN32BGV+ldaqd5E7Q26a/FPLwFmmP+VNJw+3dMs3209CGip+iabRx3p1vXTEqBy4r
F74xp8/p123mAljDkFgkzqP1PpUTCXciPcH2qVVvwgwH0soqQS1Gc7kz4za6J6SXbyMzbn4MSqMa
7uAYw7slq9XXf2TKaxChRZWYTu1qNyEJksB97tDYwGweWapu8aemH/for8i71+4mGr00uGk5C7Tr
+roPiKHUx9y0fARs5BstbM03QJ7SB4G3+Hh9qNND5vkjM5Qo94tjhtrR6XQvSlWX7GyGwvHKMzI5
ook4b4WH07rNX6NQOyKNQk//bBRTMppKh+3gR4jWJXs1UYwvWhsWd7ThMDEdVKd/NMtiubOHoN1Y
xquD/c/BhTUTJltCH9VevWIbpgu+Qr3lLyaaqBTS+31IY/kRAX0UFvPIOYTQJj5R1cj2uVVnRxL/
+FtojfUWkPI0mfvrSeDo0JxGpPisLyfTlaucqbAoU8/ZmxZS9PcWHbeHfLLbG62QZ1qkavXRGuX+
Q9X2xQa8/8KGxuRUEMopOYgT//Rbp/Eig1yVTN8xpOkuRzTg04RWzz7puw8k/v3ewCrk8/X1dfGV
DbA6wEPhm69PYriks4RFg+Xj5w2h04HQXnL3PVa4DPzB8TrfLbqSfxrbeTokuTl9uD78hcgMYwmZ
CYja1GDNVQzrMeNMnKm2/MBG+yuytf4tTrbBm05V+x/Xh1r7RYhNdDLWKjTLVTk2NvAifzBy7BjC
zrgtk1Y7hFJf381m1NxYqaVRjF+GJ8MaaZWj9POl0ErzTZ/O0d+IIZRF2NsIEQrv5tOPPUPf7eOR
tSbP9eh3NXFUDstfJEPT/+dIq2W1SGFRpBIjFZkzewF1tl2hINaUDXLtb8yx+F0nid3zHP/nrVZl
jUzG5yPLWstXKnN8xIkDl945Vx8jPXYrs052qLA5XlajLeK1sTa8aZDAyQDAbTzIxXUlLgyUJinr
q+LnL078njqlznFg+dowN/4iALvq2GGJrMT23xgK3DXBGWIAhdDVsoqCdsY0i/CFLYt+yFCP3qv1
pPkZ1Z2b69N7eun7Mz6xXgToGUET2hanb+VkWGaZE8kpoq6Fq0dm8dWRm/4OBEC+X2Kr25AW0S98
TbYNARGQAibEq5UTzj33g77ka9aK5fU0pbxSVV9pgPG8L0EBEwQo3aGNvBrFAjCj1gqjLIvS3tbj
Ij1osAhdCbEytynSUAj3am9yXSseNFCWG6nxpaj7cvjVkp201rKaQQR9g7J91kb2HgpvfohGQ/ZS
8mWPOlFyuP4lL84s7APa/DYl13U92xhCuZTYBnxJPfEzHPaOM9nLxiiXdoFg4pD2kvhT8D1dL1Kc
5ZVu8WoJ6NaDXUzGQQ57xNuCLVjNxeDKnqI+QLGc2uZqqLQhP0m55/ipA3fYk2rKIGbcTTdZ2vtF
EM+7SR3K/aLfdGlffa4Na/lGLx3kS0U5dyOluLhPABSJl+at17u/0hura1pmF0lodSePTf1GzzXE
1BKt9vux649/42u+GG9145GjWUjcMF4aOZVXd6Huqoy3sVAvrRkqgyCrsSWUOfBPv2aQDwj9yMTW
NpPyd0qThL6EdMHfeJeXo6wiZwdZTImXij1vLtGhD0tr31bLFk9ERKr1OUGiroleNLYRZznfRPGy
kNjzcVY3tzOG45ILaHz8Msx0zxA4jGuKd9yZXatBxfmQIfu3u/7RLmwOQQ6CrMaXE2TG0+nMHCxc
hrywhdZlf9dH/bIPaqDdBU30T9eHuhBiYNED54GlQ/l93Xo35aCRJ6lkKDUsvgwZQq8LJaO2Lauv
DUfYPisDeX99zAurhTGh+QptNC6H4plenIDtNEtSNjNmGCOaFyUIlcBP3+pdXRxFZTnSIAPLtj6R
rMFclrnB6KRvi8K31fKXhin0xsK/OH0gBvgH/ARn7OmrwLvrZ1PhS8VaDkRPku10hwqU9WWxevWR
8nL6NCaKtjHqxVej8gbxj+oeF73TUcnENZj0jFpTm0BcPNbvcDX74/pXuhQ3UQEGw0ptRrgdrkJH
CxG7zyWF0DFO6SHtreb3borLvR3ly30ldd2HZNGWQ41shSfJo3pIK3U+tlirGa5U11slqYtTbQh2
MZGTGLOa6kHJZERVuURT23XQsoyLaQ+Zpj5k1dwRuvPxDahI8D3Xp+FCOGAW/jOsejrXUYyNC0mT
5Rvz2O7Uagh+omVt7dIOSQF0zZLZtbTGcUcbkkyHWuTG+JfuoJwWAgIi+qNnehAxphZdVoa2b2gj
qSoasUUktKky00UEEkBxiBfkB3ya9W9SRvMU6seSl7tqMUJ073OLHsz1GVnbyT1f+Q0KGlR2FDKj
9RnWmV2kTQoXf9JW4CK9Kaeu2mXSA5dk+yHOJOXz1OuHpO0yD6/uZYcM1ew2cFI/LKOu/2ybACee
DO3ZBI5c7YTJXkaz/hF1WCS9InvTj+/SfqExRzeCiCWACaffcDYyyc4RMII3XWieGVrRUQ6QH74+
L5cWqAN5jE4vPENlrR5WR0VNnzNBThnQtFvFowRv2grGvaKF08EpZjX0wlJatixczk8LpDPhIwGc
on5IQnz6dkURJonlcHmwlSr0UI8Od40VZfukq0L/+iuKg+f0bGQoKFuoVaOJQtnydKgxqSTUdOng
yGORv21HjLrdZBwgikUgT/JdqqEe0neylX+10mHawomt+XmsPJacUL6grwRHcB3Tx6qf89zGoAJj
915H7qJOf6ZST+oExlBH/V91QmyeZajCSTEtO7Mb30tyToO01doqdvUiWsydI/cYVOjNkoyuKgmo
d2sCJfYCo0vCg1wP+rd4maAbTksQdHsORiRf5jBFitmKm3EXWnLzjoxcfRL1yG9tOEiLpywZmgN5
0Ta6W+b19Fh0SVtuJAbnCxmwPDUg4FosV+rTp/Pv0FtWi4RbVmrE464treRdQ3Hz1eVKQZAj2rBX
OKvW6UfVGzGExpSSW9PTyykWZ28sw89UzacNZMSl9YRYBGENE28W8Go92YALUStlJJCq1dFKNPWj
3C/aXqsaY0HDuq9/qXO3GyVD22oFXJxKbBBQ+YPxTSJyOpVql0KGMCgWc5dTSnecKmHmUyPmLc/W
52AM64NlVpWLcHG7R8M5PTR0qO8IasouyYGKgYp/MvA4ebq+xS4cu+JWy+VA4LX4j1Xy17WoQRfZ
QN1pbg2NblOrvjcBgX6g/aM/TGi+5CAilOz7HGrSAHvDBjK52GxCD2JoWHu52c+vLv/xTBCnuQFT
p6KjfDpZcWBGGEvPls+qLB+ypAvcvh+WH4pelv6EuWqGjWm4hZu5FNhQqH8GQgo129VMNHBdqgF7
SIgX+eiFqlHsuT79UCbF3gjdiniBk8CGUQmMMJYCuTBY0NULNtBBHYcCp1/LNn7noJTdCt+Zd4Sb
/j6246R3pWhUv+IFlO/7xOgPJdZMlIDr5J265NV3u9ajH9Wkym9NaapLN2v1LWLRWSYinpGFAQiK
vXKmsBKEoRRVwOb82simt73RSN8DzHi+tam5CK5yHMmHyoymXz2P9nlWl/ZwfWmebZnVA6wysAY3
qsjAp93v+wyQeeR8XIZoq/h4FhLEIMKuD6oBLnPKWW5rGUnHOeMntnRPBw/ZGq3wJkm7b4zhrtON
d0bbbHSOLn59sK9CPoMe0rqTMdZ6FZlSLPm2SXLpYjAQEvbMhktsfcBLTPp8fSJXcFiqZeIlsXwj
uebypdurOG5I4Bat/8PemWzHjWRb9lfeDyAW+mYKeAO2EiWKojTBojo0BjPA0ANfX9vjxYuQPESy
smpQk5ooV0ZmCO5wmMHuvefsYwTZLjDHbJePuberSEomCqFyux/LJPUXfJAekj45xatGPejL12r2
f62u02fgwHBSaWCAOi9dFp6zIvcawo3QxmJ/zTWDT9O7Hduxff/y9/3tg/PTpc7OX4w2c2QyPDhK
Le5lFRTvNmiR6csX+d2PiIMUMCNUnhM95Nc9ag3cacmNytjZdl1ke6jsW4j5OjSPmezNjwv69h8v
X/FfBz6KWO4Stu6TSBITw69XNE7ZuH2hI5pIWX9lhfV6g1m/vquXnJyBDePYQW2e3P3fXfVsqxIZ
Ibj12kW7KYqag4es6IdNFs1B92RRYXRrr421z155Xf77F+TtghTwZAs6EYLObq4W2+YvhZ3t3KoM
rlxT+deWldevNHj+vfa5CoqUP8EvJxLRrzd0ZnsJN3vKdnVkrXFUTKjtC5dBbTnjhkdaK/OjFCue
xaaqX8t4/rc4AKANRFEE97TMT6iUX68uDI6MdQONZI3s6rYH0xwkkxr0ve/017aWVqJq3V6sfRG8
b2Utv4EQsROfEf5lZ0UFeWr6tUL/dzeEox7WKjwAJ4nkrx+pLcnoUJ3OdlUXhej7GpEuxEg+ZJ01
ZIlrN94NBsFZ7pS9vUaDQA/B337+UjyhoNglELD+Swg6W3LFmDHl+8IZwqv8pGVL8qXZxn0VtKZJ
0c/ppwla7w00fZI3yKhYMIiUc22y8GwQBXlodF0sPE1Gjxrb0sEeY9YfUbkUH5m7viU4MRpJhbBK
d1/0BZbKQjhKJVHWaKbJjbGWINga97EYx6g4Lk4DQyZq+u6tJq3CjZVhzXeuN5lvRqcTZVyZshsT
QdeiiaPeqIlo68PJj5mWoZIeSVmXcYsVn8D1bnK+4bFYfig099fRJmB/iqCrPi6Dp7pYMdylvb5s
7nunXZuHDuUL36dd9YMnAvOGVJpFxbqOVBRrx+NPlW3MsFZ1SjdRyNy/bsNiF7HnDwBicf/4JfaW
xl0uA3OCLTJkHfnlUPPbhR54OaSRrDXEzC2U1MB+O+bXhmeviNfNTn8B/5TnO1+TpoZCZfy4II2u
9kPrlM7Ob8OmuDNmmxTmsBLhPaklnZj2pwgSldBCCifIKaGRmjqPkF6osbO2HRCsLrA/WIyIKIwC
vp/UuxCVgJ4TT7bZhzJ3mGyUodncQwwNQ+s4BkMtmQfO4FCUU+gCJ5ScsacWInISMwuEv/P80epI
AyfBjyaQGTwNSyE+dxMzr6SCdVonTu0uYOGy0OPUPYp5iCUBHOyXVin6xArK5fsEaO6uZQ79vZhF
MMQmlKI6qY08Jx0Z38L20Icynw++0plIe98l7W/bzKGNl4V50K61DL9MujHk2KbXfnpv9WDdd1ZN
D2vX9jA4YlK4AzuuHUCN+wBn2nbJ2TkcGEC4dRG34WrbACOd3NiXOUFB8bAtxo9V8wws3mTRXiHf
5C2dlo5eqQiyPsblXRiHCvw1jzqAkNsQAJib1KPZwQqFjRd3LaObpvZ7/EyFsX5jChBUu9UJ8nea
UEySfyBQvZ0QMfbx0Cxg3rLVQW5leFI8rirneDB1dv2G42V4N6y6fY8WoQV/rJuWLichBW/XVmPr
7u2lg6zkePN0rbOm9w9zYFj8/WgIprg3obzE/HJ+sY+8xfxks9g+0OmZ5r1n09FJttzvLsrONKe4
8hqXHBu3Xb4wZ56enKjnL2IIiLPQkGJzMOBN23svy833zDvtzx7twCKuJtGs8Tpu3b2qe2/Z0zud
XLTAme/v7LE083hs140lXoXl98HJ1kvYU6QR9nVZvM1cEK+XjiXlpTDaXh0BWodh3HjF0u3MwiB5
koNZxXQ8R/qtGQ7m1yFRDe+Mzgg+b5Pw3no9uZqpXxXYFklw8HYyC20RF1QpNy5RAEtcn5i78xjl
Ds/fDKgBIoi9xUgCSR0KVyxKiWSMudEOL9wmHk2nH3erctzvOJW3+u1kOHlJaEJlzKlvrlYY19R0
ThwQ3FReFJ1Qn7Tdqk9WljsPvQFGJTZ1N0HQ7L3oc1jlRBCsdtbSumjzekmknDN6dyU5WAkNRmK5
m8HjTNY5xXGunPneX4Sd9h4ZxfESOVvcbpejqMsvy4qGLLZEXT0WnlmucdGKjg3Y87ovcsrb+xyB
vJUMoT88wjDyrdT3gjU4bQyjn4hRFB/MHGo62TeiP7hhtfS7dS7l8omumbPspsX1xH4tC/tuKbNp
ObIoMj516Zjj17IDDJ3IFR11LKuyD67KfDWGi8yFgHaoOzpTsdUvzLijPhua2F6JUUxaA13Sfs1r
AYGsGMFCmsNiXpJxbdaxT9fcoN0szM8t8ZFjurqNtOKpNoaSFhdVTlz5k7nuArAT9W4Z28aK/dLG
O6FMuLJxSOjJ52np8wfXy9F7bYQUZEk7jRjL1sU0+p2o/Nq8aIhjyJMWHIiXYvifj2HlVyHk8EqM
qVX7zoNtTGN2bBu/kxd9MI0EgqFyimL0Qhl/znkeHEYzk+WV7S/GsSh684fdnWyE7mKK8br2JFGA
YcWJOhl7d84+AHDq1VvHZvxxHOptmHhecp//FWdpFbcT87pdHYr5cQSPRcyrV4oosRzdW6lqMcV9
cLC+ym+DqOZ514aE3MbS79sri3CqY+6X/gdTR9ujywnU2bODultcOln50Xc6fLzVjCHiVgwYlvbC
Var6AqOq1rFlY6JGiBAxD4XUSa/WsVYzFltLAmAQFMbTZPSRpA9Da2JXiwoS0WYX5Wdkfsst1MZZ
vOPRnptdkbdWWlml8bVz3XG8IPa5eTIZkYgEfzFM3AHEEXtHNESbQwBlzUugUcZgsfFGs3uY0fV4
e7SXiAhwGAwEK67++rGUg/VggAciNqQU7BMG55CnsIzya7cUnR0rIXm1m+7g3ud+Zjzq3p0o2Z2F
esDoJ2dKBrqkQ1IRi/PRUYGVJw3RCx8k6iF7p5vJ+kFk7PB9drb1Ey7pmYWn3eoqyLqAI4NaA8J1
NzdgdRlme7V1dJIPKoMXdayDsr7wvN5f40Up9y2NlPqzHRT2becpe9mta9MMH5yuKm8GtTndLmo2
fdvz/8piZrKtvzfBNn0pHKsokhJSq5fAMeU4R178RGIJLLFdbmb+ddWa7eex6UYDjJ4lhv20DtiO
w2bxrgYV9cNFWW56OLotkWuJVSsbecmITDkh64r9M9o2rztgt3Hv3EIt7zMVrt0xILGnvZ02dyak
bqYNyjFujAKmCjzXMcaPRvMmRcwO+8xTYMEwimWJb0zrkxiUajnaSChlE/flxggIEo7JW15cDOZ1
MyW6Wi4zu5sZWMjvzlQsZdJq17gh0LESO/Q/sTf7eJpLHiHeNvSQpmMxNOKqDlsNvTWaq08N65F8
ONJDiTPr2nFL6sE1HsPeYhF6Q9E/deu6eMlEBe/tgaOEl6pxmiHuDBNPpYVq7kkt4dF0Tsl3E583
ltK2j1XTmf0XuQQ56b2ytsvEDWXG3GKJTj5UCgRi23Sflbz8g43c6rkxd+QQz1edMRa3SMaU2JlD
4L6rSxHTZtyahNQIvjXcCo7HrrZ5lcx2W+MDnAhgiJtsawakr8a8YmYmDG3vNPlyFVahmR0rA73A
PphzC3qXx4l1B2Um2GvZ6CHxi1J/c+Uy/ghNzYlI5b68iTDYeHFO6g3+9rXyTcxQoSETyqbOSTp7
6zIORNiu4yyjURdb2svHBIOmgLHms3HGETN7XO2ep/o9tBGnOhVZ9mtd6z/HAr8WEthfGMDw56mJ
eC5KlR0iznotjB1OlAJjEHVMG2dd016tdJHizF+dSx7mLTV0PaVhMMxvvS3Uu6Uus/el3xgXRh9s
aTTmwTu5RR6N6TK7Ut3kxd40ObDK6uFYVa6dzMqEmFOPaNa3OYxJASTTp9UfXi7Bf9O/AVyGlRlX
jQmS4tw0T4jdNmdENu5Ocv2j5Y+gHq3NStrW9W78aKyS2sqqWw7YhZssGLZu+9EvXpFA/buBg2We
gp767HRzzxvFwRLN3bTUETGA9ZDMZjW+Y6/hOK5W/Z8X5r9c6qwONYxB66ai09FDTk8LYfXvjby2
aG/I7liv+CO2Vt+7HI8/vnynf9N3wNaDg8o7oZ7wav1aAPvS7WbG3RF1RWfvayH03gCwsX/5Kr+9
k6iYqbARPcJJ/fUqm6kIZamqaIcvTH6UAFT7OMS3dqTr9qo35/cXo5ymAwgd+HxMGPFGd8lb5Wer
lmbXNQxJOXm+i1bqppe/1r/rdx4Qmhn/c6Wzm9fIrkB0zq/GQGxJiyBr0vBE0N28AMFu3s4JOJXi
/uWL/rsNd+JeIRr4k7GKwunXe+mNc1a09Rjt1q2zgEgGYleat0V7bWXZa8ar02N3tq/w0jnlsyEM
h+N09gU7lTdDH8hol2nb/U7wnTfvHG9w3zMkN0mgL9V9oZz60Sak87g0nv3w8nf9zdNJ6/REkaNf
zUD07LmZ/Yxjt03fmECx4EHXmBkDp5z+exz3Fyjo7X9/oTNG0dl/fR4/9Auy6H8TbHS68tef4Eh/
fZL/l8iiU6vveWTRofuuvhb/dRzLJ/X0M7jo9K/9BS7yYBDxdjEDmDgYHxgV/w0u8tw/0LDQv6S1
iJDDOeG4/wIXeX8wbAgcvBkInU+MIh6hv8hF9h8oLsKT+J++m0lf0PpP2EX/zev452GFb4Zkhc40
IX8uJwdG6L8uDD1Y9BzUjL8nzyZxMRqwbpLVJUuE2khQHa8255EEF+xSJ3Op509OV7jjcR5Eg6GO
l3zSLBRmO3xYjUk8rimJEnby/OiFq+UemNeLQ1kNg9wP3janzWBrdw+4MoziUvjGnNBT8p/IuuP8
PHRF/qbrSYE5YOChzMxbnFBJZreUV46F3HU3rptxgS69/xGFvXyYWlk2cZW1g5duQeYuydRxNNkz
IMvMo7v2RnvsKhgqSZ8V2fJ+RCFyOfdTvyTc/O4TdKxiSDDz+ne6WZw7n2xMmcq1qb4JY9XvhBmJ
T5GVT+D6p0I/5vYQwGklDse4DdS8pLPp6BPpQK/fpd2Y9k7Rrfo6NnbxOIAQeec5tVx3sqEpe+1m
luEk5aa2jAwqz/1Ao24SiUuPl3PwbMhvlp358sHMBz98oKFk0WwxcIbuQ9Jy7iclOU/mQUDnzty8
Ed+4nGpqaH8px3hcDZ+qDjxh+ZYcmlzEIkJ9RJaPM/IrFtPiUPONhr4RfSEl9xoP7HFUXQkAvsj1
pWuH+huyLrNMzNWp9KEL1hBSVcWkKxZZZ5+Up1tzK8dTp82q+n68xNoFH2Ns601elhbjaSIER00K
tMQhA3/JE29UO/X8nLYv2x1Ev6pItkIN3woyrGHYCKr2C6Sf3eNqGuGTsmeyfAvVy5iye31wKyP/
WJvUvrEIldR7u3X9MV4gseSxIwGhUyrPPShBOr/2jRto93uutJJvYOW41qEoDUQLMWjD6sOA2MLd
DYvyeLVJh2aLPZ5ctyBOxI2Fp45YXlpIzqGv29F/FwRtR2Vt+OYFfuZTg3KhfbojcaCVuzrQBAuC
I6AYiktrJflPt6yzZPLQ6nbKlKSqdvnyxW4QDnHOXsqetPa1e0SDYTGb7tA/ddIP75qCk+/BmYD4
3VlIY+gHR81sXLi1O//ohiwqL+u+KoqnoVuHkEWQOcEVk6MObuJKu30HhhNCFqHwfnZQUhqUiD2c
SaLCF+VTiNR0Gy0yNiKwkiobEt1rYMaiyvPquOVN+cjUpPiu6Tuh5PSD1opRL1L/do4zS34rp0kX
L1d3eOVdpG3MGniaBM/7rgzcbQCdwwBz3y4qdHbUS1OxM8AT/zCgT7U8JcPJnVOFdo/VvFBPgQXm
Kp5dp3svZsc14sLpQEUAWA63BLiCq2/GohmWvU2z1yIq0iyIkm7s8XLulqalRPLzg2W3ZpkuhpLH
pfKIYS5qc7rbGp09tkXendDQQ3grzT6jMRdZw33dyULuoISK+xwJiYgnewk+5qRcvWuH2n5rwlki
NHtzEuDWY7Pj4xTjDhVso3cdLTA/0fSDRhat9j+zQ5YfwUMuT5m3huFFSAFQJ+zUWsYkYIDJykSm
3tAzmIq9P9uszVxV89u1bpFcSmvMyHFfhQBu2WEgp63mRSDS5Bxa6EEFhEzK7SDNN19Q16+wnS/r
bFymXTgTVxQ7UzjU+66cqPr/fHv9/zf6TxDCkzbrhTf6Uy0g8X37r4v+9B/9Ly91/s3/eakHf1A4
ooEBEI4mG97d3y913/oDRcpJocR8DM3dSaX410vd4CxgQhRDQk3VQoF20pH9zSO0/4B2ZaHWPc37
+dnt/+S1fiYcMbCm4Q7xQIv/+jbvaF0h0RZ1KhbvzVJsOm4HUSYM7HDyDJ3z2eyF8SEgcfyxFGwS
TbnNB9lafrJmy5qgf46OWJHL/WRm1oPoYC//dD//OjT+zFQ7U2n+88lOh9af1NWFUZlTH7oipcci
r2x3bTFVd1Td0BNubCWyxOyQFmhUbLE1rfX7wdk+TAYJmjaUDyQImTfBX63zHTw6+5DZmM0dQgaO
QROSI83w9t0rn/R0TP7nZPTPJ3V+/aRmQ008sEmkY4aix+nGLq6NFol9IIqvZu0WV767NPtpK0DA
eRmCmkH3zSsStLNa/p+rn53HnLDPIrjzgrGY7R3Yj+edUebePtS8XbpikCka+Dop5rlloDRPV77O
yld0R7/Od/+59pmSplGEkWNXEemGeFPFrT+Vdzm96gsCQb3EmyPzXemUaxQPQfCaoPnX+vOfa54V
KxNxqbZh2VXailEeZjlCWwhVfYO+/9srP+gzX+t8XB2CV5TmNot0svLiipZAsadYb+4lwt602rJi
X7ligqu4mknQSpXKbRoOYb7dinr+01q6i1y13ESi/6K07x6a0h4Ty7CyV370P+1Fv3nkzqWN+A4a
1ftzldqiWhJiaqu9T+rBgUC1KHVoBFzO0Mku8yiSSYDq7R7LSwWwSUf7ZjRzFm/ex7gKgqMjluLS
nC37tqXJeuWAarow+4jpsw5OyXbr8Eru7DO/27lbQvZzOdShp9ItW0CzR8QILEs1HVUbvCLT+RML
8ru7cqrpf9oy6ALkNRG+TYrvsgYR4+i4UAyMvbpdrhAjcYDryubIDKDB0b92F2On5eUkrSk2l9G6
CztMVEVXeG8awbvZKCbxcVC5m+ZtMaZBtdK+xVSTZBuqSgc19n5ZGggPhUV7th+tvajXRDP128ss
sw8T4XlX9O/1xdJyEGw9vnLH3PHKzV0d96JpCUMEWgt068bOx/Aw553zH2lg/14l55qeavW2Ci9Z
kzLON5OmLaEJ+JBMzXYNDq8sk2f2vXOHke6IfYzWhdsdVP0Bm5G5g7Itk0GNt6g7P85Z9wnAk9rN
TqDjUDrrKz/0mcb0n293tuO2RjaCgXCbVJT+CEjcq1w/mWluUAkV03c5hYGidqkDH8jIKtxkbK3o
2EfQx2LtL56ZbgT0vAb/f/bjnG3BCEraZms8bjZwqet5E1ONbKOU6bp6AXMh91KFeY194ARzHZt5
b1hC4IPUSzq58jVc4JnT4p+7crYbT8pjuZtWkyKPKMnfAHAr8OYmXZ590A4pBOWpIFpNwleKWYf7
DTHOMQy38ZW3wWmZ/W75ne3MtNNcgzK3TsN5ChKL8myXN7W+UmhROahCjHr5wXtmJzlXz2dryMqC
qZWSsCGP/er7vOxxsZiWvn/5Cr92Hv++k+cSqq6OiD1oI5EKgnp2GXKyXSUgI2vPGi8QOSCdRtLy
8eWLPfcG987afyNxdYSMb3m6qN45rMIXd7UIDF487DrC8vsd+TPFheG2P8YRGYO/VOqVlfSnBvk3
v9m/6KxU7OuqB+NYloW67FvaDWYTbp9W4A03rWWpvedQxCdG4XXHrLVzsnQsPH0x9bn3hXF3p+OB
G5/vnLmMbtWaZc6u89YxLb1ZHgxX5akjSwt0vxu1X4QZykdQVu0xGk36KIYtOaoRBYgionTXhWqF
2R0QdT96LXAbBfTvn8vg7P5Syo+KXrhKMX2u3xDtwv9Ds7JeMuoyogO6DtXHgkSaIB67ur4iezGs
dsOYLWi63IihREjHZC/8tvOZ4IgbQEo8fOWA9aaeQnFD/CuRola1ml9RnmRPWmbWiMLDqT6JtR8/
kYSbY/cakDliMuoSXjECRZXHuyqeh0DpeFVFJI5kOwdvzXDsqqSJMtBzEJQmM14X+6YfSb1xstoe
9yRxRBf12occ70rL2Pa1zIIwpvmPBMvnBHz0kdFZWPlAPYBVpNs041B+k3shen9nLqqrMhppAy2+
VF6setv4uLqdoD9myGU/REEjr1e95J88jm1X5UiOze0UKWvv+YvrJJUn8whZeUcQILkvlZ9E0Nj8
fdGq/OAsTT4c7aLx70ENNSXfrNl+GFllfJ2rMtrbmRF6KXha506HdBMgixnudVf50f3a47bcW25W
tlx0VQiKJ2m7cd2M3SMV7wwGp+DrxaCqt24vQ6fzrleYP44x8A9pnKSjU1/WJnTqWC2lRcsKIu6U
WPZYPVU0nu6dUoo3gm7HhVaM2rzcpjM2kHIUgGpw2hB1Rlus9DPcuUz7taclrsC/Amcv4XdvQlmP
Pqo3JyZoNRTJbPnijY9pybhkgtl/b3yv/oG5KLrqdNCSA4noZ88ZrNlboTehNCrJqEi0GrIJk84o
RWJ1S3gvw41f2RJz/U5JpSRITTskqauU/qOxlY2gQeOKkxIqYt4YTJZ8nGVJevq6la61Z07O+Lqw
c0Om0VI4jxWZWqkTiu4DyPDqyRK+/1WiFuohcjQrpLbBJJnHmzbjQFG4DHi47SW/80tH6cRqDSJI
wKVznreJ13mHvUQ+5HajchDRtjBTUhlJN3CswTxktVA436bevhAkbI2Hcu42Wqm9j54D/dB1762R
E+PvADZQtiWSWD/E/RSfEpPu3IF1H6vRRKoXlthDRtew8105kHYTW6siarX1/J2MCoQxXRRdeV0z
7ui6kCRN63CIww4ecVhRnMZZXm2fotXTOgG75qvEzpbhvW6Bo8aeuxpY88aW6WLoFkd3mUcNiy0a
7nKL5zoZs5CHvR7yH16h2iF2vfnUN7Uqb981RGmAdtt0akSWPCy9bqs382D574diGR8702iHveE3
PIc8OvnOWxwOQ77pVHd9UZR13Es/+tKw1nQc1F3wPhtb9cNwev9rmE/WsCvWyfuuARiXiaVHRHaT
HqcPJHTZSCdQk3wZpn4oEq931Pcmd6sPZdPXSDhpuY5gDRiMxwwDVyvW1qieNPSB29Fy7I/rMo4H
Gxz4vd+VbU9UWO5cDGGTtfuMMG6LyBXsYH24zxfcFnELyfIHGUkkCcvQi8PCay/zel3uB0vSY1wq
qZ8CHifEZxIlZ2o3sjqIuXBqMByh82nqx6XYM8m6nKVZXGh0oTSaK0u3ZPXWzQmpVC3p4NaBnWSj
tX0RUdcO6dpX67Ynu8u4zvoN8gSbgnyX6Xph1xzaT8ziV0kWb2belKOzXeixGABwAsB6cEleXGh+
ruG1BXt/2JM6gu7LQKo05ll5a2mWLz+kTj09Lz65dcAKk0ggSbHqYNutsqzZKAAbptNKflLcLVH0
3WvMMtvLeja/ypzeZUy97okLFS3jF01FoA5hy+YZt2hvZOLT+LtZo4aUm9rvmB8LwmUgagQFL8uT
DnM2WveTGQ3yaapndtu6t8lfi6Qu29gXgue5n6YsYw9nz0xKHXWICYvCu4b4xTp8+YTxzIHJP/3z
n+oiPTsjXeaO8+mwkqCmnPyiRqwQN5uTvdKuOXVlfnOOOLeeLKPsJRKPJqUH2THrWZ00r9Y1ffkL
nCkw/j6Q+WcH/nKzm2gLbJUu8k9lgGBUE9FXHr18ZRzS9O9rr54Pm43EkbYDYoWMPIWx42gYNWVx
EBZ6+NAbrbhyG9TZvAUP7laVD+0UWEfDHiQiDSKfKi9AO9JWvGVnsV1qN+xvza5y45e/x3NH9FMq
yc+/xEK7OyuHrU6rca6umcn0MTm05a4iXfRQbqu17/PmtNqi/kJzDD3WxDNcW+30WuAmXcXf/k5n
NULAMU6KUJept1bmG+Ad2c0yt9WjoQ2CmmbZ79BL56kxquJIxPX6Sq1oP3OiPnd8rsFao5B0yzSr
Kv0NHSgMnxJ9ulUEc3s9OtJHA0MKvI4nLecPg+f2TwPlCv3IcZ3Mo98KAsC2qCeaItgWuYfPWzJ3
chEJIcKe9AOVP+MXy/cmQCh9nd8btcwp7Iu6ifZgBvxPxrBMV/WMrosi3cnYQFz1Gpzwmft6npSs
3LZq2FwRlYyLzamnODWK2nrYj8vck+ZB0jx1qg3CPoZurL4VfdW85mp+Znl7pzbWT8t764j08B3q
h0j58pOfL+ue8QRy/LZq/yOH2d/r7zSv/vkSHZTuTod9xcnNThAjyqNUFgdZo/y2EOr0yvJ45ouc
h+zmwVZi/GxFWk6Oe50zNGWYctIEgRt+ZSt8bgWeI16U2nyjdpY6dbytOHQzwqa6dOh7g7gHE8rr
J1m8an2rVNTx7JHqOYdbBdTHzr6/sgmcNq3f7JXnIRIBzIlookPFKhuaizZb16MdqeItWsjyTucD
89FTkKiywMbTs/duKi29u00Lnax4tdI2q+Xx5c/yzLI8F4CpLi95MAeRGhyb47A2GQOaHprtujES
SzbVPojWv4QgqDF+n3/03M97tvfQDQuAPeVNOoYOGGU/DxP0jcbegb797uXv89wlzloQwwrkaumc
U5ORsF1NXBCHHTGB/sAr8/IlnnvTnXaAn1ZbS6LpJGhy01Vc7Ngp+wYe8GC9Iop7podyTusLs5le
QOCrVGuvS9B63DedjK76GqnlDA/0lWXwzHbln5XEappDBfRHpViTt705mPNtnRs3+IK2a0mGTzIj
40r80eOIM2X2K7fuzJH19zZyzq1VJC9YRa+alCwG/SDCki/kGxWViVG722OJCrGICQ/NKXrnvMQV
XmcNXgSBQSXJtCGuh7rrEZ1mpfiBbqJ5aFBshHAPps5ACDsJzYHuVFAbK3vxpmp2fMfTzXGFYv62
lcv0GKD+F+TVKvPCtplV7IhLLzKY7hw3jybRdFMSGDqigkBWfGeJtj0FDnZAypahn+7KbBQPapVM
nVylm+2VH+SZheidHuifnqpomJlmoUhPs4YmSI1k/dD2w3btYN8j3EVUj7qo81cesmfmG97p0f7p
YvC7nbYJ2zIlhOy74wx3Jywc5UtFlPBkHftwrj+7ORa1l1fMc3vuOWDb9CvSY0JGVGosrq1wHO/M
hpxgAJgZvoGyPYx9ER3qSDxlW2A8IgIx45G39duXr//MpuDZv35dQe5QSyKDSF0ivZIK3ta+ZJ54
sGVdvjKQee4SZ1tbx8glXCZVpIzixoustE3CA8rmqvbla5mhzz0hZ1vbFuINaEcjTwdH4lqfNc44
7YnrtrPai0VjE9AEXX39P7pl7tkmp05RZ2sU5im1Y5+Es+lfRIS3JPNiBvuXL/HMTneeyVIEgE1Q
LIhU0nB6a22tEYfKQdKFLemYDTiMXr7On3/hb16352Ho0aC9xeg4HlmZr66qdnWS3m+ynYUO5aAM
x7gZw15c9ub4xmLhvw18KfeB1bQPo7Ktp2aWNadI67uixIhVgyUzHMz7fK5UOsW+kbVpXeg+LnLx
cStL/7ANNaHD0iQ+zwCds465OBjdcCyak4iqld5+Qo1N32MSb3AhfK1owVLhYp2sMNSnU4OVywwK
HY8NB6DFL+Sd4ufdZ6LjdYzB4EqMPZkivQ2X2s8+k1KrDwE16Cul3HPL1T077JEP36BksKkCwpZy
H5l7FWPO8hOf1LcdErTwWHS2mXbGnB0mXRuf8l6PiSNr85V675ln3T3bDZsJwfLmWHnayyDHhLKp
95uN59IeTQt/BHbBGAvq9P3lJ+QsCODv19JJcvnzfhhosH/DKvIUvL95E/jwbpxMbWnbd93FjPv1
OPi9TdXY2yQITZLsenqC0kbsmJU+Bual+RAVRkS+qugwCHXmwZ0XRIvS3T77jFpOI8KKvPTa3lGG
o0/CS/PKMnruVp0OmT/t5dGEPzgox/x/sXceS3Ij25b9lx43yqCFWb8eAKFT62RO3FKQcGjtEF/f
K1hXsKIrmfbu+A1qwmISGQDC3c85e6+986apW5NEr4csRDNuJucJF15ys+Q0OH5/oz59M05W0vkI
DypqctrNglrctuZuq+f9/OapWZ0l5DYdlJsRfJBLeTdmRYUaLO1WTUIs7e9/g08OX6cs5TQLkkTT
ez7tUSZG6qMWFQl8sN//659NYk4DjpquDRSYpHgXG0A8F9NIdtUytmvczHi9psk7q7XJRGq2pET9
NngCwQ99UWId3+2/WaZOsy50ghegonCM0R2QaNUwlSvyKBLwpWb7xef7ZMk9xdnTdErtZcb54M2z
+WwJc7pA8vbe+ZDdI3onX/WbfkJO/u6zHF/WX15KfyY5DNqt3GUe4o8mmOYba1yKs7Ht+5VZCXPr
w1nfjDkqSdLskpvSHHAouwlHPrdOGWPQ20c0q81rFXvWYXbMctV57lfpY5/d65MVDrGx1c8+23Xe
lumNMGkHG4uZMzJxjMffv0ufXeL457/cgmT2qwGvZrIj7jjY/oxnkCBMruzB/ooM+8kx7hSY1sEn
gKKQcIku7Q7eaKDD0bJgYzpFgHsuMUmZMoY1M6P6i730sw91stgggm2W2u+THY8PM9dkZgde2S6y
kbh+cZI6Ccn912J8qi9HHhwrOw/oUHmavKcFW2xV0JrXedvW0Rxr1mrG53jHdZs9Q3a5Mye8WE7s
L+iPy2E12QZuS2+yowUSzcomoyyiidCv2nb6qnz67It0ctwbggaHTaIllE/YNYPRyaI59eZN5TLl
8XAvbn//En12nZMzn3AbzfRi1u/WmB2G6QWs+CpApUw7LZIFtuHfX+eT53oaIheAe6vqxkno3g7k
vaspDTURaOt2zIsv1p5PVu5TCFbFNLDHWlbtlBrFeukD+6Jvynn9n32AkwUH0z8q7SIody3e4RA+
krMWJjuEPzO1/88ucbJmZE3VW/h8y11axsyUoDpcQu29QsY7frG9fvYUjn/+y5IRB6THtHPOh5CB
f1VnODCDql2ulSq+egqfvFDmyUlHk+TLEZtN/FAj+kch9BohdmbsXb2rQ6Sg/f73N+uTU8nPk9Yv
H4VfvZ2GzEp36CzvMHZfxmnnhgZA7pWqBSAM+yv02Wc37eRIQqDFuIyIo3dEocKELslBTb3GoIsg
gy9e3c8EBKeQ7z42y96vVbpLU3R88DDFQZ8SjTDlkhiosUMjfxzZmLQX1klm4NglCeLQFtheyan5
8lz+2cM7WQ186dAWKCmjZdXUUzgGfg9oxDGMFwE6owZKkLZ7ZQrM7hAPX4uuMl6coasrTMe29d7P
2ngIMgesfUbNgTQup4wgdIkGyu+f+s+DxN/s+z+1vL889kpLHMp7NLvW0IQZ/vO72R6Y3ZO6aLZZ
uwaiYkdIDxH1upUfddYMFaDXh00QD2No546zQro1w17lMY4w25n2es3TEBv+tneg0KhCTGu0lwsg
jDFep3EK0iKTZ+3YnTeq6MKqw6YxkFWqMy08V3PsPrnSV9sitrLNELdnPMFmq3oN32ISm5eT3q2M
9qs14pMd+TQGMgdbYtYGLwrzf3OfGhN1SpCiu9VbisXF/KEtx1jzFtfk7+84oal/f2w85cyh1JSZ
P8l0Ny6BjuB5qPyzpCGAFzJIhkly0oejsyp3g6iGknBhJJUaaNzT31tbTpKsKB+RpGAo5ZiZsNOC
MJhqdtQxBXPQIhknBZKVyHS0jWoh12B75t5G+GbHlyIH+4LbQhPbPvO7vZlQF4R4l6YPqQTwFsmu
fe00mrpC1mTd5ZYB8Q+K0odsSmkQqKtyUpK7xL0YGUMnIS6JQUbwM8VVEWhOtVJaMN7CcXHVKq7d
atho8TtT0rLCESHMy7IHpMGIPWMGAb/wAPypTlfB0jc48sHVrrxZR6GeMD6c1oB5YhnOvpfvhmVi
Kqh52pKvcKxm3lp0WJNCH8Dud5dGzmoiFg5i42R131qlJ69+7yOk1Jo2OHqUHbgd0FLFq24M0yMW
ttvelePBmZmvdkZwVccKa9UCKje0Wwk2Q81EtkcTYWTnFeZuHcqKtFUowInUaz5f8jHkuXEu0lg4
EfxhMawQybQbt6nkq+m1HXNNkSLVc7D4y7VV2saz0zfmIQfXu5bS75qtXpS0KsDN4n/PxrE1Ir8W
zc7S+DjJSMhE5LN1yWsyEy0gYGJIcddb5fS90ute3aKcbG5TL1WMyv0AqgMil+C9EV1uRYsT5GS3
21a1Kg1XYFCp5wLqgRW342UfaPlHCer0OZ+pQkPNhSQEAcpOH8m4w8g+AoZ4GhPpeNFEdJRYDZja
H3pcO2mklrh+S4eZr8qS5aAH2nhWe2NKrSHUmaZHaBIac4NEZ+CVXkxINljTyjzkhRyfZ8OoYoxk
yn+oTZH80JA+JVvcYEW28opO7KBMp6CN2pKxvD0jwwjt0UqPZCRHwGiJ+4FAkWwGS2O1JRqmIWnS
DRWJg724LOxpmx1h1ZalLHNNwLVtR470kouRoFaDSm3Ub8ZYLh7Rt3itEjOQD7EF++nCN0rsEXo9
6dZeLYtuhBmcmHJdYUEL9k2nlW9Jb7sk0Q198DJ6wUb49L0jbFHztR/MM/61PPC2Cre3BSzEHqPU
JXQX71jenY+wwrMNXa3m26yS+LXTl2SjqTw9drFkGplupwcHxTitihqy6tb1yBj0MCYGeHqLTscN
Prja33G8Y/LlgxvK10MLziZk9bbfAgKiHjTRYczkW+EdUtOAypqVpU7qGPwwgqqc4VkMjTpj5Aid
wfRbJ42YJgV3cdJpQFJq5qGMtoM2vaXTXG3LVHPelTvXK94FrQgHUSz0+rImeRhK4X1Ug5OxaadE
M0dT0HXHdNGyQiXdMCnY9EG9xKzaor6IxynJNpaWdzexQ15U5NP3cKIlC4jFbf12gDqB1SEOK7k4
aCmGMbvXsNBhterM4gFJNEzUKZP+G7hIKs0M6taCVeGoz8Fh6Vwt/lHEX2XKzVep14stYrlWrrVA
OMumoZl4mRcTkI+JFSTBMrkYLDW10nCX5B1yMrgz2nq2tNpY5RaugXW1+LApdFHfY5lB7q107zyz
RiJ+ZVD0H0oR2wQ1zFs2cxLojHmMkSGIbcPXWkAi+KGZ8jYEvaJPbvXjhbI76Oz8e35kTiLetaJL
zcMwLLW95qMjG6xlm38EgRqHVTEaw6aj6fgNt77O0pX1M3eoUcrfWzb6qLCAI4YLs/fV2bQQSxwi
znGudNIb4zBo+3FfQJ+BoBIkzg3f+gYJoQyaFNBTMMxE1PljVC2w2LYxXfw3x1EXftE8xjpxdCuD
WNWzydTi7wU/z5uAmCckZyC5sgvPehcy1gAzpXWNIdY1nX2MvN7bWJJ1ak14JhNYUEjeTT11EJYq
/dj1nHLPDt2GDRVA1KBIgYeu8yo60peBZ6cxs/fCMJqQ7oz+LGZYx7u+EFdNYnlXhaWM+6Ri2gjb
SFZhY9Yur2KKqRaoFTh3tFelfZ4zbeNFr0dxPem5Y4d2XxvfvCoYqjVwRN7bTjRXnTB70qvnBwSL
R9lEkJb3WrZoKbpK2X3kk1vNEcHtFrSoISte8iDnl6vIPTOIFLbbAx3GAt42r+xqrittDKfE18F+
9tlwiyJtvJXkdr2Qg9fNW7+3NHPtZk7bE+2UkBqdKqKmQrZ0nfFUFeu7kltA8l9evmEpVPdLVRaX
NagYfKV6vNRhWY5Nspo0oSlgj5PYwU+b4Z5l1RhHujdJkCrJkFjbGkPau+S7+42DQWsCZiLNGpld
J46+1LhdjnrdDCJfIIIewYUn9vZQ0uxjojucM9d2QoRcFk5hUwsRrJ0nqq2BfTlmd/u/A8WLwanB
36oyLZ7Q6/CrwQKrn35/IPrsBHZyRk4FqySYiGALi6YLyeB6t8e8uwpYu/ZFDBWn89lpSLQOvuhX
fFJ/6CeTEpbOqZTHC7If1TcZQuAf1Lnu3suT999/pM+6kqeAlFEHHQrbJth6iq5YaVmEvRcy27iJ
0b31rscAulf5qi66dpcgN1yRszC9fXHxT86Xp1HdOipRV6OLt1XGeB87hh7NSmJmwYwbmbGuVqZy
kjVIwyQ0WZX3cBf1s7EZcfjaWbmySNLZZLp6/f2v88nj1U+K8Gkx66JWo7vVx4ptJ1bupl3K7jIg
C5TwPLKBhZ4Qbsgh5YsrflJ06SdFOdtmnxFrj1FCS7NHE5/QyiomzhwsWHtU+1+h5D97j04qcwCa
ZBSD39jC/SjXMjfzC86WalWbSXbz+5v32SVOundLLiDq1Z6/JVCG7kvgXuXTjMSVNPMvKuXPrnBS
jHdpYVgaw6Ot62sPfWpZ12lukFzvzF9lKH32OE46b/AAcmZmNgOApDHXI0SHs2qqjA2u0GprDP5X
ISGfNDD0k3VEEDrd1RIYXpzJZ4rYPYRWtMaF/GiSat5nbu994dT6OYf8/4tmcjf+2vZx27zVEeXL
nRhwbDZVHl97QauumDQRjdJ37s5yB9SpXVpe4EGzoqqNiXyXclpZbB6PQR78gM/HmSXps3MlJuMx
LUYLj481rkwqo7Ufo16wodCC6AargSbaXZt54l5bgG43ices1aUvjWKt9PajlrZRP9vFWmMKuWkM
UmZJPsivYsimW8urswsBWTnqhnk8V1o9raWnF/sih/A35rA12EKXdTmmxGggVV95A1IJKlHIVks3
f/GifTKJInD4rzetifMUCV2ubRu37PYG58w1ZDIJDnboVrYg8Q0qHEbbLNMOXdLrt9IwOJD58it2
z0la7z/71GZw0nLMzLgxW1GIrRq7wILouORXTAktwHO4Kbae4TbmCud9YKA27LpXZapi5U7usPVh
jVJBzJmxGlPHuQxS+tNftGD+frk2T8OOLBl3vU1m2a7NG2NbJuxJaDnN1X+0gvx0kf/S3xkyQwsm
wbfPwSUQVTnQM8ea+w1F8FcyB/zrfzsHM04W3AGDr7Tkku3gSQQrHuq8qWMa7GCTYoIC0OdW6TLi
rW2WdVWK+Bt5PC2wO5C2prnMh9yksBN+G2+XESxE0QXiQhAEuqFZgSczDq4rO89vsr56b50g2fz+
znw28jrN4ZCViMshZ96ziIWkD2R7UQFKcvOnDXvpvevWct8nv7HO89l2dkHCaMZMdAh9nI2vLQMC
JRJZvnrCDu5s6Tih2QXGFwEYnyybP5nhvzw4PwYAvQCH3gm/9m4CF/YiCSxJZAYL/rbWs3e/vw2f
LJs/O6i/XCeL9SKLXdPbymC+JnKp2mYEo4TQ30TIQ4Qfgqvh95f67COd7ASFryA0V6bY6u2kzmd0
YRG14rgxfR3fIWaPP2/d/8AufoFd/Iz0/px2sR3mE3DVzx/4J+TC/cMmYxiioA3IjEwBnhTlbP9f
/0s7Qi4IUzU8uogwjn8lV/l/UFSz6YHC1knwJn7lX4wL4w9+wCRejwAN6GjHRf7//p+/qEz/xIt9
ojr9aYr/9wYLuYoTlAE8yyWpByzPqXjAgVfkZqWSkSSZwoDdY3kl1OvKrqN2coFwAjFYXtRi2A9Y
Lw3EPn6QJpGzNBIjx9SruzGZJpTCRma9EGIKNokdoAtJzNLuZyDSH+NSB+aKVO8DXPf6lvk2fple
m0YVVjQhzqzaQJ8RWyq+raBDe5FWLtnNMPTOOb43Dxrx1DqPU5bQU6mXshqR5NYjNHV7tnNUgfC/
o26BUT3GekDDn3bhMx2f/pJWBAT1bhRGv0EewSfyRNY9Gzq5XYxArSMICenWa2sP8U1TC6VCOVjZ
97iT0KtbJEf026esBYk/9sTetWxYrS4heM3tUUXvuKA4tlpZemeNKRzcjDjn4lWdFy7TDpuLrQ2z
gkfjjkb8re/i4UL1cJFZiIGQhiou5htJ3W9vaZN2h0L3NXoTxG1etXjY8g34TtzKJo1dFWYeHYiw
GHCoraDeTeL4XApnXy+6uYtjCBeX9NwgAsfO5H0znF7EkU07S1uJLgvwyeKzoar3VOpw70fMnihJ
E5qATduh5CE3YQcUNXP21ujcMakSt1pqxwDKOmLfQjT7xq1WyDiHyO17Fza/X7zCpekMUWx5y0Pc
IhgNEar6e538dO04bvJTalh03KFmSxNA/NhT8OaFFry57WTJqHad/s2YUFqHVoabY2fqhXPn9MlM
Y0XL1f2Y5Z6i6dMdN7uhgXcqQTibg3NIymxZj2MisOsMQX0B9ocpSd7DTSJNxjN++CjYilDQeS3D
oTG6jrsNKhysc6AdMU+m3eDDal1A0wqPY1TNGsaPwZ4/rK6qvqvF1X8QhqBfue3M4FqUplVj6YUK
E9UjyrZ1RiMScoKt9TyyZk7epDv2YwiXdcb15HcKSLWoX7yykoAlcOSgwZ3thREP2MtwccaLhWjO
ZK13JXKd0U+xRcF0bV/SkRiL0B2BxVWmSjaGnfX2mn6le3B6Dk4074UHuDyW5GnjLqLl45pV3b7N
msgvwTzn2HSk1+2HJPa4kSov7DVSEcfZeqbKF8aMg7mszM45M1KrEGsAU/W9rReWH5EyhGk0Nd2m
jKZElZS1MSrjbdWm6qYloSPde0T7zJFbMrSIfG3x3+pygXvT2nRRwwB4vns5aSb9xoTzyBU9J1C9
uO/yj97wu/asDTx5Xrt4DUJbn6YjXrUmBgJKjW5H9cKzONJ06x907SWZZLl4Rkq+vGoVjz5idu1+
K4Hu8+x0u/6WSw19ZBWnSlvpI+QziPNOkYbNEiQFNA853fsU4in9PVNdqhrnYch5fXhxaKS/jhkO
SAJKZQrdfCxBrC2L9uoN0P1WhFAFH14Xa164VKK7J6PK6/cWy58kyqJv7koSQ254x6zu6F+pabXC
NU6Zl0C6jwDMa7ToMS8++lTeJapXXlyY08gHN4MnCScvK7MeCDyqA+Mw6PU4XSo7mTy6tJ6fRGJS
Q39wq4DbYTdQ2KPCOQKkBxP7DnihpXXvydDILIl0soEzBm40ZZETQ1FNK9s2hrNR16vs0qm7xFu3
oMuTlerRHV2ko4ztK9yL+puWgvMNBXk6/jbPFxeGVqIfFXluP01XDWFgOFusWs/OKzymJaiM2rke
cm3ub6qF5npkE0slyDFwbe/WNjTJdFfOlX7QmoRhcDsUjivCJXGNwQxt1czuFHoFp286qEbSrbt5
0B+8ZSSKaUaApUWl7Y06GYca77eUFsAM04/n9tFz9D7/nuVAWUIAkT7ZEDxX4NiN78/bjGMNq8Sc
20+El/rXHe9iF0IpQ/ZSTKbxdsxBemNwluJBFDwrkgqSUacNW/T3I/dmwTDalMEmbTpvwpyfuNOq
m6W8dPRsPHSwQp6TtBBD5C5BerFAnzK2wlcKYOLsa8wEx6p+j/t4eXe6rL2qmix9qQkVPZPSNZ4E
X+h3g1HDEo19AD2QRYegCox03oc3jsODBcceeWKiij6yjvMnjC5CwosnPqEFjSLg1ZqZ7T9Zagqq
M5fmGtPBpeAY3/QtqaV+sxTsEiw5wwhoDuJyxWpD6Iy1rPCRVohDA31a2C9d2o7IIu+AW9vzbuxq
57Eax5wpyjTMD7CsefdUlscxE4aYQZw1jqUMk54ezCYrWlTbtDG4gQ3C4eZgJHCsIRWKTG4MxZQz
zOTkwZ0VzfAIlBZXvObZtggdY0hSxlS+gZyCQdND4o2dH81egJOttwK9Z7uApBemgcjOl4CI05D1
2F1rTrzwmiWV+QJkkEloxYKi2P6zXG3A0zsvbuwUP7yYMQeFl1u3G/Ii029lVU2Pjpk6oAqE7r6h
U+jvLdMiAoLpVV6EOVUEuzjehXev0oK96oPuw0/m7DpohooFw1Zo61rnyMWvpZPfzGWSVtOW3TYo
9bMSqt7jkAqy+bq4bxBFMjr/kaFE+qH0OPhh2LXO6lTYl5io3CpEANtdOSVWdHxN1QUjpP659Bsq
cwzj1X3SOU0WLngPkTfbhgnq3ai9HeQ76qWSqu0878mjCNuktPq1p6MLXFFY9zshPGtYI9IrrEii
6oHALy39wx2nZV4xr4YFA2sFfJ+VEuekTyrIILqb5r1vDfY9CuYYXRwuhDQEMC0Y5MY1Z64p9e/7
TpRulARZi9GkJjE7AmOoHyGH6jnQy946jmfJ5IHNYSVYrZ3lkoENfIduGLo9mkXfxtqep5eDHefq
siBFwFg5IOAf2FH0bJ8GmfHoeY05RtbUiY3sXCY7EypWezVL34zXljfM1sacSoBCZdm6D73FpG1L
DI/93JKASp/Hktn9kur1NeiJJI6UrtHdnuIsP2dRB/UY2OqjgI35wWl2fsshL7z4S4YUggEWjw5M
FyAFGj1mGfGd9/Bd1nXH19wV/XXiCfnAXMUXUTxwHAtHhuZ6JLQsux/TQWTMVQz32zyky1kZJ06z
IcE3CA61hws+bAGIG/suESS4MMA0HptCVddomapiB3dsglCK5WdlsXecGWIY5aq1S0Mx5gXbGErR
eHsYK8oMe4P87HFZ0pymceoeQIoxHmEgge+zkx3cTt7hjE3TZCaKw7sWW99SrI2LyfFgga8cb8h2
6sswribjmTNCIZHQc0hc+U3QPcke2D9QV2T3IdTMzIMyHzDhRECppbtAwNCKNFuYHnD+Jbidy4Wo
E9v3xns7beRTZZFxAAa0FC1EH1M+ldo8fve9FMBcmXF0CkuDwIEoQwRzRianvBmY8gKkHUfvvqhT
bAPs8fFlwozy6HGqZ3i5ZNqbWJ8mftqvZXC5eAZ5Fylfs9IatGer1Dxrl2oWSPZqGMuDNmakFSln
dvYZXLGHlNkZCyy5AQuxMp24YkzN7zCWgtGZmo3YDGkCWjRPBsmc6Gfh/T8F8a8F8RGc9XlBfP3a
vsbD6/wr9hGUx7+5j/YfxL8FSOpM3XBd/vt3SWz+4SIOhxns8n8AP9L/+if30Qj+MAPDhrBs/+N/
/qsmRu/5h6u7FnF9ICOJzsXm8t8piv/SZHNtImNtgOOWY1Ou+86x+P5VcjhnlW+OIIzXVpzflYBS
Qhd3EUqh2PtvtQz/eSXXC3TDYhx26sKxVeYamp1mhJPN82U96M41oCybri3Sll+ewfWfFf2vyMi/
Th/+vNSxm2BS8fMJT73mUM6H3uz5ULh2riW2/kgznNumFV907P/aefrHdSycMOD2XY97+NebR08D
jGMWpOtsMruc0TQFJyuDcYZEGjd7iiHo9x/sr121f1yQoF+iPR0QwqfUP4X+JCG4EHlz2eZXQeVT
QqXtBfFG9iaTgRY6suu+6rD7Py3R/+6bcFmfbA2eGZh/YnN/dmh+fUmInWy0oLPkGsCad63B2vxe
1rNA6oiC3kJ7dKemerycj6MGq+/qXUKG5GECrXApKDJWTgskxKmz4ingMLxJ0QwdFJEC1wt5bJFd
gPGR89DuA1gqO4MC/y5FMsMJaCIDo+sIWF8K2qWMuWnq1Sr3D+5UZd9ydO5rz5QcbwCSV13UZnW/
0hVN+XDO2QIEVEYETpn3DThpsZVwguywGzvtihAv/13own6xeXTExi2gA4o2w3rZD/187omif/Wq
/ENmKo10y7tUnQc2yQyIgkEVhWvB6lPuh+dxnHXo8COSOPPbFvYZiUtQQBLtybClf+l4zbg2CvCQ
rjs0yVEBNj2WntNtYTsnV9nok95Gpt7eRli2c/TiVa8acyeaY98CsE7M8bIyXlta73d1z/keUiFQ
MlDO8zvU9wpr2ujnG6rsYcvuhWYjL0iQ0rDuUkEkMEiinESsK4cTV49uYsqZGAfs7r3bnEtii1IG
OXq2ImuwfUaMl90aNhnNnqyNvT+nzsrUFpdIxNJ8cxcLyWuil2T0Esu0WkSinU9m7MMb1R0OAv7w
HruzFsJNN+41qz42mSvhJNHcF+m5W6FcVUUu9i06h7W5wAwTbdAdJNLMqzRv4+s+b8Te8IC7kfFm
wVMtdA2xRJHn5EvMzibDv+LSUppElOSmOtSQce7mwmlcMM/laHBOKLxDnzryW0z4sxEuvsCDpHIX
I1IGi3rRrQN5D+WrGXfwsKs+Nd8VrK4hzIpu2I0Cb0MosbpxbG79nZEkVFIIQ+b1gAZ1ZRfQHvUq
uSIgbKHdvAwfR5LroZgC9K46nQxihKzWuO31vv0+6Hp3lorYRV3NzV0cSOFJRzMxotiSKiwbOh+1
yXknzfvmuXFVvHdVaiEjgwM9BJr0Vhbp1ARAADFSRbKsrFmNMJ4M55H+T3WNfAXtX1xmkahq8eT3
SxpBRoUaZRf6gWFl9ugwwPfDpslfZu2YwkPMJXM4/3tvlOWmLxPvmT4G51W3n++ToIhvS+W4kLft
4EEUmQnE3vW3HQqSQwDJ8QK9pj/RbzD0B2uRx7jKWlwaRkIDDHv/dCeFo69QlIiPJInl1eSUabTM
XnYWkDx+AxW2e/aB9/Swn+omXxOYVXbvmrRruTbnoEh3fTnr1WYsFcEXHhOLntxgeeQDtFlnNVsE
Qk0DUMidihulm6lcNQDq9Y8yyMd8w3GQnLNyafxyKxzc5aEVWFV1IXE57TKrC9KHLLMsI4znXP/o
FDT4zUz82byOE05kSOWgPV2wpXC/Fyo+PxJzb78sjeb2q8lcPG+DCXfoV5rI7PHgJjWIVDAG1zqU
XS/VDWdLuy2mIwqbZlxxgOdkWUJNK15RPg33iarsbOUwh/HWdKPtC+CLgOuZBxXjQTqjqA4luIWn
soBrQr/Iml4LRUM9ZIDoAC0xu+l90FNtQVvTWY/QvQPvkHmy/1HU3XxnzIW07lOSdaml4OmT4lGY
i9y3mpbZq8IroKDKlDqMuB8rv0XM64daQkImztKtjlyDKbCtRaLrzx3c6Gi7CFtqO+Kdh77F6alo
tNLVgspfjYfYZzZMCR8R0yMeLZUQWFqk6Q9bzktEAwoAcxPAHeZ1mviLte+FNi7LbexYh7ak1kCC
o59pg8t6wf3Ya0r7Dn2HpEdbq6/7OjEiPR/oaBF3skMdhexsVncZr1fV6xHpUgCPud7WmI7EHhnc
d0N31bruTpSFX3MtX9+QerWtY/dgelNDEDb5B6WwjSu834+03KNykVt2IEjJ7ZnXj2eu1PZF7Z3l
U/44js2zUzXJdhLzu9MYr5ZqwrS3t0arzunkPfi6VA/sQ1uaPTvdpeh0W9Q5iLNIVhihSQmTcIM4
HvZVWW0X1EGhcpfHjLRIOlGEoNbe8pon7XmVZRfskjSm2x8o9reVZV/Zdr0q8vquavKb0gpKAq7s
7eha28STw8vA2hAWUjDo9hAaIfMMs7KzL1Upfkh7vIcyd+UZvCRBSfooLFbPbNeVDJ5aaIBk0s4k
NpKKtom77saveY/UsvP0Btsm7d+5wQqYyvdJRzA+zGEcfCfiEnO5E6zkkj9iNOjD3FEsmTntxAzC
GchH0GXlueNM3xLX21k2IWbkZVgV625mrHOSyuy+f20Vv/FinMtsvoKoQAutO4IaDM6b9cLfaDZd
O+Jw9q76boSCp7uXcWWy71vDhWP75p3ttWvyq7eNmu7JTc2IKWuri8YXOzo2vEdmsQPxtJlrmHNe
Pn+Dc1Yjm80P49iv7cRHNEyMJYulRsIWc+bViBh0O0xNtYonDYpoCbjfGJkmVz60Ns8BBRi0UeXn
Wmh65pZGJD3jub3WZNo8GT7ZmrVlt1cD2EZL2djsBNG+5/kySLpUjDXw/x1sRPUrKkgyWbP8PnE4
GupZeUFzK95mebkZlmSvLz6xy/I1r7KP0tKbWyId17MHitA2zUPqUvEffQM0G+6Cwj+bm9i6Ssl5
xpmPY5wL8OHTcu2JGX+xpW9wx9IfmvynWczfbYIlo8Zxh4hqGP27HIhG7RhJub3h3ZheWl8mOglv
OaqxUNfby7qGSTsF2nADEiPYB5Xz3Gkpt6ybzwIvFZtj6iSdOH1L2kp/q9pBbKqqgQuviV2wmOOr
qU3yovEW74BI5Fok5W7W6SrazAwuMs3ZN75W7QjD3rdAfpDaay8We/0OGYEKC9+4YChxU04AuFuA
ozRCU0Cauo9rob5Ec9A9I7izorEln3nozO0sRsCJXQayM3lG1tRt2gnRDjJ1/k7cRZM/3XQqeayM
8bbw7bNg7JC2mpXk5SYWczTNS8PTLhBhAw90GW1UvbybZv3SsNTeKuqbwJoPQ9KdK3CNAAuZ6ZCp
W45bAmwv6E4ta19H39nEZ67d7qpppDHqlJt5IMDFme7r2fiRJePOs5rbRorHPHdvLce6jLP23Mvl
dRYMaqNIozbm5egLGEh8mad3l0b2jJTYzvx90Le7biR+o7HPNb6u9CUwG3bZBSOXyzzN0o3vJ5ek
P75ZU0FYYoJWmjZ8AkQlNDT/xbCb23g2/h97Z7LkOJIm6RcqlGAxwIArCZDuXHzfL5DwcA/smxn2
p5+P2TUimdElWVJzHulbd0sw6QRs+VX102rrCnmbF2WESrqzC4vqnLLA/FmFVroaJ8+sn/rV/MQ9
Z27qcgxTY87CCwuIR3ZKD9rBvqv44onPeG2Z52XjlUC8UvqPtwt/F/al9YTZ+rTmvOuk51kLG1So
LHOdB9n1MPlma+OLwbrqC6PfzopSn7ZlwtO3g9wErf1saOu6xjIemWqVm8ocl2sKNe2toewv0+dH
LC4xEYPeHqswfralMKkAG7wDSDHasFP9XDbisU4HgxzmiCVkgqepbTdA5XRUdu+qi9vbhiKW2PbK
tAZr8+CPP8ekibf12J4HbzIO2WREJHUuj0rwpsv6Y1Z1KHW+Pq7MyS7sUyxNks0JREu3aycimTgw
X91+XPgnp3csyOeqZL+RHg4oC/s1pFu6T8UKLaifdf5lj/LT7sv9oo3jopoflxLLaCb2wjIVCY8/
b5mU/a71CvLTnrXu8pQeE/XHSDoZH1Uj2Vxa75rvz1fx6ps8a7/LWR+pYCQm5V3CB51DkQPtAPgk
iUjNIOnPZh7IjVtpY9PbpT7GowZO38/GNVBZSmFiq6lpGy7qfbN6uUmLaptzZk260OrIYzgNnUXr
0FL9OFKD4wwXvGtb4yXrun2Pfa2mFDkHwqbN+QXuwHxAV3J/gqMunsA93mhgj1jLVPW40mEOHtWA
DZ7G9qnCjcM9q/eYplNqSvM552MTZPxnrRBGtnaVWlHlNP4jZBVOAAl3vsu7yFOX0H3LjKX5tmiv
OBlUzb+MiRswKaeCs58cCBxehX95ob5i61MkF0T+BQOTjGX6wPjV+1GY5XylhHOGhpjuJtMvbnAK
Zd+UQMk+pCmaBhcvMLaDuICR0FJSSljjokc5CK5rP2WEh+q0XGcDEuAmn20Mljjs9CaxKvtEh1R+
gJBMK+fUdWEN/e8u9r1x503ufKOKpn/se+3e0npVnVURvANlZEiL6vcdl2BOIUz0XG+8xNsmBc9o
E/TNSbEK7gU6HPSXwntUS51HJpDHm742ik1jl/MuRkwLW4Phb2y64y3Su/eyjJoiKZEOXKKWVp+9
aZRHnVk4dHJqJO7bIKnCgpTmlq5dXidIpK/ZktpH+umte4YDhGgoEy/ORK2yJ1qrOf7GJiWz28KN
ix1PrPyJOkarOBvo68xT+EvKQUVjPtmflD2XJ5ME43YgBnJMK5UBtgW1NmzIm+iUPrGpwk/Gu38g
vZTscffKq07E/dmNKbApM/N7oGt8h/Whx+KX+k/5PDu3XWB1j9NqG+GiJ45nlXWdumsM+tz/GpWF
6stCctBrwA9Ng1SYmm2zHJFbhgflVpephsznbk+GoqtD+vas7IDib1CKvElSTk0kz02e2+VkVjal
i79qXPN+E/kuj8Md9bjLMpxN0WXWFHbeWuTkjnoaR/rNgnznRN1CzfC2nKjpisgulORBZsM6a0UR
yJ1X+NZrLyosEhehFqOEaJKHSiwnyxUsrtT6XptpMmL1AAO87+3Of60X1+GyhQog4qmqWGKayOO/
noNo6tDlq+ydZZXdqfVt2oQy/1I1P5pRs3RDRA5wiSzw1PsB4OLOCrzpahxog6UJNFLOAmAudcJm
amtEsFoygskFEGqnD5kT+ifHEv5GDPFdN3FassjpkDkN5n3Dxg9YKbcvpGl+rqIdqRMu5wNaXrvn
yv+4jDP84mTyr+OFgPbYd1HeT8k51/O78NdvLyNyvhgAdkanNyIoz84hZcIv1PrgF1xybMc8JDC8
SEQn42lOlj6k7czdzTPZnBF47YHaGnVue3/aD+VaHlMcM5i0SQIbi+O8xQHmO97nfWK6QFyQqneo
aEMEzmvBRiieYptD8OLqHQJewI3CTnrCWEG6RUHxjr1d+1vXNcazqmS7i4nhXveNCze3ilGW63U2
boYq8qhkojanMUJJQGvjuusnQFeePHq0twCrvd1i4Y9HwxiqbZV6964QR0U1dOSTVuW/h9KUBQcR
3dt5t2mCpglb37yGAS1PvMozG6ZEasQHhE6ailvVtjdzBqMw9cx+l4g5OHTBZC0bhlj5q24qVHVN
B/s1XPPPttFe6JV0UWOQGiPtF81+XujWEzqBdmw6FSlB/SNb1npHAgd/Z+YbuzROqIGnxfa2a4YH
pEsvlCp5GU30BLlMRaS65YN6NYGKOwLOJWl5xftOHdXsLRGOHnbr0dw1FWOIsbact6Wqu118cTrO
zAmIGjo3jDqXG/hmOuRWWYVcMYaji2V461A+xJHIdYF1IWA1nDi2lcWDmZhFjMuATmNJH9yRi9oP
0y5+KQBPqc/SDGykvMnnxT9nQXwLrYLrhLLHdwdt/DpYMDZtmtFBvbQhjl7Ayc/uyCoIMfS+7c3s
5BugsHF0BbvRxJntC9d8t1iYr9vCVCHcanlmic+3bufrK64xZcRGQFE32dItaSk7WpR06VFxL/gN
a35bGa9G2vOXE3Pw6jafp4WLTl5/GnE83SP0uzmSsJu/u31dRK1vxdcxXz7S7bxGnd2LCYo1/8uB
WrKDbdLhYSpMzUHr5heLFtJ8Uhnms98NbJaG41EEXQ+PNXSrI3fxNmoUMerEALcH4qrDGlEH1xAe
LEKRa85gk2p3Lkd50JKMrPz4hlplC8NU97IMxXq9xIWzHemN27qOIsFn2xW6VvnDJoy4ZbvgeSPy
tQrnxkpa8xaonsm6FHAqk12dX9odMYaHxRLIF5t+iBA1MtnPgTIONFqScsPqwRCieS7wZaHkWyS0
UrmN80ZwWMQtMeGVC5fZ8TeWu77xOORXWq2XtFtOwDaHiLGxR46gKa/Hxh15UgQHZW19VNRFXzm9
xdDZQYvjfbrz5hFWl1/5u6FgXp/TIrkN/Na7A2RV3Qjl3BBWKvVmRQQNgwzwGeWSz31pPVs+Zgtd
p1zkG5fz39K5m7hWrBI8Er6iNdChm9HpvZfuYpYBCcsRZt3RVIErp74OhjoSc/suc/8qj507Z/E/
AAZ8cpRyOeLShENopr9Nxfwl2lXscqGrKBaSa4fWn2kyYWanmweoNZe8zuyvLTW5d7xz6rw2RX9S
bPFXVW7psCVgdZV2yRx5Lan3JJOGeQfKvThQu3l2s+XV6ZYfBjIjN7ZpeaxXUz+IiQFH1yfJsqX8
jnxAb9+2A/itDbh0H9uQNW1ENh0He5h2tVsHr7Fe5lcXkmC6cXzjDO7mPJSZQETH5pb48Myhkz96
o/8iA+/YUDG7K4nlloXLDqcSpOO5e6+9pQvteNq343yQEIM4NIQMdE+LFP5Ht7CPFqkZcp+6GuXw
OCkcVLMfVsX64LXUEjKB37k5o5DMbM5w9G3OvqSO3Lwnjppl95PSIQPwEM5+2Lg8izl1PFOdXcvZ
vZFZ8BYo85hjsWyFjTs5PySduPLX6mkWpr8rMVeRJ7oaGtbLILvXxvA0pu2zqoetavwrZqq7FBjx
wDgkqMZDorOwTL0dPszvHoFAg5RdPH1XG6v7Yds0Y+ANKC02W6oBQrszoiZRkW6W9TWX1dU6AhZJ
XUolLs2ZdBKUxlF1vL11cHSktaviEVL+6JP8nbE86js/cHaBW720+FXSTL0DCCWbyNX4crVZkwNp
b/xULfhriGS4md7HisBUAZIDYF2rbOyImHIPS+A9xy3Z8oBuajHwFK1hUHRUkSDq58AxJZN/z2Z/
kxIDH47MpPqqnLa7matAX012E7JrHCZ7at8mxzlUrtqn43QtUnb1LJ6vk8QJ0wY8h6AHgOHuqW/q
PRdTntXYOdWETBkYbOdUb0f+S4ukeW9zFSZ5vmX/CKu6vUMNfZMGy6CfsGmb3qly64daM0DCU8No
BVQu9JKdbCxUAYsfY9jm0jvNUu9Tb9wy87hznJYkNXWi2FUi2fs7IyjqE3/Kc+DGT32vOGX8dCb7
pLNsR8j4Tkzi2OVDEepSP3lxebf4KdPlmX+E6TOXncAeYUokpwT4HhUR1SNZ5XO5MP1iR3d6O1wx
Q0DwM0lfTs59ksKZWoMPkvOEOEmpsXkwHzWuZjuPHGe18WPMJww0Z+23rBf+2RjaIzVBIV26kWc0
13XMtX/gHQtmhL9NO1E1xy5/35bJyRnzj0kPd0tSZ0gI/cHO121quf4Dg/WFY0AZNvHQR57rnamR
IaZvXAaY9LfUzTjfO4XNWNst2BD6/I4N/770+rPiSLmaBQMEm9Ea374YCYK7QX+EkfAAxH7YKDke
21ITnWcQCzZ/n8HybIV1nKsBt/IESZWx0x2e3JMAEbj1kukBB8NjWsahzG2qPsBW1I6eosFR5aYP
WE1jA/9sCjNo12fmVZYCHHB4rrjbRl4uPhw/pu+kGN4bMbwowdKJh2INCy2Pwl5kmJTqy5wGdpfh
15zO13SvX4smCOc6ex9TeY9i9Gy7tc/kffgonfG4Fn5wjRbxJFi1WrRBNE4CcunnMi6HdCScn3t3
S5BfJX7MconYY2UBTpY42ElLPUwuQwV7CmhwyOZjJ6xrt6guZbbP/mrcSptzcmOsWM0S8Thktd7G
xHhxC52nsfrOAdzOnb1vZ+M28NIfgR6NLXOX61hw8btc5Rq++mQ0t9xNQscsjm6ZHuNgfii87mEw
EfNSVx/qVt+w/300GfR7z/KfyySd95Xdc36SlDygCtLwWt9KVZwUgeR9bKyvKNibqZqPRLlvAUms
3Cti8wToInu0Eu7hBt0vN+uKKjf5DZ2ly2gPj2tWPRX5NG9TKlmiwjSSBSer4tpFXfG1DAgFWWax
nEAuj5syWG9aBdvS17wXvB/ltV46uU9m4ROkd9qrvpPW83LRBenuYkJv+f0CFban42bGumwPNQMf
X8GjnzjOvhmwZFceumA9ZqZjnW3X7bdFr8tu19DPEFlKXY5AvrdDSEZE7spLi1OZPlYgoT8Lx87v
yqVj6lMES4ftLzbDIcvsh3HJ3DtHpgTwlyxIIBQX5vc4BkxiiP4NLEQxBqEkBszbmelnmc6xuooz
6j7JIyXDuzF1Czvk1Ex31HjQST8H/sBmRYcK9RLZJ3Alii+qWt13qIdXTWHLRycL1ld6j4E9VaN/
YwSdBdek5MYcZMka6lGY1NGV8x2jQ+c9NlLzY2KSfNVMF0e2S54TPogZb3NkuDLKEjqwMO9Wu1hm
00PHLxNdSrKjuMX4iT1/jGqdZD+CThIO1OtAGq2ft6jqDudxuO5e3s9Hd5idHXKCzcEuDh6gZFCS
YWrujSWHiwxHve3sLKYkLOzjdMY9COxicT1+I7qYX8o6niH8jPIwupP/IwXuusORPT8lxSA2vk+i
dRLl/ExoASuek3wncGPCZlky/JETGwDty+2Vtuvh4F8IPlOmvygz/pC9299mTA8iCw/U01AJc9iI
Ro8UZRTN9bIOxaNyGay2U8ZQhrlquCrL2srGrbcFUopZMfmJWSgRJRmgunL9rNEGQdQEwXQ9G7rc
t7pn/TFXuZN+1x67RtW8QCxtXWKGorFuGmbuu5mx20NgrsUx6909xoR7pCHnIa1WzsF0NujIxNUT
zn5dRyOn7ddZzzDVQEFEtu5rcEMu+7+blAzUs2WMekaooe0wahodhg1dFvvnuJHGDQTrxtvIcabF
2M0oyEqbsby1lwnJrBbJUah5Yu+Y4stuguNiA/ViuMmwKYIgtfJjnIoc0LL86JTd7Zj/6F1SeOWe
s1OAXdWtgEg0bOwDxPkbc5RNxhOgEZsKAMwHeBzBY9AXoBH00Oiv1YrBBGEQrHadnIZbvzUrrmse
bJlhtYf9OAV4WYmszlzxpdivQqueY0GOmK5SGC40hjniHKtZHDSB1IMo2hKba7dSROKlbTHuKvog
r+hzGVUYJHnM2d9W4slqE7sN3dnBDBiYTACwHwe31LWTemgXY+HE2C83cwEeBsNb/2Zpq7oqxiyl
iBO34dz37hnPY8O/aXg3baxl6GKQ5m+6VNju8sbe/GOtcey0g8UoIbAXvPN+Ytox63XMVaIpY+st
8HIvfXOoUk/IZqBshdK7sF3+0adWZ3VIkVEyYrBC3oCohTbWd+YN7VO63/+jqIqckkcGFW1OAfAm
zfis7cIzPm/BEacvSUzz0u4Pr9D/d+f9xZ2HQ+pv3HnfavirM4//93+F1Tz/n55rQbG2PC7v/1Ot
/K+wmk9YjUK9IPBc32YLsfGX/V9nnvlPPHmSnuZASpqX8Zbxf9TN0Kek3Cz/n46L7wxvnnVx9IE/
+y+seX9N8HqIpKZEbyd+genf9H+vikndmPu6ypOoM4lotY277j2r+E8E1L+CFP71KZgPUfx9gRvi
Nw+bQv3CxZ+gNqr2wcj9fRtkP/C2n2kfCsKsGO8Mp/n1p1/h3/jzfrOx/fHNpMv/eOR7SPj9Zjqs
/RaXc6opZ4rBD5gQSR4Sf4hPrl5/zORiznNt2//BxvabJ/CPz/SxdhA+JKJo/U7XnfoiWdgtDEbi
2asVpP2h1Mm6IZZY/s+L95fc4Z/dh//uL8okzzOJEwoeootr8E8RWKtxM5n4PePoWU8vTQ3SxUnM
kswa9xJa7awrx5z6HWOw8vrv/67/6zvyeTZhSml7Dse+PxBxf/pkoryOWwi7Y97uj6gkorceq8a9
OHJiG7zL33/a/3o+eXdcvJwWDksH1eW37+kSp0u0JYAjI5Rv20yzgFtc4P8fPoVPkpjZsD3+zmHo
L8VBZe6paCAIeKbnOQ1J37TRf/cprittKSRvmktWRP5BXvnTX86pW0eLLFZRif/oLhhtY2dblMj9
/af8/vtcPsXnXfM9wakUDfWvT0ZrpcSIykRHQ79yaqys6bFxYu/Qdla8//uP+v3H4aMkH2MJ02Vk
hnXzrx9VONgM8KrraOFuT1E1ECJOz/+pp+fffIqPdGrzA7u+G7i/fSG1zOXgZ60GL8agw+BMR0fJ
+p9qXv/tpwQmDmpOCJb7O4GFYDeH5bbT0cSpHtYfDrlqQIH57/5iLAys9SyBAQs7h8zfFqWFCmES
hjlJo457Xh63M9Gn3ujEf1geLq/Fn8y0hI8xb/uXxcE2SQ94v8fWR6lG+MEm4RYNncCc9ZVtmMV7
Inym2X4h6ru//2K/ITI8fn2eAqZl7Ew8c4GP0fzPC1JaNVQNUDkQZXRObcoOfNBgGeCDbDM/CK/9
kQh40SsHmWjhJnm0BbUYElfcf/jml7j1b19euuyml93RdAWn4N+L1bWQ6yjHaoymxBZA8zSc2I0x
rpLBOmD5FnNcawHTEBg97d1UqKB6uZzZ/XvU5WThmj8l34sJGu2A5jzrczdP0/rm2qx1YB3QZg+B
NlKmVk6lWN4HwhcZcVxbPRjzBaZuKw/aVdWIVV2V+dTeaWo3x109tepkNheAKHHd2ccd0hZPJMhF
dZV6QBv3GaRA3LtL5qchQzS7R78aPBmaRC25INBCBs1ympYvHat8jUDVreItsToNbSr1quxoMlgs
mBQYmGh0kczHIXengKKHvhq3zOkmzvdLuy43VsE41zjaTtH7J4LfBeBnqjVPTdasBvdp0lRb7ZrN
M2w1ujkyU7dRULsx0W284cecXvM8LJJLeCeT+DKnOFlOce+Y7VftV5UE8Xd5Zb0ikzmTxliZ23Ww
6I5nrKARj8u+Iowze/DGnGmQr1oq3Gi23SufnsvZRIaxUkbxNLS5d4UA5LqVyhBHwU7nbxwuYnlo
AjHaNYYmEFwnjp2GVdABTXYym5yaxgfogpG015kb0SwfzErWqOnz5V8xi9lXEWG6BVaqYsZiigy9
Z9Sx/pn33bRusyodksg15+QjtXTwgJ/U+TBSKm4vDbwE22dRlAjaYjIn+nxsknhZbk1YgNp2etdJ
O/9aRc3OTF7rbeiE+pERII3DKpuYnMYNGDtSQrP3Jsg84sGOA7j4rdDydOkgLTbMFoxbExvkzwJT
VnqVm9Jcdz3p6ZKedU+StKfQ6JBw6eFKKz0exrjhscb+leqdszRE0TF1NhsjkeaN6jz1omt4Cntn
9BJcwZR1mmhIMcStNvWoArGBeIbUIMXupp3HrAjHPq32RpHLjz7J2jejWrzXyWlJ+935o5f7zX1g
UqZ5HgKrGYaopzdxnyHoW9sstYMHfjJbMCKfyGQXHIumDeWWwQvo73aKKuMPyCSlF/nRNzC17JX0
EAQLVeAayHqfvLRduJ0VxoNGE50SV96KImYMUpJGNYBsLvZ6StIkx8alqDSL3wt/VbdJQusqv03i
fa122T61/YxDXa/9bG78YJovd9pu/DCmwSUF1+JMW+C8YElRknkno4b6MZ2Y5hAZi9vbprGJb7e9
hQpp44DGhmql45MccgYRys+DpyKdSvd6dobiJlWVoHC3Ek63K0vYdWeHHth3Yx0J2lv9bJlHzNaw
SA3l2U4UGz11cwP5R4bWdeqe7aqyvmXWrn44gDo4TJ5tl5fS42XZuZbqEagCxGR0WeXp5NzllmVQ
aLsO68aKLQmSpPFjTPI2VYVeXVMO36cGow4TV9RRFqxXiLGYzyI6RAih5gbzFJxPNXL8UBv9r0nM
pFUxZma4PCh5H/EKY5QdR6TXA2gNCoLtyVAzxg+VfFHb01FZYSlTnN22TT8btrKFWiycKpvFnd3v
QYzVi6OQffdqsMX7QinuB87a7GW1eue9XGcGdHHSkmtYksoD9pYm8yOQRCSgDv0Ou+LFqEo8gLOF
mTVgTd0lMdzNIqV4Lydn+Zxg9D/gtslzJpZx322aaZYjhoqVOAD53VJEDuyWJ9MJMoi4Bpd+qJUw
PDf8hc2fMA+7LhqSipen5K2YcMy6QB28THu/uKCVmHcVgt1VLIDBbio3kd01nlTnaoSjwHJRpd1r
SWQjxcXJgHO7tKL5VtlAqXpR+hZe4sB6d1e5vl1SH8E254TRbgrDxg43JNmE7CEW3kbpFCK9hv0t
9jzLUpAv7uYfqzlpi1wF0xymCMOoj4NjLg80NPm/grqDw0lOAchACW7doMW6bD9d1oAvCHIGYElh
ePd217sJ4dtLsD0JUKU3I3tQRHBXo280Y3oXWDbAg3gmm3KBNObBZhqd9HPotYGXyM8Q1mM1DFNk
5AEs5ya2iseYZz7BCmob4z5TZUII2WmG6tiCVrgtGNVhM3Yu5O0lLYcyilPV/bLSzBlDVyQNtlGZ
YZyZQavdmdJ37x2XXE9Zm9VPqjMJnxrKL9D3KCwiw6vUD0jGirzokBtPlyDuGxDJHhg6hRrEj+3W
+UrYg5br0lxIjeQx6D5GNhVJjkW09MthdUW3sRgF6kORrEJtZJ/mdyPkauwS+WDdm4BYKMrFftXt
IMz008Wx1z7ASEDAss3UBSdez+WvABDCsil1I2riwcZy0oMzyp3Npe/e7gl6w0oJrBSnore4V55I
21c/w3+wmZVFBrQz+uylJNaJFiwbRK50cZZfTLAcNxzqoVEnUWP0uDK8Mkggs7iQqTxlXtpKGll0
R6pJzAe/THm1F+XJg4WbmKbudKlvrb4gklox4MZGOmAgq/rS8c5d6ciL850wMrlWazzCO8EQSRY/
vp/Z4nrW2sE8KyktsemKWD+z5pB+ZWMPbnJYgSa2zdH77kx72pd0cHzTAEros1zKfNljZhweR3ww
EgI3BSRnpvIzIgRBimCDTcr4UKJa3wZTYseCbqcfYifDdt7NhRutqOgfrBYlU9WRfar2LECeYBnU
x+It5mVsLHrgi3EvXuFx2D9XM6bTEeGw3raFbb/QMY6MsqrMuMVqhRFOZk6KDbnTtxwDzE+B1tRt
Kv5tlGObxwEVUJiflhbWHTVY3TdnO4GEnLg9FOKuhGsSm/psJ60GIe/78Rp2I1gA6BfCubf62Hgy
KgvfV4AAeRqUXMstQePxc638qQsHe+Ilw7taXMdd7+f4jXsOfoUvsPn0jDg5E1vDdU22hGYCOy4e
uGCSP/PyVjwiLHlUD8ZrA4VFmaSGfc8gbSsAHdVh2xJo2gSO3U1wTIL8WqsU1HOmmW9s/BmLExwe
378rJSvcllOW10arCIqnnCEwsTWyVp+VbV3s1rEmqzh1q3GxnSBvpWpaGZjnOTwB21lqM1wnrZ/7
rvLPSiBh7Duji8tIVNpiHr7GNmT2Cpf1lcG5IYv4qShKFEjGXggKyAaWMBplykG2redIjAHj3z71
CSMkhc6q0G1wRUbkPwaIkIOHEcS9AF3gDitBCe9s+Nh1Uz2/AMFpextXZdzhhCzsogJuFBAi3eCP
cd97ytFue1pKqPKecg5iJPt4AfjrG5+m2eITAodUPTNHDu5B7cBlnjtCQKHp2eOdrBIMey5jpxGz
UNHs1DKsCkJlVua7Op3TZoeDkGompyvg/XBvskx6EEakf0EbDTxES/3sEC1ZM+yuwp/rUne0wY6E
uGooyqPIWQfVVyfH4ZJSEeKrQWnxtl2HULppMOyxF3sTsT5PGmAviAcW1k70Dia5ZdU9F4uEke2u
6Dr5wHluIEnX1dnzyO2gixpfOwiNdBRguZ0XxKy1qH8qPaqT4ZrkDQi4IHG6XpN+Qy6ob8dG6TfT
UfMzf7XqGz21s1GXEZk2ggje56pT9YBJPfZoa085B2dlHXygWtjNRi+KYuF6cYIbbj+gnTHBMoyf
shzGt7/MkvCCmCETx06PcJibun4ex6V6MiVzN2TzTr7EEFO/ZnIT3iUpT5/O6LMIF07vltcJtjSW
TYpHa1BZRn+2B0XMT6SFfGwJQlCBbnQ4t10jK3FqZXH9YSkxEVcjUNHi9Xc9f6OtMvgsTbyp26C8
GHOafJifeb/MgnNOPf9Ky5GjbxGs+ofnlJO/dbi9scQWY5ntum7KT46Sl2xHMS9kF1D/frTD5I84
vPLhnaSXepOpKmBKrPbylcxm22/TmghBbRXEixx7eXLzdhIb08UBc+x7UDBRPSb+l1901cER66rZ
jezhY3AX+tntOIlPhi7AXS6u8ySCdrpNiW5i/JV5d5eilcAuwWLFuZp76BVg3uoXysKst8aoYdK6
qplf0yaIyfHVK4YF5eBG37Sjdn4OPAncRjIQdRsJIedHlhTGrdGU4xcuQUIc/VBzoB0romRQxHI3
qvoM7b6e1PS01IN8GvPLm1nlRvrL57r6OFtDmR70AkyBo/gkuLrQCkJwoG8qLFMWeuMGUEF9nwsT
AJL0aReFqD9N8LsnfIN1F9efhb/gMPU9D7Nk7jYYFwtzUcvGIjgCjquO62WbGrL+6RbEUIHLK58T
k9ebiIdDwjnEJSH5I5YNYUnUj+DNMTJsN2QBFhHhsZUINYUt+BGzFrPJJDlE5Fm2Hj2/HoHrx7H/
cyqRlzZdaSnu61ZpHtwWg1tIoqV5o9k9XShu9AV5D2IpNmDRAKuMGong0BcG4n/T+r713K6ldw/j
Yyn5HloVYaMc470FwfId4F/nMNgUwy07CtRTFurqNu3U8r6CPnmWeNtBy1Rz9itWnWojCoX6n07f
J9/DOBeaP8Na96GfGBksdjr9fi38SXHajx785Tb22DKVLR4nKF/pVtXNpSPPsdKtL5fxQ3pB+jqY
oswp/0iYsus6SAm4+b1ns+ogLe+8AcRFGOeBc+qhA6HFcdxGgV+6FfMGKMzp0LdWO+NhTyTbQ+Zy
Rggo/Cac24Owi+DwN0uEuxAuTtlgt+LdHcDv2LqeZagWPT4y58wvNaEG2/M0o1uFTtcSvx9j7fIi
8zCQuPFJVu0kDeqE1cA6azomK7PcEreSPTcMX35Lbjj3pszmb8Noc73FnTJlFzrdqnnmE9wuNs6v
dTNmFTynbvQERkm15tTUgKATue5gPXmDhXfF9nMvNDn448xBAy+jxkkJyA7cYPjPkn1ZAXTpkqU9
ZYF2zh40mmeRx1PtPPVWF3v2s0xQbMNpoLmEOMIw+/jC197N1D0zCMzMYNkxYgHUHV5lt5rXaZES
vjNM1X2CH5gtTDymTk4j4Gw2h6rsXLLF+BVMXNBEk1JiBdh5fEabNDeK+SBy0tqR5/VGD5cupZOm
knP+0yPHW7IBY/HcZmteB5sspUIc7+uFy0b61TwbWLBfDLO7gErbpXkBVCQec1357rb3Li+qOcfZ
K9UE1NHQ34JVNFfzLzsw7K8+r9no7KXkDiT8WWP90Vz16ebMy+JSVULUpLTwEG5tXH3BtvKK6a53
0rve+D/snddy5EiWbX9l7L6jDIBDmt37gkAIBoMiSCbVC4wSWmt8/V1gVc+QwRzGZD+PVVtWZadw
uMPh4pyz11aAGxVpUFH1IIzY8REPBms0Vtr90Eo6jITBxK4UiU+aLaABzhLGagzgMozokojYtEl2
4puJUd4rUWvJO3vK4H3n1KyzAtZkr9CpKbwpR60SFEDz/jqxdmiqHFJzVps9S0uCx7PgTuhZ0S6N
Mo8E72RR8XDSIaJEI6RbKWR2qw3m+t5a7xMVfYJPqX3CrrfIMQlvuHgG1rYveru6wXihzc8j0veW
qyPWJKpJEUrdbL3J0tubKugHyocGMSBqm2IigE5hN1qLosyevNNiQDALcCDtqtCVsRUBwJtMTEoH
LK8B4x7tbiHdVg0S770A5Nc/WrVhJOd+0Tedt+pVT5hrLUBF7yotw7dsvb4ipMlHi+xzyPBQkPgO
IKBWszxqCvcUFljw33AXtVetKRSul82IP4PkNpDb2CYlrZDLdKeAhasQ7hg2WDSX2mkqAx0DYhPx
DbUmrAUD0hhD5Fi24Nb2OrSV7aN/CjlVqI4MWVGsLG0q8G5pxTArfWKpQqY7zVcQGd3ZW6DK1Zno
ep1lrcyyaam0PQqdQI20aT22OQfHgepbXOB7QVxSDzWTyze9yAjWhGU4or3tcm4Jv1gOI5g80qSN
DcqEuA063GQK1lKFoY/19NXqu9Ak7jlSaEU6Ik/fUsxeWFAIo2Ug+TLTTk5ltYwYtdrPSR1FNQPx
Epo1ktBM7uDsMbfDodwNll/2Nzp1t0ZLNI0UwGWbabJJzExNdEQxCrwA6gUo0Gjx9pa0LLxm36rj
2wb1DD6IgTEFcDD1MvqFI5yarz1RWuVpXOl6eDVQKI73iDEIm8s51gunAxWZiNsSCE8pGiOPNICL
g0Cujg6LfG4Il7or4MNOWaKh3FAOIImTmCyLutBTO1XvU6/yrsj25NjGDLWwk3Dt61UUDyejUg/K
tGwolPCtNZqhRuqoDAt9Qdg4FmgpCSdzYaKQXMh1AyeLgg8WW2coiqTa9WYl2JQ7iRrZGNl60NbT
0jBTEtJ/Z6v+t4DgUwGBqpGe+e8LCH5V7SHd5+NP/At4K/6SyXyZhmlR8k7dJOmOf2oIdOsvzRYk
FKmf5Y/INkmtf9UQCIoILCIENhxkCvv1GYXzrxICof3FnyE/9K+/1PiTEoKDhCN1DbZGFmYm387Z
H+MgC5gbTadpPYH8Kc3khzqZ1S3g7G44uSG/+DQyv0nqH6S9/25LwQGKHnOcsedn+ZRCHWU5FGEZ
i6WZmTUJZyO87FTTWhFAa9ctCYzrOMopMa6C6Qju5yA/+HfLtKmQXKWi4NCdzxoEVbYq3KzYR3+X
62C/CtSFP3fvt0Mp6J8FBYcE+5zW+9S9VGsbEec0EurWNR4ikAS6s/gY9PwwV/d3Xz41c/DGlA5P
FiowBLGGLjxvMwgNfVlJN4UmgaCjeKld5wPJEcI61DvpSXwXTpB1h9Y/wjb68OP8lKf850k0zeIf
jSTynMr71OGe40Rg9bzPfiEvQAsv8jNpEa7ZE9YKPxK961fcBRy0bQvOxXsK0xfpMzfuLdr7k2Pu
jr99x7Cq/vU0869/ehrW3tDQpEQsu97PUQPoO2kYtD98x1y5UNaaus0LBtllzXUrnxrRtLHvvTYT
S0Mt9BWx4OScsgZqJcWQb36eTof9MQ3KUMiDkpmluAHA9UFTovYpzWXFJwegEN9jYwma5hhzS8zo
sc/ZZvgPlKRR0MCcpVaDz/JrO3KL4SDFbuwsFSklBw1AMG3UvB1rLvKBl621rg2CdREK7VlQwTw5
quGJgsQSaX9CvdxQOrhMMhENve+573C+9oo1OKUh3sddCTuTMKysXeiJFPuLUBQIXUnbgXHmdqzo
VLmpZn1aJSGiZ0rVE9IzGT5+e9iVEDhIFskosSICtAtTSlTrLB0ZmZMohjMbY7Rxbs3l2ra+i1TE
GQTqZEI4+L+b3HP9QQEUY3aaC3lo/GX2DbwJsgKa5Q6a1CSbcP5xXcRhbW+Caiiia+zRCzIHfQkI
yipLSsIpNLdvoXh6HiwbLrNAMxQdQe+odzAfpFCKXlKu8Vw8+0J5AEXqSXx7hC+WGPXh9CmlnBUt
xTJyFzDB4FZ+VkfrRtNCwtup5derCRsydSGnFd5DkplzMI0CiggLApYrMdQWwtfAE4TOlT4kgBU2
J0OapO3GnyTpjAguhzFEwtarlg+FcoGJVFsu7MZvVHzePfhPQaKEKDtbWToLyYCXa0xR0I/0RmK9
2nKEampt2oN16ksj/bXNEQalJCwqEOKhSZ4ERUPtsuJoNq6ycAAQEqM4mLjtlNkS/WkmzTQ45VKt
VHIDhjFalyVWU5dIq809ORHjWecbyRdJ0iRXdhdwOOkDG8hFGIsCvu9oTJ0rpLF+DwZONy4HLu4V
1ZAiXS20oL+JdSAJiGX7iaRXYFrcbZWyUpyuUJMX9k+CUL3SlQ+hljXpoubGBftDsjKKiWXtRUKe
eE4Bg+Q5fLBkXIMiAENWmL5Pmq3xkwfNzhJlPg/jv0gFSfEek6o9QzrovfhElC8p3J2ogg8Hv1qo
Zttd9GOR3QEIYoH1C9+/CIUghmiS3NnXwPwmR2Q12EkzlLrrASXra18XYYFIrh+IypVSpc0XnuBu
KgcvclOZIgfHCsHvOppSJeegbQg5D6XV7MhRhBBy8PXbq61IyPOIsT8XvhjI8HTQaysVkpjrc0P9
BQnWPiEwWxGlSEyirWCPdfYFWcITcEy1eCGFnbwfg7TFfyuqChhZfkbMA9QzAOuYiX6hSlWIexfR
6I0sJSg/NPCaJORjRbySZ+jk09xOuaiiyH0ke4OBCNPMuuhLvLoYzKZvFq2ZyI+GnZkAxsGeFLAw
C+3K9jq+S48k2zvqZuOpmUaKWewqj2aOhBJdZF4x/mJKQVTzQUu7VJf0A19ZVEDVYaE8hxzKMEUo
CK5q1hAFGQqvgar7kY96Qrl65umpxpnYEM392FkpUt+x0d2QGXOVZsDmQM1U6VsmAgvT1UjEzFsS
m9C5R7lg38pK1dhoZZSe6grVHwui/4m+iVU+bjTnRRlTIQ8nH9yGibJwrPo6XaB1QxYZgiULoNCO
cbtQiU4+wo0nd4O0prscqOkasJWxyjdZluCIUSoHdmqUlGHHpTzRd2FcNrWTBNR6r8zQnOIVwGFb
W/Z4j8jL0vB0zYG5RUBXKvgQ9kVU4OMWtvlIcDEtSs9V81q3tl5dVBU09bLCNXQuw1hrE3DinQIk
+ZbS6xamNZz766AmLIUDppCDhRd2AmyUIvRkGeRRNZ0VEMQvJyroVDDSSiIcNasv4GdExVJXanNA
9oCAfFan6UgvvLaMNvI4lqBrkSGIjQY+jBcmNwCnfUMr6gWkY6J56KTt646wEPiAUEK1kcmZbKwN
hDcsg5UhwS5PlaFbq7ZPTop4utcvyM0BUqYSKGiWg9XGEPjI4k1ObRb4o5JHwyqhafH7WqEAN/tl
HMptiZbDgsga6yZ5rCDpr4yqCFHAeLoqTiksCHokzlReshEEibXJNPSrrpgG/XJQ+6pYFOYg9GUg
xxSST1kIkUHJefhVqueqdKq0ql4RXs2hruEfKJ1FSlX84oDpa0sr6LpzWZElY+nHUWItKYmkMCan
klimbnAufotnVdCCEDEejIaMQdhOB7BJbtbXE1RQciCSZZFHanNjkLjoXTZOcacP5WBuEFkO9pVk
eAwYNgvlsJqv6sMCtaHXO3xfer7gyyFrQcGR14G8D4W0BK4iZEdvSaA4it1EZyyrJIqtqjBOtFHN
N3LhT9eKWYTAADtPv4YVQ2at8tSMQ+NYVq7eFrZBuU+g6/wValJFO8vq+veijk2oe2lEKD9lP+dy
jc9aszZD6ga2CRW0GsX96axxpW9cUjNTvaPMP7kYY9W4bxoIkTspkOqclQwvTJLSmtiVooagpIVm
E68qGGqPH6eqP7qyXnRvVdNWb/9x9lTU/7Fqs9enJsyz/zv/JS95AVTRD5qPsuz/+tlZ+FJRa/be
HP6uL38Is5F/nsR9ap6+/GSZEUcY9+1bNV691W3ydwP4ksy/83/6i//cS2/G4u3//Z+XvM2a+W/z
efjPReyqxhnuv7+y3r5lb1P7ljx9+zP/urTaf1myQVWgxc2Qq9pc8f3PpdUUfwnNxBiFGsiPgk5+
6Z9Lq6L/xRWAtrlRMq/hXPznnVWGY0upKSXxIJYpU8e25E/urHN1/acjq64bOtdpQ6VOVpdNhVv1
wZEV14OUUKnn3l5QROC8PobOZehc+M554Jxfvq1/bd/vX7fXnwbpN7dXbS5V/a/rzvdWD87+E+ue
nna95z6Wzu0+d26o/HLu+cnz2w7Fx/zzt/Xy4e7p/PT2fPf06/361+nrvneOPceRxzi4/4EYGaQp
pvN5fqvIz1Ww/7mfH/5fP/Xz4EKgkrpX9bmfuXN/u0+d3Hm8vb89fX5DiuPc87/H1Jmcm+eLq5OL
x5sT3zm5ci5Prq5OdudXV7vF+XK3vjpZX11t5/9abrfL08fr891ie71dPFyfL66vTy/2i+376fX5
du+enr4feX59vhj98PyHNdSWgaBJann+s8ez+/12c/Z48Xh6f79e35ye3fvOcne1W663u+XV1cXV
xepifsTt/np/er083x65w31cnn56loNSXgoy46JGQchYPs/ThrF8fr55u/SdG+IQDOPV203IWCLH
5T/z+cf1280bw3szzLP5jt95VziXD4Hz/vRw/v768LQPnO3Tntn1cPnO7Npfv9++v3IO5Z/b/fst
VRPO/X63e3h6PX2/Dpz965HxFfM8/6lPhxfTuCHQBYnSdVdn7ubMnf+9cpzlyWq1XjgLZ7ngJ87G
3bg/T0wxD9ZPDQt+/dPluwDaniAVpw7zYxruX99Pny9S+vvMGulcnTNWmbN72N4+XT6dH3mT81f1
U9vzbf1T202voUIc6bRkbErjLpQf/fiS/M1MJXNy+fbnriID+t4cMUPD1IWmCOujSvpTc3ostwlH
CM+divIs7HdtLTZUqjid9l6a6RJe++M0PIWSIFF9pXV3mpbya1tpehrjXz1SyvbGF+H5z0/123X3
73AkcTQZZ4+vg4D3ekZlQDDP5ptnXBydq9B5fr582l0+PVyev17Lzu3rsc/5Q1hxOPKfGz2YbhMF
aLCwaLSWyX7rdyZVCzHS8fHaotCqajxsHE+V5khw69sWQ1SEy6GtIO5iSzssQx9x7SEgWeLxUZKO
gLlPiZ2V9j5p8256+XlcD9syqZPTZjw4e6SKP9rB3Kq6vqnyBkgyLvHdWd2P4qnTevWqisL0SKX/
b5syFI39WVbnAPPXN0h0MpRttD9uUjbTtT75TbQYCYGQv5nSXz93a37szy9u7pZOSJkYNyFXglhf
2zI5vrQa1WkuFDL9wq51b2kZdnJkUv6uFYPvBFsdwcFCPlgUugqQI9FSEylnO6096nLWmTnZ7s99
+TYL584YFkcfIvVoE8RBZwo9BBI+4vxAObqxCohx3/VT4pOEwlJkG6aVyj3XayK3jC2I2OgaXqIM
Eanz83P8trc2IU50XCDrjIPemm2ARCCHXwDh1yCc1OHeQIH04g9bsYg54qVHAE82iNQfnHRqPahM
vHdIYdVVuKY2mwqEvgjWf9qKpsk2UidikkgLDwOcPrnoPjBMMuilLBMRzIipBbZ/5M19m/HEphW0
0bOOZpbtHByXjBrwmU4mzQX+bW+DUrEXxOm5rJMYO/Jy1Hkp+jLjD9o6+LpsbHZT4nyDi77CwY/l
KrVMSpmbTdt6J5FZLxMpvcstMtWdufCnYsM8W0qlsVKGdqMAWgOIttSH6UkYmksoGiRRh/uIUH4N
0R8uBNCAqTlkCdAIMHPGP1hVA8XuZ1F367akxaEe4hFEARBO9FQ1eHW3/PlV//YlCBlLAs7u4HcP
BkZWPIHChoERWZSvGkvcCysgAx7BzPy5pW8fyPwKNCYWHaP6/tBDgqt/mohcDJS0pSitdU2mrk6Y
Rz6Q+YJx+KL5NLh+0BcSWfNTfNqecw+Q3FAS1gmtzoQ3EvarpO/Uc4NyWOqMoDX93KtvM4u0FTcq
mcwZNx5d1Q6++7CRkL4p1egqu+pSv2hvs7Pq3n7VQLs5zV11Gt2Ol9N58DS9h5f21lvi+HLkAPSR
I/vc58NHOOhzP5QJ2ioeIb8V1/IVko7z/N1Y+1ux75EQXVqwzX7JlxGEg5N6Iy6ojDuy1B+O+uET
HKzBXSDgUsK4c/0ycqwm21S+tlL1fpuDfPx5wA+nEZ+HEDiR2Oi/OeccSv2kSC/kpm56V+moLFRQ
p1wTtpfvj7Tym2bQcLMkCGYq+8rBmPqF8JTCxJ5KC9ITgBK9O3bKvYWyhiD1LPShuiuGcviLgpD1
QEaitX+ZKQjiwsMUyJocEyi0Xd5P/arVcZ4KTpOq36Ra7abSmUpYVJHhF1A1KKInOwBbUj83/YOi
PAxUCXnFiTKO60l+VXmBsnRnisTBtXxpAm6Jw9e8KQjjJisdGtSRlfI3/SbhbKBwICNLvP5gUc4j
jXoaj+6m+WQ/D7GvPeZpcmTR+U0jnOA0QVjPVE0sSr5+pJFi4PECC8PVxlRedVW3B605bI+8woOV
gIlCI5wOMFAx5tjG10YAGFZUpNS9C5WPitmYpENCAfm/0RXGa4YKMFv4j6+tGHave6Ya9VB1a7FD
yTmSF2utI6vM4cVu7otCOAXdhiqEKubv79OqBh3ZUIKy690hjlungSBzbZODOxtwsVjnfigW8Tio
Zz8P4PwWPi8rH42SOWD8GEcWt6+Nen6aJ3Dse7errXxrohgpsRdFG5BIcB3rEjmdgjOHm3it8uez
0FJMzviUYXAC/1h0P/VXF6mUpXHGqOoCMngleS6FNOrm5w7+bhqyllBlQSfna9PXDgo85uWpkjr8
U3xzFelJu1XY44+4diuHi+M8jtocfENADun+sLhCStDJ5nXau8hiBRkVsqPlqPqXXT9a29gbyZnF
Q7qqDZzeibMqy7rP6wd7SDZa1wumU286UZLeFL25JEm4+3kQPg5zh6/ZMAxuA9wHVMU8mFu+2oJf
Ybd0FfLaUI6aKnvWB6W4qELKMajd9q4Mo8s2E7dhrvGKX+/rAUgclW4JkhtpUrOXnx9pnlgHT2Sr
CNLRGHMUMg5xDzDBDCCabeuCqoGKOApq4YA7rZK2P/b5zsebr02xMpgKntK8Ic7tB5+vXlg+8qqu
dbvQgkPpIY1osFfcdAb5K0Cx4W4S8iYY1CvSGsORs8q3fiqybM1OUAb/mif61/mHLUdl4QiCcTRZ
ah/fy2TOgZtdoq77IKmU5c/D+m0ezqUKMqxdwCcKjR5saTLeRiIhn+aOUXmRSM19IUjjeeb4SM5Y
PvIFf1s8sBIn107tFD9iUXZwUZGoSIUPb8YURZvNUh6B72bt1J4YTd1d1dDd2WD6ZI0HtrX6uZvf
1sqPlucTCcPLp3fQciLZbVfVduwaIxlOVSp2VVv4C7Rojzi7bLI884+8x2/rCC1yhDYV1WbNQrH/
9T2Goh6IqxssVCV67GKck9dTnrg/9+vg9RnzfX0uk+KjgF2jHVZKpSSKqEGdSFopkS52qRUm9ZWR
UviIJoCT/ToPhrg4sgccTFEaNYlyyTNehiWSwNLXrmV64UNXqlLXLIr6JYQ/vCbPR3Idhyrx9HMH
D4Zxbkunto5wBHuNxo76ta2Oa4GHwXbqNk2o7L2o8GY/4+LPXtZHKzidIfEC8gI15ODs4U0kngsc
SlyBudh6UoLoqcKh80/HjfkAhoL9ntIdVrGDT5uyV9/IJ8YNWBS02lTU2R3k3yJZtVVZHzl9H14A
CHpQcoiboMIsk+nSwQQcQXglZUfBNMwAYZ2YhUYkBO0+TEOr0hNtL8PHo3AjK8fJuCj6KnuYCmxb
nVJvx2iZKBkITDWE4PqYVkn1DBw+i96sTKrOcsiC/TKAfN/PuT9VQ4EHAb8+7Sa1tqB8xvb+D6cB
x27s+ExO3cSoFPng3CbhzFpVeD0v5CYIVhbSIJwN4v7I13SwSsCwoBUCR7bAqxH7v4Np4Pt5iXAZ
mW/Xl9mVClbhsZSs7kEBCjiLetFNkS0zbv6wb7woi7wY848smXJ4pCqhTFLTxYsSU2TjBIywlny1
d+Rc822lACDExsmaI6MwxUjx64dkjHbZjVKVuLZN3YSTas2AVQPXJWtBSbL0qBBY0P/stM0UVBTg
ILNFJCP6rWcNY9dMepa6hBvLZR8h6AV7lx/5eBXBo3/arz+aMRS6BvOKWMJHdP7TwTAG5uh1NkYH
5QCSHGy3f95bES4oXTltld4qrssEtaAfhP6qbocAxWk9OArOJWuzrP0NQmPl7k/f6Xwy54qhwVyZ
F8mvo51ajRamEeRzGzXDJgQMskJqLY70/NviyPgSmuSkylzlMjMPzKeOo60I07SklajSw2srCILL
PoKK/ed9YWmcQyca9ZRztvpzK1INOh22QAKFWgXR2UrtGkx49m/MFU47KkQbvgLOxl9biYNcl5LC
TjjTd5jfDL3qUpMz/jt9oSeEtWiIOs2vrUxYXZacWRPWKyV5z+F2LfFCCeIjzXxbSHgxuIhqvBmi
TVxmvzbDmaDGCI9m0K9LeyAB4ILDicqUJmjWxBzjEzOEIvrze/q2Lc+NahyNiZoqdO1gBKew8XPU
B4mLnhqP7XiQN1oMa53SsfSPlywWEM7HnOXmCtvDgFpMaYmu2kPgEinmGqZkeIVFUxIX7p92iblg
8ElzlNcAbB0syNhTaRTbEWTO4FzeFz1XjtKp61A1lrbeqOLt5+a+vzaV1AREBkHoE/j9wQgiVTRq
jiI0l4M7rVgl4Br0o505BTZz6xhzhI3Mq13/abPzd6wpc55nBhTOS/enzzjC64VyygQgt4yD5NJQ
cJle6+XMB24rwCEKa1bk+mlaHYkqH1x0WDjnKcNsBBPI1veRmv/UMKSEDlhLILFS9t5pkJvpSWz6
mFIN4wjBCEW6lMTSOeVmAICw4zzS7+9bEvEkeSZzEZCROah87TcVK9UAEN1bmNQAd45qT0G6gswS
4RCZCsLPhWp1ypEpNb/Dr5sFjYKsMtiZuHcr8xz41GcwenmqIQpbYCcpLREXUSkaRcORVr5/i7TC
+KoKFGuVKfW1FTsCgEFcEBJE1U39rgozooFAfqTcxTzGOmbp+605TpQqVCLyM/O6Zh4sa347aHoL
mXqBWltet2l0mwhZ24AkCY+sbN9aYp6wC3xcTZk1hy2RkbSp+VWtRewN2TajJNmpOyXe90CaVz9/
FvPH/eVNcdLjY+AdcWujfv/gazRC/q+J+sRFoJoVjgPq0O2NNpHC0YliIftn3GjB0jZR4+MyJDrc
Sv/0wM6lY47PEOrlbzLVg2FNaq0iVwWaRvRsR1IhMqzrwA7f5qWl/elFZ24LbjIpHv5RD4ukRsDc
aW5hKxZEbbFtYyk/U7Xw2H3xN6/PZM4TBFXYbFm8v85LaFpZKhHZA5gmx+VS0iQ7XfrEWWWKSn3z
WMjue3PzV0DRl8raPZ+uvzY3gAyYfHYQeNZGdwqSB1B6NigXZqqly59ny2+bmoM1ZP8JqJkHX5wf
I8pP8HZdpLjHjm6nl2CQSgmrhLJVpSNb7bdFBOodd6v/bOxgaiphAR+rGTU01F2/KtSsd3CQSY+s
j7/rEqFw9nQS83x2869/WqpYqEZ1VDttgWkH4sGoqcwrn+poAAqW3vwb44dQVTXZ1LnZf5SZfWps
CqFBqS3jF4AlW2lNIqNk0aSdSrn/kX59W/c/IKOkE2CgEXk6DMJP3oi5VURTitnW+2ASFuLhWMaQ
MRmxhc7SI5/xb94W0Qpwk7BU8Vk/xE22dleJMK817I8agAup7G9sM83dnyfgb1sxEFZZNrG7byHT
WrGLvKcYdxHi6H6RRYl6krZR9McXYSIvxN9JxROl5nr/dU4MQaPmtpkwzU28PeMaiL7ST+ORyfCb
N6QJbOMRe5OnZK/82gp/9VRD/8OYqvHNV95gsWwNTAHisiaDSYV5d2TwfjPVyayhaST+wvFcP2gQ
PUolEd6nPkNCirIAR2ZqlEqU8tsMl2iPbGLzHv91Z1E0CiVk9MS4rhHB+tq9EKSYDr1QLGCQ2yDS
A8j1WdfbZ35fYCxj2BddL/tHAjJcfedefGnXAuKKdIu6Ww5b9mEUsumiSZ3iGeaSl81NoXhlv2lE
2Owo5xG4xxQ6csdMraUHkeXJmYxbHLH3sbCA+E2RuYrtDDskM2/CKz8CeObUGqoEbB41SOqVbvWL
VvjpdQxeUAA7yimah2IID5ljXFMsEFIF12Chch31dpOfWgWSkYUPGR0homHoBPCkQf2llnr9kCJl
w/zCh4e0aJtcXfnm5FFJ02jai8YfPosLDXpeLMyZQArrDjG2X0Dliluz6fAYy8cbDCqUkyqYKyxy
3c+3MmDFN1uysQNNhdes49KLdpgX+cQPhWf7i6DWowtKWWZwQdknm0rqY3/ZlLLxnGsEs5y2JVTs
NHWc7xBPlGiDwlLC8bsyVUQMUeQ/lJ5cIEnya/pUy5E4HQ15xC7Yay0iYUBTEQyMUX4XB3hfM0Ze
e8OFMH5o4XsmEKzIMDk+3ohXbV5EIw5XbPcOEakQJKlVoxRSjXxcKdNQv/qKlEeI6Or4xrYSMZ5k
EPnuKmnK9lQ04b2dIpy46UQOAqJOmvC0LSCLLKLOBJFaorDaJP6EGSg8yxSzEQ8gmwNOSbqEmh1B
GiXctGiC3GrRlMDXX5iRPiBPs/CnRaQm9WdTbaTl2sS6EjhSIvrJ6QcfUSm8gH6DMTT8QCvQRL/0
jSB8GBUjeMAzC5+/qh5U/USKLb7jlvoHCuCzdsdZmEEbawyYZb0cKowgJ3+Hw1iTLkVkWk8RuBMV
Xplvpgs4jZpYJHWIbKjRkubZLHqAAmkYa3cQDwDJjbV+hoGP8ViS2TZP864IeqftzPIyVttedVIb
HoqDHLG+8j3MGReq5pUzFWEshuVkmLgFIOKZcF8cu9RadnUhTvRwCkAscIImlw5lCZO7mMYWIrbE
SY2y5DlWh+TS7rv8tQ0S+w5RbTQsJgK8p35RpY9KodV3ZNKkX2GpaC9+NoOhQIFZEXSWHkKhaXYQ
RUKNg5gRdtq4hIEGVUwWrRgWWdBBwrInPKVrXSg3VjN2Onopu7nEjbgwFxzwsCnB86PmyhgYyalg
Ar0H6DU9d/ClWnYMLOF5W7HwrztW+JtutMd7nM1buFx1i3MmUpcevoZmQRoLzFJdqmOkpytuj360
ysmOQgDsAjzTCDX3q3GS6rWtjtJcaxqbGSfVFl5Sr2nTbZp05anPbTJcSqLQXkezw5LVVAYz3hh2
V2IPOUBaqDi7aQQ3vRECmF8hWQnsqd3KhJPuiCZN+irrhHRWovR8lPB+a06oXchOZdA/UIkQb+1D
y0q0Ve01/kk8lQAiSQXObDEEd/FKorqnO+lVThSrqZ6Ss9rs9LfEsIYro8wmAyBaVyE6ZghQsKZN
JbvY+CY3UmkFtxJq9wu1rxGu+uA9fMpI0sZYNEloPU7KUJ6nEd+jM+LyZy/JWeb6KgX/t+3EMJiL
opZGexkKlYVKmB+u8oaH5AoYYxa5CsEEih05hzB2eqc/g7LoKwAs03DLJmSY67YecQEbFKhWK0VS
daS04ISy1WDF0SWmEpYMpUbXb1oFF1a3EGMAbLip2vN6SkEQdtAi4kWhmr62iMFEYsTER68serCj
iP3SUpFdq2xwqscQ9DVsYKbgcR40D21d15eTKPx9jt/fo8pF/B3z3pJVAzw3ETglTVwmTgzrJQHU
tAg1L3sLwxJka5VPSXBRylTDkm8ax+soTakHaYrIf8FIJX3HX9ka3YFDebdRxlnWOwA+od9Nd6s2
LZhbHdmlE9VDdKOVtfHEAb4MV6JN+3Oy/8q7N6TZBYRKDKysccyf+pKP2mnjWjzbOM8Mm5ZbJ+TN
Pk4e8Z/vZYpb7NkeiGu3G4oyT7dNGLYvwtOiGPKiNDxTqzTIK5vxPtPx/vMYupRZa1BNvTJSUvVL
bwCi6yi+BJ7Mkuw+Xqtp2O2DyJP2ZGWlp1Ge+vM5OfDY53ggOw2optsMVWFLIjVsyWTACxGYgA3E
RwN9IAuC2o5cY4Lr5lZkafvCYaq56YeWyTZjrK5lkNUvQSDYEWBSV3ygiVI++UY3sjRGHjuJjh0w
W3OG6wnOZ0G26OQWxCr3Y+8WMpGdyaco0tiH100Tp3shN14KhqcWcAaHpIgWcWTHl5VWN6+dyLyT
YWjqF9hnHrTDjBfHfGPyItxFX8bGZjxj1QtuuaoVoH2diB6KxCiqlWAnyhamD7dMGirj0U5wc8YZ
pkBYKFqtAOclpO5RiUMcVwZJNpZ8V8AWqUBIdrGJA6gTmD3S5zHvK0YHupbFnSOOf8WIAQuAgRLI
Qo9iW2iKJSsfoklsujBMMnukxDypgz1vHMCbxsCZx4VIsQXwVeoAkIpsckcOs+pqMnzwkBZizM6Z
YoVW7bBTg5VmFEj3WN/1W8+a9HFjILu8BqFuY3IlBTlAPirsJkr5Ado5HvRrAS2w7h6RPNOLygry
fF2OqVkjTBvsnEVXs+7q2rOYBn5gV3DLAO06GjWyWNKGXYpVF+cRhKyl3f4a4sl8rckLV67kY1nA
sNT2sLCj3npJ+ky9K1HznWrdGD0SmaouJFwmXoY+L16kQEFhTJIDrCAV756yZt+PzspM8toFqs9Y
cgAvBeeeFnIEUtUWwaiHj429UkMDL+4JPPpNTIZWdrtKKkDV4YQEcE3Lpee2SdRnaMh569ZxFdUM
/GCx6CTanUxVMRY+TeKNayMGMrvQsbWhpDGJB8TBHudKC58PPnl623dN+KLasWbiMFfG0iru8jx/
sLl/ha7E/pK7eCHr14CLfRsxqh/whxDCYnsZMvbrBrLeW2/JeBBHkyVNK6lN03uOnSiauCAk07pu
IEZS9ENqa2d6eehthm4y+OzKeT1s8zbABl0AYGI2W9VL1OlyuyLHCGKQbQk1bpBGI1KaMJWibUcE
VnOxp7QR1BssoyaBCTAnWwKJNZ1OIjk6bfG8Au2F6j/CAyPEUg9mOGQ7aan1TWbeD2Xq35jxUPUL
wqdV7OM/Wxn+CTkOabq1pKo0LhpybtNJkZVTsjWzhDrQOGw5XSxCcPvJqQQEHTFmmzfBGq/lMd4H
IsANMsJy0fWFLMlb2MS+utVTPW5etYBDZueg3AV7kJLCTBBypu24yCDhjuseTwUqAEmS2d5SAqPl
u0FXdOH/Z+68tuPWsiz7K/UDuAPePHYgLJ0gkrIvGLoSCe8ODuzX9wRvVbYCZDJa+VRpXvKmhABw
cMzea81FYhIulW/RPNfheKTR0oAsNo1w8q6Q3xTtjdAAlvtMJ2b3kLO/6a7HnhhkIFask+omQWwj
dvzdRrqfqmjwPhGSi9hssHrXOxJPYpj3Blue0B/o0aUPVR2J4pM76NkEXttRs+iL07nguqEEu+rX
tATpoPKdEPrJ4mlxZOD/abmn1myIEi1h2KocCVAMbbK6gNZtsI5qvq0DXSIvriiIUGUxsPaJw3J5
gAc6ZI9aw4u76Wayka+cpBX9Ia0kEW1Tkzj9Jw02/hyA3rK1+hRB8UOQN6DJTwgELp24f3LDEKBw
mtRDuW8MpSDBfoC1/dnR2yT/0Cw8/x3pxZ01b+3aCtUrDsNLxm9HcOd3WdP/LtgTcWwhOAziS+zD
tRafqwHa2S7qEB88upGhdMwcA9iJJg8JOE16gGHNZox6hdkgqqqvbafxafVWrGV7I5wFOz3bWg5k
8EN5DPUYcWFeX3Kq6w5A28ZzwgYAFbuL9q5Wy57JFYMHiXY9Cc7ztQypITx7qjflO6Bmhv4Dirhw
byu7kP197eaWcZAiIU9xjNqm/4yXwlmW/6HIpy+TJnvo+o7TheIDAYCU7MEdpxW+7DwWHPm8pJK/
1MzN2KpJWv1UJKyYqDOUez78qvxU9Uk/n/RUsXTWLK0tpm2sNGW+T2IA3zdeGyckVg6p0weaOlZi
I22z++b0WBk+GILC+cYQQu1+YeSwyp1r9f2XMdWZol1nMJut6QoYhlE+e/c0ibRyZ5AQXi0EZjPe
AcsbykPXxBpBv6Z0OFF4piXU/TyKEegceYtuvEtF2NRs6Ugxd57JTtPCu7ElZGDfT7PxCZZaMvgl
u/pp35ESTsC6XjjGVhJAoFyjDsBioRYGkcWeYpIQ2zZprz9KXmK5h1NQgLoP0xI+sZeb9tEhxdzA
Qi2lUx3mZqzyj1MLdha0eiuL2ywlxuOWxETUQxOR1OS7KcNcP1DLJ+22U0joubb6OpWfBrMqU5t0
W85v8AFAXhw8NPrJKeqyhTpgDIayl4Oon0NrbL9qzjyTJKCIzjnBsI6KjRrpBCH30RDde17cEslM
lrPwG9UYcmgfTVb5Sb1EKnbUvK9oyRowYouOYxSVNEUL4EJOQD71kTNrDQ2bKackpn7b2eyO+F+4
xVMuq4UIOEXE88VearPJsPQUtkk1Tv3f45SVXgA9og3/TmatjK9STpbuNfwRN4NkSFGDaGl1Km9i
o9Wtu54fPt8ppj4MtwVUA06fXi7IRWZPC9vBjFFtHmt1ZPy3Q23asDksh5xTAG2Gw95ujorPpJAq
9fc5bcanZBwscoHLkOvcw4GcQh+5nVbsgEGrV44rZiYu9kDu9Kkjsg1kZ6QaWXRMpAds2Vbz4rMG
QsXZjZ0aBmZdclZPujLcdXWKb4MHlj5HfFLeDqaoa+xjMBMgymNYv1tu3b3O1dSV1yQIc3zPDc+8
CscU+302Wt2NbQlQApKMhHLXWFAvNkg19Gc5aMi6KDCwMrRZ3fy0YNFyEGudMUgdlHR8PTmRDJWd
kfeQtUSn7vn7UNnpSmR95YhbzYe5G/NPpOXE866AcVH4sGxa6D6WNG+mNKqMXdVXentoF78TyB7y
MA6wZ3IAybOjxzvRZ87zLNIDqY9VfYD23N9U3RIhWHtx9521uRg2szaAopuopCibMUuza6dMICZ2
iZcNu0Svm53W9OrfRpuU+rFKl+9cqM3CvU4dL9nToZy2CZatR/oUVBHYNoT3kox3AO3WoAs/bab+
pz1o9q/RicocfO4439eymKixqVpz6wgyEX1v1q0vUqSdxXEZ8V8zFtrsS7IUfoBwIbWkSfrRPXCm
LOs7oag1ZJREHVUo+Hky/XKcFr3rQicmrF2xreyHNRfWje6FJIl4I4GCO0tN+wcqJI22M8E9POSu
MZvbQp+T0R+0uvsMPwVQRjkg7t0OCOi+gb+FfGgPptD9KcnaZqMZtfrcjCW821GjZ+FPgyrnY6po
lF0VkdZPvLgcZMWkVL2P1Sz6Tia9QmHAFAMpA56ZftUSiPk+wacsnpFXl98rsmmMfd0rE7B1u1e+
DeUM+BcaUKZpR2l1OoE9RsQuJOWQ2PltW2pgc8Ze4xGPrUkFu6zqvx0jrQoSdcN453Vj8dTqScsZ
tuq+QvjqHB9GCGnSk6GwMY85MnzCxzdkGxd6k7ltCZoEHTHayaOaiDDeSGnCK9Wn/jkuKfAQrEAm
58FLI/OXMJa46Zyx88EIRxSMNjtjqpeuBM9MMbK7nkxL+6VYaTcC7Xa6R21AWDZmk8H+oqHcd8w7
1Zt9qytqjYCfISZiGd7Xr1JmTsVhVSRfATE4RDSUbPq3SqrOJWuxOVXEpHr9t9DNNMLsIHgWKGrQ
Hbs9ropcd65nQxg1kPWI4FdIkdTOmFgkB+DCq76NuibAVBA6TPMkySPOZ4YEW5oVhT1vxaAw2Woj
u1rCuSNXZ54dLIqZYhqEjyUpsSG+TiE0zob5vA9Nr2BWTxWOQpZrBGyG2M3mbggRl81hC+V75Mpm
VUSFn7is24ji4HiiWdSi7JQB7HM3JAal9g6IT/KsgHaxfMtNra9jRuLPNiw6ckvMDHLntqs0CsRN
04v4ru/DhLBXprThNnFzcEISvDeJCaLW2XdldX3DXhG6bgx6VfMBgs9fTIMUt70zia73EyY9Dpmy
a4C7YOpa4pFH5ykCb0qKOHOqfvQseqnXpiAXgbjZqv0BEx2gtNMv2C9pSqiCpTRaSCg01wYMKqRC
+DGVFioylpk/1Go+FXeKErvZTo+95DuDMZ98lyVX29ocig7gv9Pu1DfwdXcuhf6SiYM9BPpULdK3
TlUX0YG0lXreQY0Oxb5rzYTjjuqUxCTJsW43qdEQokJZvWcqKj1KFt0oqpgdLAmunih0ddNEQO03
WN3zEZCnZpY7BTKS3DqeJHCnIvJDHJWwNL0TgBXyUhJCb3dFTKFq67lRdD/Av3/wioJA6q6pt/z1
aBoJbm2xiXoC2pTZWZO+VXutELta9/ppqxMiAcqnMftw62azre56a0qei74h2mUcZyM+5RjsInvL
aaUfH6CjtN2SE7SUjVrDuQtdTjA+skD1CVpuzjmf7eJ1vQSIHYyZeCyyM9g5bqWh9/eyc4xPfB7E
TAu6xGSKVxp0LSXv7rC1UsdQiqynwaWouwo8erSFPcbnQ9XrU0qig85YcNVvIX6lZOdBAsa8aSBL
AroG5fiQaCN/ekxLh57InFIJ1yoHhpeIE8IO3TyktEu1RHkQaZFELO6V+lMLk4VzS2UmPs2DzMdD
QvfD3eh9WX8YS6oAtzR91Y4TQzeBO9B77zolaHu+LgY25D6HX7U81tIqIn8qK+aqyG3dT9CGFZY/
9lPJdkaxJ6N7GhtxEQhOG3cJTLh460C9u7UAif+syZUi/Us2S2BIMz9adKkICQOWpFFbS3JgTb2G
7mo0F6u9FQOa6jA2Z50oj+Q4WAkLGg+ZmtLUfhi7bia5m7itpXARZ9cCThTkZtdm22uNzhUz5/y1
sfCybeaoxirNHm/oD5RUlaMcFxx5NXqCwpUCG+wffdyfkXDqp/JBiqcnCQpnTbY5o+H8fzJz/hfS
cBZJ3r+H4fyfgkyfnz/K/3r4UVQ/fifiLH/uv4E4aCL/QhIJc18FOrMQRP8FxMF/AKqVzpu5KL0c
tE//AuLQ1CEKFiGSh2KB6EBEuf8i4nBk+4tG4aIKQ+5mLprWPyHirNqr8Bv5dYhjrUUbgdpspUES
Ei2uafXOgz4DRI7ozNBGmuQuI5jnFHJmPP32jIJ/Ooy/B5gai/jht8YjZAok7riNMF3YixlhJY4g
3MBrirnqHx1vMkL6YFTQN0KDvz3Tddi6gwnYinV2r1JDPlaeGR1a3BnlVmPIX6VhT5xJl1i4pFl/
T0ZiTE9l3X0DdB4NGwdh270wp/w75dnsEIUaCQicHZWdAYH9NKV9+oMEt4jaAdmp29hmHbFMs7wi
LWavhZ+XEoRDfWvWdzWlm2/v3/uqs/xy63SWLZNTJP7fFz7rb7oGTQ+LkNaBfMxwNbA6E13XTcbX
WWjWhR72qqu84D8W9TjNeQslFjaC866yJ9VcGHDfH0uw4XfsOrSTwzF3GzrSofoY1dV1Bxvtgkpq
Geerd7s0sREnoRzCk+Gs5LlGHFcjQSrFo2gMjcpi52xzSdHTpB+xsSydzARI/74t45vSGX+S3jM+
vv+I13bnlzu30RIu5ixweN5KVaRCBBcmmWqPLNT6XdRAIRhd6W1IirirHG45Mjhh1CRJ7GN1/qiS
snLyBgaimtHDyNCS7mSmDAc7F9m3zKTgMIFeP/WVKa70/tkUEOOmWYhbQPZ/qJpFNobABiWgaiB3
QKe+Uh5Ec2cYOQr8h1Ql+yjyK+WKNLwLQ2P9wS8XIVuXC1hc7NUH31PEUZZkkAebnD87eZJFfWAW
OIzp55dX8UerxL9ln52vEO+tJf8L1wXj3XXhocorUk//69TmP8pf7e8Lw/IH/1kYqGj+pcHIQE+I
2NVeeDn/cNI0y/oLRRfmAQPNJi+K9/c/bG+L9cJZspeX10dgMV/1/6C9Nf0v1EusFBqDnnYrNv8/
SAdflp7fPmQ8AsjyGIsWnAech1gdz+cPPZemyJ0iCajENEdkOdgrw9w7QXdTriq1qXcFHShf7eEP
WlUvd5wRq6Acy/QrW7an979p7Xw2++fXQHpEAIRhia969WvIbRqlCXsmoJHgfA3NiqpmYY35o1Hl
4dMw5Zioqa7eWuYISxWmevRRbWzKT6I2ClxFyN8PNQezR7JbStItzKSBogkpt6JMWQ4/3/+5L4La
/7fC/fNz8Scgy8MG8ZqUY1B4tmEuJ0GuSmIcKtoij6KvGuJUgaMG7hTX7qaBxH0q2Y3fj5NVRb4R
wbolRO+OApX+qa/d8RFFENRa3pt4yuMqPCijHX6caKA86xBRf1pmPH+aKPM8IDS4J+tC+ecD/rdZ
4+Ybg2CB9TE6wcYjxjsfBFpMYZ/DShLYuPxPbkTQCjppbf/+4zpfFF+eFsOV7iFFZ4f/LL/it0UR
sZybNHJMgoKOxbY3Nfp4Y9NcgzC6RFnh01mPao/tlIkbnk2Pt3YS91ni1a7NDSlJ95z3YA9kqN+2
ChVB4Vmf/vy+2G0sqzDbN91d7XNAjlqGK8wk6DHgXEdQsdlpVFUwGnZxQc71xovyMGuxG4RriO9o
9X2w20rADIs0SMs42Q+LzGYGq3ph4XjzKmhn2XXicMKne/6ipsJSkxHwaJBHRbrn/yEAq9KVeP+x
vb4Ku5bFk4hgHW8MuMez4aDDsqGWoaUBkxK9BMoFe4Jd9Av3stqpLKOOs62DnJC/Br/xGmIjRzMh
RCVjKHBa3pZ6ER8VNrsbonQ2TlTwABtd3ziTi/6HvI6NgS75ghT0XFP+z0/QtcVetJhvOQWc32lq
EXFi98g3hlh/pigsDhyu5SGOI7gTc8L5fMmQkTQcLnxxbzxiF8MzKw2PGF7D8s9/++Io3oRYuN00
EGUXbdEmdZusauoLL/L1x4ZRFqMdWxlEO5wzVleRrs6/kjRQG/KXrN76oU/lFyUvt000XvgA3nqU
LJWYMVF3G+x8z68FlSyeWrNOA0l9hAK0JGeSwOhN49bxlqya5mY26fTnBSD194frG2uTBeSFGcVh
mnzBk549zD7uXPoabR644/es7W9psuyGBHVQqp5AjT6msHn1CPNFGW49R90V8wNg6h8ogzbjhH4q
c7ZZ9+v9H/X6BbP9R7vKNgKJJ3u888dh901MBPQcBx4Ohc/Ev3r31MfF4f2rrOIklgFsO6wKWAUg
pLw2eZH8p7u01NNlRcuQ03iZPwy2PA4e9TpQvM7RGZX0my26aoc30TtSa2v3YLwvcQpev36Ah4uH
n+G2yGhXx45BM4Ub9mkakBuYHeva4PhKCskuLxZMtVqae8R6yT3Wjdh//xm8HuRcebGDg7tFK7ye
5BH2gOgfGXgjgUzIaRK4xXbV7zxSBT4gt1EvPPPlTs63Fpxq2FtgCuOxQ445f7O6hjHcirhTjs3J
40wXD2npqNRyQ6SSRT62DiYL1kpTnBQiDuMyjOYLt/zWa2cXiu0Gg4gGdXB5Jr9NH/XEkduURRo4
teZdG5IOls2eZVN3rc6clZUnmsHyISVcaVPRTffdPmHto/Z6AVzygrI8fxoLYYml3CBCxEQbeP5L
uloDqTgVMkgSyWIRVzVNWwjYVbejEYkcIVWKvFvys6NrarA7G7R7s6FOVtX+kjHW+k2h9IEZ5rTl
qrAgiK/sUJZuqgiZ+RHPnY39qzVI1iZp3L0halT/RgxmTJ0k8twNAjz51enN8Z44YbfzR0uUNw0i
vXtn1MR9kduhJL+4nVAWIvl8rhFV2n88zbIzXr5E/s0nvzbsJYQ1mEWctUGl9Lrf5mw4Ww1LWWzN
hPE2ifHw/oh/vV1jA0DZChLLwpzUV8/ccHoX+d/YBoZo6iOQBYutrINIr1KtP16nuBTTFwYhoAG8
5fPXq3V1QyKY1gYJC/KVknFId1LV/k+ugt2euQPvIeWw86s0E2yZEZR4gG+DETPWXxQz6/+Tizgw
EDjvLbW21VqPSCq2UV/LoKMnus/nSN9M3pxcWIxez/vuUlOj57wsuuTMnN/KpDQ1TXspAzPS8x2t
mr+zJaz2/QHw1kVcHUcBPmzYY2swgTvhGyaSogtyvWt3CMWfekJ4L1zk9YnPNdj9cQpl+8wJZLWj
lazxnnSmLkjpeCxhsbRMPDU/pXYU7ebZKHyEz5eWkbfubDlcw8jkHWFfPH98ttNg/Z0MLqrKys+s
vqPeTqjm+8/vjQ8IYJRFxRfjBW301aguSk1Y3ihEkCX95HtE3m8VHsBmRG1wYTysaATLCr1wVCkk
c+QxDIbf+R0ZRev2xBOIIK0m8pXII9yhQdf2deeEt6EuvRvdjEcfZl1Dv0aHixA1xkPeVOnO7p3x
kz5I44K3/o3bt9kucTqmyEVpYbVVm/LElgioJFs1VLuGNpN1UefYeTDyXHjS2hvX4iyxoOhZrHTj
BXz120olazPKVWHJgFj36LMyiYxQ0Mgsl67lcIgrWun4CsCHmD2aAOrew1T4dHEturBEQaVbu28l
Ab5u+QXUgM5M51VFuXt/PLwx6ljJjcUnyGt6BbQrkI3U9Pi6oHAs4iEztz5ZY9JdeOxvDYWzy6yG
guPUekEVoQs0XDB7i9b+BzNWxN62hpj+vS5P0eCQkG55ygdHxY9iRoNySFuSTlItGn1njp0Ld76q
1b4MTw+Gg+7yOSxjVT8fnqWc4nDSrCGoKyhIaYHWwRC1gxAi7IeftpZY6IIIhkBcAfvE3ntmKQIK
QbXqt72UiIRRKrXbyY3hJ8VOTBZjTPkXsK3XScdH61J5GFa6dh8jJB/IoM21zKdQUgd2hWngws5o
1dr4537YCpJYwIFuWbjO78ct5xFui9cFSWO0O6JWUzRixOOUA91JhxCQTWGnT6lDDSps2/4qlFeo
x+XiQElzW+ymMo/2c0fCnahBvRqTTvUoz/VH4pb7XwOJT4slEVtuy50mlvWMWMgMXLOP9hXB3Dcl
PujTkA7ewcUHsR3itj0pOioU/AbYUD0xXFjWXn9gzJcmZw2wXSxq6zNerTodp2h1CFSlVfyYUv8X
2xYVCc/Gn5kNl2cLW4RnCsGKkxY7gvNn24xdb9qzMwSKmIxD3OZPDe3U459+i1zEoUT08l/IjOcX
UYxGiriUY0CpbdhWSuz4lPguISxt/pbzbSsFL4eNAGw1XNbmagtFoinoSs0egz5tnxLpXqXOsFex
lm162Vzisrz1ipZuG2c0uEsUiM9vKRxMKyuqcESvTTg8GsZpX2SITYhXv0TNXIEE/3lHLDcUPper
kUxzfi0vmdJwsrIpEJFV+17kJqcGtshebxCH9aXSXHlT1v7QEluXPq/PvnYHdyw3Vlu1HieYwpNo
A4ThUf8gwe4gnWx4Tg20MRe+1NdzLmd2C4sxp0b++PoIM7SwnVRW4YBErNpXCS32bYFg5v3R9MZJ
ictwRAbEvxR41qXNptAVp9B4Hixw6qPXEjvva5kp0BXbAhyCcFRxRFGHs8dsW+0H2swo2qMjah/C
jlbshe3AG+OOqhyQeApOLL7rMqEVReiUknoOhjnRfswKSD++6TQoHfLU8xGcyYX7X973aqCfXXA1
0BMVAFDRcEGJ2ObDNHv5gd5cQpqbHV1NaPo5HNXh11Kd1AeZ58a+H8c/owy8jEk2WVS6zKX/Tjnq
fEwSZw7FuxjnoMGXeZhRCCG2U+S2NKI/S3j870sxnqhakrzIzHh+qW5GIZUUwxyE9kwpxGtc3+jw
5JtD2156tMvS+OrR8oURtEMVgGrA+bUwndEGGqyZspNrHHrKz3hezeg6y4R7VOLepAQBVTZOCNKe
vVBse0Mkfmop9WMotPTCSH9dlsCbDTcMUCX9Ikq3579GqYVbEmA2BxOTw6bVeusTloOUFnfZXuEr
aCFXymnHHvWnEL1yYW/zxhTHfhILP+Zw1qD1Nk+j0i5TmrkBXr2vMrKd7VhUn1sjFRc+oJe9+fqp
/36l1VPHrEtTeUDdXNhTfhuqqaftNb3FqO1pUn6YTRvLSh7mHSAXAxVwHwmdWkRd2IdZuiNkEMpw
j5HE97aZVEvvyc0Sckv53qv2SqmLny4xex0wdwx5N3yh0NFI301vyqbCHd7UcdRcuKfXk/aLVgA6
DDAC5oV1q89y4rHULMUIhJs1e5yUymHRewexiZULOUY9keuokny1MUa9+ui1tfplyioVWnnjhtke
NdpMcJeHNj5DIstCNigPmdJrn9+fTdZz9gKWJHAUcoINBx6a+fkYSxKkT3NatQGaDos9qTEj1Wsv
MWVeX8WhFABeTOd6FgP6/CqDXWSLoaWjvJHe983gonOc4A9e+H7XUzHVM46YNIfAZLI8rLGuhUA8
2QgxBCgVnJuIA+2mRn/5SUlK56TYU/dw4eGt5wsDas2yf2K/gRmZWeP8vupcI7mgzdUAO77zU2Z5
Rry45kTKpsMaH/l56tABqBbEoM/foUs8EwYim4TN/6/WyMC0iDYS2CH7OPniNF2r4VctPbTkWqvl
uLXQtpKwuaRoOjK2P2hFgka0bmxkmPxpWAKGAtrALrv2byG06Lbtauc6HhSCLqrYUgk3nHuVFakM
qa8lmmjx/WAPMLF/4kfd1Hq2WN4FsYhFh518Gw8mZGIAitgnpRVbRKRaRn2bKK7I8N+P9c/3H+FL
0sDvHz+7BbgQruXS2oV2vZ7kuk5Ts7Jsu8BLtJjSJgS6o4cd7c5ssN8Zyicrm6dvM3Dgk0v230YF
EFRt6VqklV+YqXelVnP9q8TIkGyyuVOKbZEmcNNFVilfpt7RWixyjnoVi6mtbyC6zqck1GJ1M6N9
/TsmeRKDvSO9I6+XN1MMXhyowhaPRBHSZIhy1/a7WWTqJu1kbdx2ZK+Cz8WlfFV00ig3hj2pVCIn
Egg2ElNbs+uM3vzcdREql6hNlUORWZGLTJ/MPaIJ9OE2nhvSV2N8op/rOUUbXwmqJP7Cdcz8tuy6
ejO4nfWRPiAWGaLC46sJn0DDfB/OO6SYJfmh3oQHBnuNmK+VARYJOhpTftKzMiKetGs7149Ek8bX
rl2Et0o09x+ryiXIMY/U74ywDjNK3OGBKfOQtI8JIRNGPSceAD+Rmt0dLB0fJkMtqk6l3lePSZY1
yF4HrAmkC9bZuCui0sKqYNaHoiym+Ei2KFYCUYbis25yhMEaSCbvppiNr6GtIaVmchbu4f0BtJ5a
lvEDK5rqH8clEiZWE1g7FYne1XoXqJAjdhocwx3MZmP/x1ehYkZ7Fn0rssI1u7DOC9I+y5I9uEl0
pmFkyi7PQD6+f5VX/VNuhsvAzaGqxF7nRUDyW2klrGTRhUo3BXnbEkZiS0KgKT/6qTEPh8kZf1iV
htlpMtAAd5y04R23Fw5ry2Fs9T1afIZLA3PBtKwJJrFeh7AGwo7+qaZtS3Qcom/jDRXi0s8xIB8b
XHGIDJ8u3PqyyL+6Ll4CdlgGisn11quSvWMobkPfoCUHBTOE0n4peAyU+hXPey5x+j177EIyP3Vm
+662tWKPs9ALbEUxfWxzn7VyKLEOsDncTdok5MYdCFfF/YDb8/0f++Yzoi/FvMUZEJnF+bTflr06
p51JlGzfq1gLyKottMHzM6o5Pr5n5OW1JzmAOX+GMWZPygBxKdovqzZivDUIFTMeqau53QcdrhZ/
UFOOdpRw/3DjyVWoJYK2ttHR6myHz++v1CrpNKoyBIOrJEe1n83Yd5MZY0bBpuqbxCcKhXVq4meJ
pbbxwyacLpV93hgPfGg0HxEmQfFZF0HSvstFPikc5wd3PmrY+Q/RpCcfrZJw81yEj4V09Mf33+ur
ct5y42x3KfTTsQALtyrngba3wz7SpiBRvSPMkw27uDuOj4863fypUX0WwB99bm4zVwY1U3uu6T6W
s+2F3/HGpMbvoOcO8e+l33z+AmQjJBNvxJlnlOPJjXXzGiupeQWm2dkQOA37W49xGNVajdtLw8Fh
TQ4dIwUwSIcDrCh1zUeyY+wu/LBlQ7P6SjnpMvCWCYpT7+oB5VBotSrjh7l9N8Ipip9dhZJLkybV
sdWZGhtLYkDro+xHntrufq7wgciSDez7P+SN0cFXAEpzeVFM58s//22i9KoQjvNy6I6GDg/kWHYf
8E2rW5VkXj8yKsiSylSf3r/oi+BhdffLtpINM/X/5RM5v6pt5Wlt1BNHIpRBh9Duw71dZ+1hmJXw
hFSsxA8cPTRa3u1MGHxEWuc8DLoFxMlI9yOnLJAjZanRxs+aGzO1pg2iUXmNyEjZi252Tj1xLz8n
LxlORoyffOzdfKv3mnnVq+ZnjLHxjlmZkwNvHhtGpVzrklTmfh6w95VlQa1TYFNSHVosMtvRUMxB
t07GrZn05YUEiWUSePUwlg4xelcXztvqXN6aTpj2uTYHLYkrO7dHb+4B4NnGBWyFVJ/MCwvTspCv
r7fgdiE1IrF9UXD+/sobSYs+60KGnt4NQWZDc4DsIXdpLKrD+y/6jc+P3SglZ1TlDPSXaeK30aVE
+Mq6OVOxyWr2cZhj89B7yqUz4ltXoahNcxlduo3n4Hw0AQzV0srq1aC12NHqZe8ce5Xv6P17eSU6
ZU7DIMH5HUkszdaXctpvN1POBtv2NtaCMGeRRTGzbPoMNtUfe7vMvkXj2H+xvDiWV/gr4/sqGrXC
b3LLafZKZqqNn1dCudSJfOveqQfTm6FHQ3tm9SWRlpQYWuypgee5iEnw5fkJc+2F8+ArGRESWjqP
7GOozqH8XpepKhx4RuKUepDhecJg60VkValFgj0ahMpno0rjL1Rwp24bRlETpL3RcUTLEhIkhhm8
AC1EMznibSz/tt24vTPG3Gk3Dg5YzzdNYCIXprXXj4XfC08aYSPzGr2r8yGR9h5FtcmixKFOLKv4
c7fa1F9KE3z95VKPR52HjeGFkLsaeBz0XfAdlR44NpNHh7+Aw5Yhb+Y2j4/pMA/Fhffw5gUpDC8r
OXqS9ffEUhfNUzvrgR268RaaRbtBzKTtBo6W/giXcnthzK8rZ8t7p5X+rwuuhhclAoDVnaEHpTFt
IidJtxiErxLTuUnrJNlrQ+Uee0WGu9Qbwj0kIvNAwSbbggNp7qmHlFu4YdNV1TY/xozwqIZ2xam0
Z2U/Whf2Wq+nNX4q0Bl0e9Qs4Kiev/LStFJULvzUVsGizvKKsR/hpI9rLbtwqTdfw2+XMs4v5bHj
mUe6BIFnFnJLv4AKU25qEMumeK8U6aVt5Fujma/bxq3FVpny+Pn1InPCS6gXemAkZnSKEpW7AkB0
4a5ebwVevmzeACBf1bZXozmsp2ocMp3BZTU2sKLGCUo7S32TPcke4oGzQ03mfXl/hL0+ASzJ6VSj
sVstLrPVRUtV673CzYxAzobt4418VmvLfaTHbd+0Knw2+qnzjzABXfj+hd96h9AlAYMuEkSkjefP
1LDhxVpaagSjVSdHZu1pS/95vjOLnDb3pHf/wfVcJiQ+paUYva4PdrWFZz0ajYBMWsqvlpLcOp6o
/SI2CR6kInzhaPXG58Bw4cyBn4Z8pLUQipp3Mo1dMQccctjEpZN+cDvjCb9rduFKb4xOmpIolQEq
cL11sTCEQTAklpgDzMfqoYydW3Swl8R0b9wOYmCXN8VF6FatXldpjKa78ByDjqiWI3uyeDvrdGjC
SkQX7ueNkUEvBs01xwZak+uEao+kUxBTysybcvUPcqyM2yyzC+KzJu1AKTC/8N29eT3koZyA2cA4
r25tAYAukKIgTWdz73Bg+9Lk3XfFcLK7GU7VhXbEG7URwmLp7iILBSf/qtAzgVYg9NdWA7tWYVIN
nvhoxAXwqDCELKda8T5yG21T526/t0gzu2qHTLlwAnjjdfIbHGBky74FQ9H511dqspsKlvAAYEy9
TwAy0HNMjYNBlfXC431jeLJzg4DGoYAAkDUGGAqMtG2Ut0Gf6OH1NEYp9TyhXpjHXvUpWCmXJh5n
QQ8tANux8zsiDsct+mXHMTlu/RNOEguygXPegtBy1ap5fK3KaLjSYbr5hikTEBpS2Ru1rR8quypO
uZE8gU3XjsNUl/syQ/by/oT3UtI43/cv9Y7FhbUIFF5tk12RulOrFmoweV16jIg7v7FIKj4mbfJt
xMh1QA6WXOV58UWPyvLGmWrrUI/Ugcs6tb4oE8pxKVx0FD068Wawsp1SCrGVZUZp6cJG563xwVvD
evwS17iuH7hlA02LkNrAka44KIRA3feOuRzPw0s2ojdWIINOJbU6FD6oAlYncX02Qzu3Ii3Iyc3y
LXoPt6PIyztppy2yYE9bvFtk2MW6/PX+G3nrJlkRiCWzgJyQRnI+ZIZEb+O0nzVMHjKkFzp/b63B
Ouapdiml+FWrfxmdLLNLf0BHhq6uvjc3lDP4tFYPZre+q+gEHLSokH+zNJQPuZHbG2pE7caiD/Nd
Gyv9k9Xm09FwkgtzzxtbDOY5jroqaQ9Mrqs7HuMkIdWr14NIF8OG6e6uHFygS1RKtnNKMyuMtIf3
H/LL9Lka9vTWWTJc9Cwshctv+u3YVuOuzsbQMgIwHWLxXMT5DfleNAxpX+YZsKXsCowJnje3ykgd
dxNhOXvC9UpgkPaUBWVjPdNfFPFWp6my8ybV+2J7iv23wkZT2cdOBOHDTWrUUJ2Tlc9pOoyDX7ht
nfnwNWFiCgUOzc51llxbt/H0r1pXTHeTNQ4H4tQU+9a02vjKaShSbBjmjZ+5RXEdZoNNSxbak6RJ
YdXtNqlC8NW1MvTX2JP+L3vn1SM3mu73r7KYK/uCe5gD4PUFyUqdq1updUO0pBZzzvz0/rFnzoGK
VWha62MbCxszmF2hJb0k3/SEf+hoV031CB9NDJLUHSV/KmxNwkbYGQJJR4eG1tmtZIwSQAYSpRwQ
NLxiR9faenCS0ZulGFgqO83QEakVsuw7hDEdtSLCrfta1kGqQaVE6IuaYe6UjZl/VoRelF3kxExk
tIOi+1xMYWrDoo9+eFqVF4em9bW52odVoJ36xSxXZOXRzvA8fw1afmlRgxiSeCgqJ5BKF0fuRCMK
ccZaeQCec29MhXSDxvL0EXOL9qc6iv1VA4nRNej5PWeiJwwA4ov6TsJacP/+GrtwxZAIATPj+pZg
+Sx2Vz97B8ler1BizfwDfUSYiIbp7357lHkLy9BeycVleX6KXxZyZtSyFwme8pCUobn1ZD3eILH/
8puDzOR4DMIkEeEGjLkXrzLoMgYXTaM/hE1fbkpVt9wJx5mVO/ns5GMUA02wmUonw0xZtHtbKVAH
0ZOMhwHNNBtZVajwJDn70lDXjr6z451mFjt/ZiYTdhNBnn61vo9VpQlj4SE3IgU9pOIxFsfGTuJM
uEI4tHFFKxhcE0WilXe8MPCMCiTB4OiForqIWLVomqQcGbsHnZb00aiK3knKtN3gyfjDFAMNZ5ap
ccO+XVuNf5YBTo488O8z0AXuILYwnLen71yCPkW3K4yPZm2QpFLVCbY1ase3bS2Ek0sTTKBBLFXd
Lb3AaI9DVbEpwgnccQrhVPVFChc6UsT3amNZ39M8Mj6FyNHcd4gQqI7l1Xn+gcJKiA5PPGbeVvJ7
vd4S/uQbdKpTlOi8oKw3lYK/rVHXQ35V6rJc2kYB7MbleDXuY8loWttq9bx0hKRGJr1CZ35fTYVf
IIAzDQ+WZvmh28VJeNQFqzsmKRvQGRGkfpDK1LrDtTx5iXIJWx2ztmof+hyo/1jQ489RMEqdDSuj
f9WrqZ1svanlV8nwBlsb+zK1m97Cw0lV61tO0Uja1VI5fm603lfQXFNSvO8wt5o17+sBZStN+ZFW
vvgzhwJMVhrVcmHPiFILKYYQ3nOgBfJh1EK0EGCc1q9xmhwETiaOf9+D0aM0LIa9EMc9AnWW+tRo
E/pYfpjo+7JH6jew9dGYNq2Fgr+RAlKw60AbA7dqlPZHF0DbccK+8zd+JyvdVkRNrN5QMw/3kpDI
vjvlLcUUs6Rvb2RU0r1czraoWn9tlST+nM5qE8xNbglvbxVdUd1THygURp9Vs6wDB3E0LXJQSq+/
NGqNsLtFvIXp/RRtVavwDxhVx88oFSoAQItWuQs0eC+IYCcIcQ3g4tfsYM+ChHn1UoWga8QcUxc4
Xb09GrYGoUF4FOvAtwdLFDZSWOduqxbNpi5GzS2QRF8JOM+ru3RAULiYoyQMQ1ChOB1VFEo101sz
xoKORpzWl8Un2IOjUwpCsZfHPtqZyH7u0PXUZuFzea/Q0Z0QZ742aj383RQUTjQpC4UY2riwwefz
85ejPtKZXiv20iPPEWxQ+1fcaOhVu0asFXKXZ61cLec5IbG0Rp+SJgRjwoA4HbBNElT4EFw8SlHc
2oohTDucSbWPcZ7W91NnjtdijGxXXaTSLkRZ9VFCF+v5d68e6hUqqT3zwJV+Jo1iooxmZpF8NHwP
xw1Ugq91Of09W0Mav8hPkP4QLcwkbroTp2/qB11V6nWg0pmUNUIfTXfBVK1VCM8vOEbhXqN2CsUF
l6DTUTi5ZANomvqgqZV/a6g4NCSZL7geQgLvf7XzawbD5JnaC2jqbfZOR9ICJKTFKlYfphpCSEDb
Y8zGaIc+IUTfDn3PUm4VDmTd+k1++PwhiS8o/dA9hKy9uN+yMQBMGtbqQyVblaMLRv3iD6W6tXpr
vIr1vnez0cs3KLeumQBe2KtUumdkOxVfSNpLG9haHjEAKFPtwUvHT2Pc6B+MVo/AkGrBlRQHuyYv
xwOHS+Dqam7dDVJ0sPRk1wjBt/c//tupcHrTcslSt6G7DueUCsPp1zclFHIrpYiOwWgIbhYGPmLy
qfwFZwFhJ2aC7xaNKe0LqfJxj/GKQ6yUBlA1RXjizjE3Xhwpe92MzX0otcZmbCEIS17RHo06C68a
ZRw3EJ0eRL/G/SSMlPrKqM16rwONuELHV3KjDL05ZAfblRPo0rKiPkNuyglsnDUl9ULXE6vVtIfa
69p7baIkYBddJe/FRHhmWcGnhRyTEsTE08f3P+ockZ1+U2qyEKJm4zWN3vgiBOXaj4o0VLQHCBWT
g7NwehMag39Ix6S/zyvzOioSyNMRl4NPovX+4BdOQkaH8UM7EeAAIMjTGVWCDPnvgQC4C3PUTrKw
QGUYxTvsT8yvBvKIdqDW2JzwWOUR4FGywUqjun//Kc5KguytXx9icf5bntHi0Rfo9Hk60RkQGdvi
LePhRYR2BqoB4eb98S6sY3S4dBiTEOaJJ5dwmAFGRI9Iu/5QiakAdC5K4i+KHqUvGnfdo1aAvXUa
0Ux8pyka5QshkYQWZxOjsRjK4yxRGHj40vgGDg/btq9T7J8B3n4hJgL2h8yl3tglUNwCffIaZ9AR
BVcoproF5wN9+S/oXMoC5Le43SeS1NcocfbC96EibHv/Tc+RKTKJAI1vaJsMDeD0dH7LfCCarEz9
YRzo8GNvIxysurLuotRrt9QsRVukpxUougems7vHKQldBB62QN9zW6Otv9ZbPZ9rHoj8ZK42i8gD
LBZcLed91+el/gDmrzpmmfXK6dXvjSA1r3v0qVcCnbNcdX5/Fjd9CAIMsrDT9w+BO5ahNugPkhQq
N1qO2HEQdsFh5TOfnx+ch0DEERChNw0N/3QYbcaaczIbD2opaN8A9lOfGIOjFMrWvZwnbF2hEb4o
o1B/6FBavUXa/bqJLOEHzDcSAzn1tY0vo2nrinLqPVh4XrliosShk0nduILAmLfT6YkzPyx8cdpr
nDvL2M9IxLBozVF/6A1/Atfpy5sa3CVsx3pNg+7Cd+FsmRPrN2jUcqPFetHrYaEYD3GPlrVvWdJO
mKrelQXMr1ECT1wt7y236kxxZY9fGFkjqJ4jS3jeZ2X/DAV0jNEC/yiN07Cn7jRsfT/VN4kltC7u
NshRVbBwvaBfw2dcOFOphxPK0ibnUAfvc7oYah3HE2PQg2NfB0dZTLUN0q/lFRls4YalrNrD1E92
TFx7VLroWUGtYuXlzzfZ/ARYShGoUHxEfuwkoM7VRpPFXAuOAG3IDBEjcGiQtXhxgH5swUCvXJ8X
xyOXAIzNOUNz53S8WEwNf0zM4Bi1JRK1Zp3u/TJVna4ykVhiwlfe7zxnmsFDsMV0rmoNHP3peAFg
6GREgvYoGhHiEamAqEt0KAb8mMfER1omwBdlZYtfGBPbWW4LKixkKst7ugWuTatdCo+yNwxPI3ZE
tY3DeqLe+qOA24iXJcUHSKHglWO5QTTc73IsDAIwjpCcfD8ybVXu+t5W1HA4NpOuvKZB74uuPtbp
faRUWbLyyBdmhVYTsGB6e8B4loeSbnlamONIdUxZBE1F6akLQ5XEG71svZC/vv+B5m9+eqqQYoA8
JOVAioQz/nROKi2YtMb0o6OWWKMN2CpyZa0WHYuq8u6fGQrQLxJ0c8a8uNQSiuoow5vhEdiaieVB
Ht3kYpBi+VbXKyv7/P7grfh6Fq00Tstl0bWLS8GvMD85KlPp7yBzYDKnqr8rhTZn/7+OsqjaCWhH
T1rEKIGCg0grYp7jWVjXiKW0hVYzue9/v4sLg97AHPVhSrpcyuLQd4bZidHRGDX1qWyLyenGEeuS
QLCu2j5YK9Fd2jowbA0FGQmqucvOT1CJpprgSnWUwfxt4ZQ2+O7owa6XCaW02TBoDEv9n3jJub0M
KJ6XpLBwuh6NMfWxx/Gi40ya2eNsgMMLeLpNEITfcyVai6TPw3gQ1kwjZRw0cFgIp8MFmKMFatPH
xwjLLdtQsutmEJ7SUv0pd8rRGqIbnAPvhjL7XQUQ1g5dHjJ7eZaWBXq4GJgiiSYlnIVey+Ee+oay
KdKxW/ma0vl9ykU2q1ySdnOtyosl2mRe7QUiZSo0TeBzQKhqPuN/aIl2H5OQ2VMiaAfUvzFBanSK
ny20TowZOnSGQsSHkajrVfEVU4KHYJr63DG8qdY2Zh9N26bDVtBG+SFeK3NdWOhwPNi10OFnAc/F
mTTgqzF5ApVho0/nFn9T7kI9DnfxFOnOCGNz5cS9cAYSVc0EfBqcCoDw07mALpiMphdRVau655By
+CGqu1doMWuyTxeOJcDm0NJnGBFDzi/+S8WsHDwrLTojPfp+CGU6j1SnkY01r/oL+9ac+8SzAAtF
HW1xzerpKKl5q6ZHJH/osomC7vZQ15xct+JNho6TW8mquXn/cDoHX87IF1IPIvdZqG75EdOhGjuh
9bNjL1WmA6ZyDlkG38Y0RNyZAAx2VZD3x3RQwdrnKLZFiaW9FPKUuaTQmq16cuRYFv5ToQIZqmrN
8k6dVouIF+baJLScu2BUbuEOnk5B35qp7+tjdoySNr42xYkau4h3SzGYzcrmuzDbTDVFQppVFCuX
mI6mQdLJgJp/lNF6cqpMiG0xqdPt+x/+jE/LSQLREgQCt8Jb4HD6RqLRS2gvxfkRQpMKYFzRrjyE
mr9MZfe2q2ml0HO9mSK/21HYybdFLJe3qJJSM9C0cltMDRQfoXitijzcAp7KNpWXDNtuisOD3iXP
cqRB9ZaL6bsPzc5JBDho77/DpS8FRoHuKBJ0RCOL0FvoZ2XIzswJREWJU7jW0cEI1jgmb2iyRawz
i+WQ8c08HtBgp1/KhwIIyM8qjlmjxizHqAt3RVog+YYJnpK4rVKE34IYrrBbyo3yaRr9wrB7bBJf
aE1Ix26Qh4+e7BdP+Jzq37xsrOutZVTRMddk7zuUOuy3dKLNCi5AI2FPYuIP+fufaq6Cz+XnN7nE
03eYrFIpwzwujoqaz0IIDY4vU51az+8Pc6ECAeMJBWMQH7AkidtPx/EtvcC90gqPiuchr9BjsUY7
Je7phtVU+Gt8dKVNVGLlPWm10w79oe7F23wy9u8/yIULmgo1jVG6LJRRxcV+VdAaYEKz6KjnBcQv
/EgPkaZ0jhJZ9c6a+p9jZmxbr6k+KkOWrCBBLnwFAlVSYRNsoo4U8SI8kGLczaDkZcdKwRN1avDp
VALMwOAU6btIkTBKLBQxcjQxD2571Eg3hd6ZO0ir+A8HlbbJVCVf0em8cKdzfM28QfhSQIKsxfUI
X84PAoXCnqEM/ktVxzhkKKC4nkcsiFJbwAPStEWMBtGuU8PrqKyUPVaJQBtaXxK9Tcjv+pYYEmXf
IYyglzTl8BOnaQisUeaJNPpEUVzraLwFbqebD1F26gk0uGk6IN1yuqAiLx0S2KXkULVaPSploH9M
/LkE59OgQDcKwcncJf+wPIyxjfLAjBQ7VKlDwenDAiv0UvOwHy6zVv2We6J02/ByWzkbKvbZIHSz
K1obQQb0hFxwas5CaIx6KwPdH+X4oRNU2DlGIdTP2DjxM3iCZo9ma4d7iDpE9+YYjqZbKGVfbCR4
0bHbWNF4i5mZr7lUOQe4Pb4JdaC2Mkz2vELQt0oJPHfTm3WIqSO+7IU7iaVBrQq00kHw20C8Eqag
3lFYkFO8eszsqEuVCl64mqofJpzhgqdDvIws0Gki4w5Vo+mh6AFpTNqkf8c6SMchVRWqD20jt7Ej
i0H/IlaGGjugP5XILuo4++55Xf7cJJPeb4ios31josbixLWnyTB4cZNxVAHnIXsaMIu9CvtYb6li
4qHpSJzviPZ6BriTMs20YxNrpUyF1B9/xPCPSme0ajqomNOjohAnKFHabV2bP0e1oCm7stXProF5
q834NiqeOsWfxcJWBFXDXFebjnoZAyHiPEA0sswLEfsa7JJgIE8GAWA7WdlOsJJe/BgBdN12coYK
IEgRCQc0YRoKu84r5VUeBu+Dhg18S88l8p1qwo3Rxu8TCxsiPvlr0U1e48Ci66/h3YsQXpmCx7Al
qdu0vio/h2YTpDZGBTDFVaXS3WiUhmt5aCZYuUFVMnQiK/YIcO8lzOTpUy4mbJzZTkpxvURMHiQU
tmg2NWOMgaiH/6OT52FWbOIBa3MVvVXZzWWzkd2eHU8MZI09FI3EJLXDsUl5HsKsPjQxOhg2gpzp
uNOibuzsSlXpwwxJg0kbcCzsoTBZj51c6Sxta7ZFJ9kCjIkG4voIzcbACGyDdV7qRnJkJY5SosVQ
+lrwwyv8PAQw6QfYnCYYyl/B7cOp1YuU4Kc4Nf5nFD6jJwmDKPO6rHQUBIuZqaAqwijadDesTZ9O
4NP6JEYqXlDS6TqGNJ1h+K6rz+jaehyWre+/eKUPCb+XO3hyvRHADheAlzuCUHq3QZzG+Z2P72yP
N4kmdjuMqLVhO1V5/vT+GjvLh2gIzoATTo8Z3SMuIo0g9KIE9+j62Edm4mhFgQmQXB1r0a+wA0Wp
VEv6b/WgWCvF2/l0Ozn94CtALqNvTdtiFow+Pf3GiBgsmsbqWMSJ4uQtksq5LyPD6KnlrulW2WYX
3nOmrlNC4hIno1m8Zx1l2KGpHuMl3nWb0H5rsQsD7JteY5W0Y23lm1pWfjurJQrlHYk0aTXS/VwM
K+u+ZE5yVx+DmRE9C8VvMN5dw16cxfC0BYwZigpeiTLIMo7DjZ3tKabdUSqN49AGL4moWjc9Zn8r
q+XCQIQ+OrVDINOsm/nnv+RrXoMsji+37TFHGNslaYGjSUtgG5fVWhh/vkCoiYLBYolQ4qf+dzpU
L4FaIH4cjhnCww5nwrSBWmleG2NiOMOMgX9/I5yXu6n3/jrgIumNlBzQUjsMx0kdpI0FZ9CxRqj4
SiwjfsFtuJMArH7SNK7lIogqm8J5vhLMXvi+GhogJGTgKSx0j05fWjX8qMaqcThaSvYzt7T4Nhsn
jL7Yvisp/jkMk9clq51jZtYM5YXTofQqikutEobjIEv5Tkj17roSxnRTqf14DUjCdHCNjR6z3Kv2
Pg/tAE7DvxBzsJUnufTObyLbFJxIQ5YPMowRErll05Odq/im9qW2wcond2MLa6GVOb401gwpFNmU
8+svvi9SMKB3kmo41vgPx4n/tTfN8LksSxsb5h3+Zm6s+LtxKA+gIK4BVn9oWIZ2YSgC5p6jCJtY
X4nnLzwSEwDYkUYiRZBlXhG2SmhO7Tzl+pDsEJDs7/EPFq4qmcLSSkBxaSx2EnkxNlEU+Ravb5VJ
N6rUQI6V1oBOw/j3KeqxqUwVBKTe/9TnvWkKRzo9RIwxIKaBc1msL3BQQuCr0rEHxUv+h92huFWJ
vTK7syy4fmEfFQKGpikhbzorG34UBUm4CesBndyITybbk6HlDyUXZ2+PrYffBfF0NGupQm9ovFTZ
gALUv00QRe+TkMvXqYb+5zDl8XdunXbEh0+YDvB/uZqNAWza7eT12W8Xy3hRnm7ODt9kR+eP/suZ
qA55p/ijPh41JVegixSTHVDWeqS5UK6kX5fmj77sn1ArqpiLPSt0bSeMsTAerRF/xmxW/gvSFMb/
GIxrW2Wut55e0LwWhKq58UjtbPaK+/W10ILL5UlnLA37UidvcOdRBR3d8wxZc0UIbmHICG4Ms37P
fNz0spWvHAzzCIsnMGZRKTQHSDQBLC2ewBK0geB7PNYJsH+0v2YXTB+9U2Hi/6IY/5yIeWYTZ2Kw
+P7qvXD5zLc1nXBYf5DJFpcPXa5JC9pkOmrkNbaa0gOs9L4kO1IZeJBWhrswrzRaYTxDUAf7u9Sa
K7EF6wxjFI8W7B4jlMuPSqo0h6GHiv7+i1049qFuzVwnoi/ST2URkLRpXU9FkmjHCTTFR8+ipx9Z
JlunLKF22R1CvodcAIdgZ3qCnIs1WQMOfljmglWtjU/vP855gjOj4ikBM7/UBZd0R7X0OwREje4Y
51kMubiyHKuXfxurgXb5zIim1jWXbpZLOZOtsCzlkhqqGsTbvqt4Z1mNDlJjlpu4a6SVgsSFtzIp
jmhzPIaA4BItQD0eCQ6/Uo8ioj52n1EEq3Kr2b7/7c7X6Fy1A+tlcY3PLevT7dEWdUXBvNaPWaVl
VzFkmH3rK8GOPGLYj50o/i66ifNgrmMDip9naqmx7dVlMo3qqB/prEhOSly7acU+cjo/sfZNOa6B
Mc+3P+Qf4E00a1C/5H9P3y/NfDQhpMA4StYAYxRWOnyYRjj4JQU3aapqZ8pMYzcJwY/3P+zb/Jwe
PFzHb0BFJGdVDsHTkfWgQUak4svilNX/VFWCal9I8CRrhY984vqxoFPuhrUJ6l5MIOUUke7S5lU3
iCSMd1KgJY4VKd9qIkSE/oLsaKJnvPUaQ7VDA/v3lec9X2/cPiRRnFhvNNvFQVnHWH0NrWIcMbDN
Njp0Icdo6+jZy5FtE3vUI/EOD13SrfEmr7OC7NgPN1JTCG5t6IUdwMJ34h6UzvsPdv5coChANcyV
Czo8SziF1/E5NNzoHz0ZMDyxtOxECFauXRPnNxUUdE4kRFgYA8+X0+kCn9VrEc3sR4HK5BGXXIFM
HJ905GiKpn/JB089GiXlA2eir2JuIx9ZIScMJSlH+q/COJxEJr9PuO5gYgWh+Q1Lqla+MjFN2meR
b+2CKAJLhndzONpDEfo9la+6nNxRs5rjWGq4i+kZibYtalGl4hWnpZ+QGZ+udT2rcNaeAgs2BEB0
e+49ThsjiOJ9ZFld+mzg2IDURVuWsZ0YerKhaJN/tlq4/Bhkx49cz+kPww/VZo8iVfaxrFQr2mRF
KD96k2FsyWjSF7HMgwrJDg+3Z52XeQVvIE64hufTs6zE2HfVzYjWhNJX1dVQtJW36aVSOgD7iH6E
hRSJ3GxJ7DtmqlYlEnZ6cV23VfSzJCZF4Vz2p89lLuv3Udmm2G1OsXKXyggP7gwDDxw0wYfOt1tk
92jreEWQ7JI+65wkSHTWVUmhFdzU0GzkpNBuBN8LQGoVao//e6TH0sp6OCuQU1UgwGc1AJqigKac
LgeENdvSSJrwEbN0/97Se9lVUqP5UqsCki5K11xVhqBs8pJ214Se3EqMdn5sMfxb3Y4OF43NRegQ
TjjUqB7GQFmsfEmHAPJKEOuO0eO5XitG+0DjZLL7Dn3T93fb/BefnFoIrRIkgSonh0GJefHeeohn
TQuI4JG2TnU75EbnVoEuXUWUxbaaF/m3BP3CyhY/+9gakTm3NzsPhAIZ6+nHFhK2JdtJfkyrwP+g
m3zdENexjV8l4lbLY29bYEZmZ3GR/4CpW67cSW/hyuKlwUYg8Qs4Er2EZeWjqWSp5wnUxynQAaMN
rakJm0jW+vvBHKU7KQoo9nq5WCi2rvotkOxOe1ZqFfFgMy87VPSrvL7uyIn6bZdl6l1l9Sg5Zekk
9m5BeITSJEYKVBUtL9v2kV8DqEWqx0Ztr/U3IDKxUVdzbNdj8hmC0QnJfVeSsgJ5MkrimRNVYO7B
HZfoFfpGw7X1/rSfhQF8es4//oNVGJo5i5xAb6KqrwhuHi3KtIC1rJTqSD1ti6rPNhiBhO77452t
77mA9lZGo7sKZmN+nl/SHR/xbYwiI+Wx1qv4Fo8jSrGaZyYfSzH/EFei/FzmvfaMGWK9Ql04u07m
kVEcnNvUXMvL3lOlCHUtC6Py2FeDaieKkDgAb9YurfMImWGAHaLSy8ek8L74oKmVDr1clMpjOPr5
VWgleGZqabRPYwpPUTP5SP/J0Z3E5H7VxviL2ajhAanqNY23s6Rgfg6SRDJoIiD6s6cfOinUNgr9
VnmEUTF+EPss31sFPb6gEfxP78/ppS/761CLUIuALlVVjsvH1KQ2ORT40xMWraEdz88K0nMCcIp5
COgCLTl9odCQRMSWWv0xGPFxjsUwPYAcV7DoHLN9WxTSlS8rWG2J7XQ7xpK0cj6eF/gANVHqBn4A
Zp7vuYgTQrXnrtc99bFQB3MTmekuDKLEVpvyGiDrc5eJd/XUHfBkvu+McG30+RuenlSgd4jXSaU1
na764ht3vSGITRZoj9M0TLdtLClHVHWD2y5uJhcZiv46TorsLlbE9GuVJB+zPJyFbKtoLVqc74HF
gxDcznwxpoGa/+KeqK3WmIwqFR7FiuzBloyeRjb6LM19xc8e9BSXWLvMhkJxTFTufvZ+u284ZGGU
9vXoTE0RSm45WdG39xfh2cZT53okJC8uExns2XJ+6tgHgQ087Ci3o78bRO3G9Edlb6i5kmOdk45X
SPnWD1oMdKaMUtzXhTh7qX0lXNsOy60HQQpaHak/NTlCyyVITDKqMNApNh+zQi4DF6f4It7IAZG7
FZdx5kA2oVWhIYUy3ViFEEDmT0s03HzVar6Y/FnPHdBnH0GwtZLiToqZzP2vXg031YQ4ky2qtc6x
CTIYZdFsym48I+kNu8pjYV8lqva9BIl/Q2Ohr+CEhvWzyTXa2vBIit5GtLz7praT+tkSi/CmzEVa
CwrZkuXkGcw/J63milnkx8MnUxkbIL1Reo2BoIa+VpTJNiFbIbsV+YuAikkxDdR2kyyiukK315aG
NFyzpzrTWZmzKAIF2JrAXM+FgES/yaS+KOMnX40r+TBMQG7sJvAReQw7s5Ztzvv4tYvl5AO2QTX1
uilunuSmVfYE3cm3UIpUAMmUiCkWRpYfOAjyUruQcN/5ubIO53Pg1w3Cs2I0ApAArjtwpWU+kUxa
XqcRzwpBF03L2Ewap+tKaZcqYrtT5SA/BFKe7uSoip/GWbsS7EXnSn0cO1Q910RVpOWGxcuFpgvI
k5mWwf23iLFQ2g3HqhTkJwEzEUTT95SkN5L+NTCpY9T6dpZzyfWXVIrutIkvl3d7dYh/M6rmIeAh
YLmKUA6Eize9jl+ufZRWtFbzZPEpyVvdgYrJDEyjvusIt6/SWiztogj6rz0a0Yh4rsQcZ0Alolqq
nm/8Mm5lTtDTq6NpG80z9NR4muSHMLmtpfucpqyptC5Sle5srKaizhtFj3pj4eT2ZYTwpaiF42u3
qXEoK3OjZpJtyZ+jLNqJabVZWTLLFPTt+QBMcr7Pz7e0RBvMfhBiKTGegMfu0o156DamPWwC+/j+
QMsrdB4HoQraF6xOqniL76D2xYB/EN8htmUHVRSnsyGh2Gsx3tlRvBxnEeSFild0vc77iI5k107g
IgjpbiIbaMif6+rfTvzA6zfX+O95geCKj5Hf6S//+234nSg7/9n8t/mP/cdvW/yu++I1e2qq19fm
9qVY/s6TP8jf/9f47kvzcvKLTdaEzXhsX6vx8bXmUvt3P/v5d/7P/vBvr29/y4exeP3HH9/zNmvm
v80P8+yPv350+PGPP2YtqX/79a//62d3Lyl/zMm/5/Xf/sv162sSZv5//duhTl6yH/XyL3h9qZt/
/GHpfwciRBXMAjhJcjl3r/vXv35iAhOkokAXBEIHCyLLqyb4xx+CJP2dnj5/BogLSN6ZMo0c1J8/
kv/OGuIPoK9F642y3h///qAPf56Ef06R/5r/9eu/ZW36ABKjqf/xx9vq/uXABBEv4/4zS9CD4AXs
ujigMCeIkoFUfKd3qa1115G/D6trVNjS9NBUro4nAXpFGTV7FQc4cT80e125RjPMHjMF8slVRgSU
IPloI59VhOj57sXeUfSrysQIZKNTV1OdunDL+qmLdoqwE7x9BXLXcLTyJpVn9Jkb6GiwXVXZQelv
PP3QBxuvdbTE1ZtdOlwXuB7kWw/VrPFDWgH2uQ2ujU/1h/QHmvI/hxfgM+rdCEA4eh7VQ+qtwTnn
/fLeF1rkFDJhdeUFKmJ+wqb+Or4an/Ov5VdZd7TP4msX2MY3qXCNb/nX/Gv7mgV2HNvTtwF84RNs
EG/bjq9jCDCGE8/OW7hm+z66bqPvegxgvdxF022tOGO0HXOwMWhEIdn6nAg/CaIxdAjsIXrox5Uj
+U1P751XMhfpiZEUteL5THpvfCmqo5nsRfNaEz4WMgxg+276KRzNL+1N+mH6FD8rGyGx42eStbJz
cG+wSgc1TGikxWPv2SMyWhX0arwk7JVS/OpjLsLu/0uPqa4skGXj/19ggaydCkviyv97p8KFOUdn
iGBmbv+T9swFvV9CqlRCWEhPdWUXZqVpQ3FMMLqgEO/pbjw2a3yEtdEWh/T/4mjLiG2+E5AWRSSK
8hRqBMuIqFKn3Fc7hIVbR9+NDm6oTuRGLpvesTYc8c7EP5oTunDkXd/VVo4n4vTzI/fXB1gGrGkS
T4WHTOtO3fUblA9xE2qBmdp1gpyUrX0ZneYGHGUDu/OD+TL88LCX+UhSgq4//xUaAIN2fFU8wQwq
IUFOOyh6yrfwKh0cLKPnXvTH9NU/NrTCdMfH2fejcKcYdnMdfhQhRxo0Xmwymn0i/vULtbAHw8aT
qY8ATUH3s41NnNvU4uN6EzV24zn6B/+m+RmkrvBRuI0ee2zYaVFc+Q/+8/RSDGjpONld73aPvup4
iXPj2e1N9UlPnCKxb4zK1r9In+ofsBrux8/9te+mj6UNXTJ8RAeAVpSo2R+U7UAyXTpT4uRYz0ZO
H2ynZ3qhgYsua/gz4Kc/i+/Z9+J7Fdm9P/+rFLZ+90O8U7h2Z3MRHthRio8U90GRJvEOeHGFiBLm
I9hifJWvQ7c2aXvac93zqdl50IUBKlwDpF4TYV2f5sX5/v+n+V9xmtdOk6UH+X/2abJorfx5mM0q
nEhRylSf57P1l5O67AbJDMZE3RWy/9rLKioUZWg3Ro1XF3JpjqCoa/n22pCLy+E/Y8hl1vfna8KO
pDwJvhNMwelrxpoclwAP1R3Ifmdwa+fDZ0CXd067UktYHWgRDv/TA8mXLj1MfEhKKOnh27L4iqGc
B7JZl/hXeJ7nKGbe25mBcxroj70cDsO2LgZ/b1jwqxTkMbcClTG70mNtVlUwN7MsJ84UY3oYlaC4
CjA1cVRA6yh4BuVWHzl5q7uyoLOsmxzJkRdnrhd/GGQ1QfCtWSPCLzF1bxP06+ssJiirYz2swkjd
WYqTOkGP84szkTVNdomWk+kkneNnbhK6XGYdYne2+GXAs6x84OLwOpvamTHcZi9JahuAd521S/fi
Nv31+Rbz6qeJiIMDzzcS2R9QKywOXoKElhM9VffmF31v7uUvBbmBed9/626HXXUbrnQE16Z8KXD1
Lz7l2uJ++z895fOKW2SBxHb/scGWiNI8SDNRFgjzypcSdRjYXy91awMOdH4pjlyoMawtrWXX4n/H
0lp71//B3pcuN44c3b6KXwAO7Mv9cSNuVWHhKlKUKKn/IKRWi9j3/envKY79jRqtTwjbY89MuIej
lkRSRKGWzJOZJzNn8at/+l6vtYPmk8rbG8hgA/L/ZlKr7oIkmlAB1X18FOnNzYU05Onp/nRa8Epc
F+ez68zEycXMUK+QX2dcX26bFTiARFz77sVrVi/FqlohvdDWKQDyqiYDcQVXoSivRIDttsU+I8/P
a2YLrr3W8SQi6fuCPKhEJxnZow8XsRZBvTzzzF/l3/uJmcuXajDDEknibo5YwC3kn480s6PlBAcp
sGNa5lRcVRPNUG7oWKzLm0qkaDFqIGPs3lgtbMiFsVyjje8wAapp/NvGsrRhrvr23Vj+2Q3zod5+
N//XCn/vrqMFF7giU2yYzkFZM31df1lByeSuaqEogb1Y1W1pva+RkXfX66OyFhGlVN2GDV/TgVk3
yR2KNmhg9AQsCBn0HYgdjUEiTwmppdzFHZyHtGTI0EtgLi1xLZZOzHUh3g3odz8xiys2Cxj8qys2
r/E4P6FzJnOtt1YXh9ghWUpzV4RZTH1PVZn0ptAgRi9UJixVLFncJTNx+W/fJYuTMJOrv8UkfORA
BBsYhfF4Hp/1QzqPEsXS1INU5zL2JSdfCqd3d19QMpk9OhEj3y42qVnNzJsneqxthXin0x7xfTIy
bzPSR4959xHxPheRYFZ/gA7eDUqd+YiTtjFRwBqDEl0EtxkUDdWPGhmc4E5325F0LOjwW73ON/Ua
B/lR3yHefUSk6CveWVDBG3H0G0chZ8F5LT3lSWMttTyflh56LdrmvQ/j5OjbxzNS/w+6jZ5VRPFW
SKOkJtNXcKTRwTNZ6DbEoPiyG+IeEDV1hk3gfEO5IHuiNSvsb9VGRePAuwNcU4IN7Pwt3/lMPTTk
m0DdVewadocJ1Am1nxoS4+Njar6a7FsCbWfTiqxRV9EJXqCqXy5u7aA1Ld6Morv060HbkXR7MJlh
a/bKgoYyaIFx6Cwhdu00RFx11MDTKt6B6gk0dP1t9hDikjrTbo09d5dJrrh6iN6ades8oIfdGvfz
NaZfdbZ96tnD3iQPcG/Rh8NtSl10Kd1mJF+hkiuUsfuAl1Bhn2jrNWKSeLuyTrjvTXTQ2Jis96fj
EQxVAoog0e1NbfPHI2qKk83rcIMmCE5LK1bbDdu09PUsQ/SnBCXAWURfNfwdSo7bFcu2Kemcx01L
dskKnGcGBcF6+rjbRKuKlTa8QzfBdpNt+YcVrHKCVb/uHkt0aCBFTno6rqNttGpBYqWI/JB2HVE0
GzvIcB9G23Gt3PDL8hH61MfXGU2I8YjJ6/5Jc/0bkzx7by05n8UjeM4DEQkptyhSiTku7JqJj/ZT
vGpsnXR2vnqqWct6Nq17x9hhmgU6kNWFuCMZiZdRr8f9LZwEDg1/QFq/ns55+eKiBT0RCY2qq5Ha
TnCnuIGds8rdkNzsBjY52ba32cFwkdi9fqpXtrTGEJ3RsSlbQH1LkmKeA/cfkRRL8zPjJFVNWTao
W8Dnh28qf2fc9PYOpUUR4v4isYlZJKXr53FLbcXFGciI6FwO2/X6dFyYnmWhNYP5P4XWT6H13ym0
Ztjx33kol+TDzAH775SfqAL5gTBHWEsHz54ToOdxO0Ft/ClA8R3opopVTHS5fqztzumc1m7tyZnw
PT0PzuAg9kT5a+O6hJZsru/jESn+GqiUTv6crSRHcsz1xGQqMc2R7YCmdmyHdsQEu/OM287rPIHq
DICGWfgeAlFrKGNA5JYalZOdWzZQnWxbZne2tu7s5wuzmGlzTYqaPKveFk4jtCgYak6PZ9G8kCFO
A5sdiCEBqoE03UckIPfPCn0u8Dw38QEa3G8pNQ85tONt7B5uVdYAGHXkNqdbuSXx1tqXXxV3olto
2oxsD9uHJx1OgYB4CeDDOScWma5aG2r6dXPWgBXgzzAIEOBINXJsySufmzc+oNMb1Dde7/E6BxWv
r6+Ihq5pZMfOxUncFOBVJaPTOoXNpwWkzPuSjY7upKxwOShAzhNL3M/1NtZzYa1nUD5EIbHsUuXw
/GP1WsxeS0188ZVXoMr5Sm46xiOcfBnVdW8Xq2xlusVqYKOtOCJCjzKcKAVQeGijS5hzsQMnwm8Z
/OupjYRzLLjCDCfA8vPnShfNSOHMiJzQrmmC1/FuJ6ehPXmpG+PVwYt3sHnRJEm8SXNAGtGZAEFR
Cmg7PqJVMf5XbyS3snunXk32yID0fVsmsjPYyBAAmi6AwXAzeEgYVWj7uA0dX6MN9MYMIO7Sbmm6
KW3lRnclR4QjKFl1TsHQJAYIXMO2N7EyudNQ2SsozcCnsQOPlHfiatorx3xbruRt49LAvjDwZWlE
JgxHWmdeSAjguV26mZPaTr9q9s1edESWrfFJuyNDnhUN1mhfR9FNAluYQ0+0+6EJgCSAIQ3PHX5P
7JwN+MQO0WT02aJossEau8FUbOB3AgBFfz7btHV8GbghgHZ+eOAY8IyttQ0dzwJ1Tr8bb1qHhKvL
iqI2khssbZ9FUTFzWP0UFX9aUYEMs89FxdzY9VtViJE0z51jNQRFbYMcC4E/OP5x+Jti8HGWZMgI
/or2iIITkA8SE+0RJ9B3RTqCJZGxyEldgX7tYLBi09qrEPVxHmuYAy2b7JSF2M8GDmFCE3fNsl2z
61f644D9rBIffthpPd6AdsBwKi525oB+zu0LnN6RIviPj1RvRLKXH4PbhiZra9W4jYvD5ygu2Fer
YJ+vENSn5vXkQNrZn4tUlLRYmKdZRKPqImTD9pXqKnAJ8BPdUljyu55y9dja2tfJ6VgBtTg52mOy
miCV0HuTKYzLSf7QwUnVaesmDDRoSEzVTljtRk6AebvgZxQR8i62z0DCx/eLnbuXdWgnTu2WrvTC
ZW8MyZpBvkYsd4MT/7sU7BT+3vAYQvmCUsfKHf4Osld64Z8geZFT4u8DhrWxU+ozARPebVKXv+uX
d9bf+DtyPAKH/3tZJ064lrzSxXdcMbRLWrspxh1iXRIHreXxb4yRxXZqFw7GhHvMoAXQjAEj4FLf
ZwHuI3XxtUtdfj/cc3FZR2zycj4eh3/HOHEnOd7Fr3z9uuF6gv8dhO2+81KIXC52DQAIAw6FkB7i
VQrMsEVHQOCHhFhHbV2vktvoVn3MVxDf0K3Nvr6T1j0bHJTwc9sryBlg2XMwg2QCJrHWzbAKKg1o
DC3X2tAYkN8ocuTmVxmds2Y/2ZDulGsXGet18fh+HLAGIk6Jbxe0oRUVGWqq3WpUQkAhZoEtHEIn
dgI7sBmqSQOcCEyAeueqq4RCqBzfHr3EvUCljc7IUrzWOPAkcEChYqydw1V14HI/BSrZQAkgafZ2
ZBLdmk7xpgFY+DTYobQeG4l2QGx3fWGnHKwfF201aeaat5EbMqh5H3rNpwAlI86WjaopVMNMIiRj
wQuUU9SFcTVqueWq3tZbwz3tSqjKCmps10OHyhh4RWP2KDkabrrGBNV2gW3PzxcqD4L8FDsKvYAI
tfE21qonZ36HJiYGQ8bwmdd6iOdC5bY4IBgtq+yW5XBtFbZxRMYHrm3ZBKqvI8SA12Ci954PPQ9c
5sEVvqpXyrreSq78qH7Vv9Zs/HrBzqxZvDW3nbeCXZ3TiRvaYJQDfqVkA1cO203Oo9PZwg5LC+R5
ccFSOwjrwU1s+obCcPTtLaHHV4TT6el+/xyR+/uevAL1+Vgw2nrRvb5nG472JDKRW+5iqckdv0qJ
H3JcywI8RC1RXPD19Wx5FYMbhPFtVtq9Zx0uWGETM1UCT4/YWnxJNWbi7ZUDf5Pbe/kmx8JwWchn
y8fSlNgHI8jwiAsB9WxBvIJ7r3eUdeCtsZIcjqPIF3Yd30yIlmML+RQ1dvFzhD9APT0I2BI4kxpu
vjJcCROnrPVHAa6hzMVt0b3MNDpiYrY08Lh7j9iWayt2enO5ectBjo9cH3s/wwO8NtwCF9QKnrWw
hAZD1W58jLDgstCu9Je5e+mdRTJ36agF+ph2Q404ydVbV9ry1SbhB5YjVH4oEEG52ifDI7c9+IHO
91A+zsVDs2NnYtWd5khMpdJWgoBt95eNgd+blWgrIbl4KuVnV6c7DlO1beG8SKS9hxRj2c0VqUKq
cTkGxOpkTrxu3RLyDuj1ON63bnVCLdld7UoE0g7vgyR0pQ1alHpcMkeQwDl0FZd1QL7wbcacJYgH
zAwLBSFvhqN8kk/htn2S9tou3l5W2r57yN2BCPgry+YuUnhWDxZsAy4LuRxG6y52lbLQDLEb49zq
kIW/fLaA3y5blVSwmFRgWGwb7+KYOGR8lbiDEdh6I9kDDc69g3fBndvhb/pDR/XVsIFkdpPTxeZj
bDw4bBkcd40NBJvdX1gCjA2/9EP/ULktK4E7Q8i3GJ+PXWCjIx3ES4RDPEJpT9hNzxWlgNUVtifW
CSsYuPVLAqOmYPIRdhzOPzeBIldawRuKXQh3KUe3+N45fKUruFq56uSimXvX+U9wM0LllyDyVHDG
wjrFRgRmcMObET5OAZ+YuciMxqdcHzbKs0I2cbcqZBcmI8CuluAfbwGrRUhYy+1hbhVve3AhHWPL
nbTGVYxdgN3xErJQcvwLc8PhSLyFi3XArPE/H+wJtoIFm0Mh/Ajz42pBYFswUy+YkQRzjhqMh/QB
Ym7l0xTmDNYKOyGFaOMGLwxPMEZ5AKPB53Nzp12JhEKC4zgZV1V0nRlPwEcaT/1GWAU4zNeHk6w7
t6HWKtuLIEtm526t7bBc3OlOgmfhCEVu+ycdwQFspb3PzBW+rlvRBF31F4WKctgPMYbAjQhtbzIF
X1y5xvf+SriFYt6k9503bLhiBnhw+CegthU+kYMKgBInY6HHjcEJh+gFlne9qpH+EBLoITz4akQQ
2rKzlR3D/so3cghQ0LsBTECADkxBukXa6E3heqGTUZp8a+GoNrG6LQIhJdbPYiG2cuOisVhJ6Cv2
MSaIz7Z6G7h8V3MLuXzgsw2tCGMHe/2OqyHhjr+XP2vS2uM/a6vIlW+55uTWYODCjII1iHdTbLsF
QLhoY88LF/y0sX/a2L8mH0lL5sTMXY9cUySv9vDGRQC/XHHUAHnPXEzKuyVS5rLxwkfzjgDw03j5
abz8NF5+Gi8/jZfh/3ycPMo9oJ+ZLrPIjiSk6cXi4htUA/ikV64BTLyQBLh0jRlB6J+6xrIRNgsV
/DTCfhphP40w4K6fRtjvb4QtouhZoOpfQtHGgjyep2iIYhmn1oBISU/Va9yjWPHAebZVbnhglTPH
EH8kcFYguqtdY4gFbFMDfuOJqbaMOIYGX9MEPwz3b//iNQJPz2Rfv3G/bEy/5RYRXx+mNdzbyJe0
NbeH2wB9L+gA0mPOLqC/cYcM93n84mfdcPt4ife1eKezWMef904Xw1/XSPo7y+i/NPyFQpsfAR4U
TOSVrFCtcU4h76sOZX66hm9+eOvgr+M+t/P59TzSFzhVUYydnPFEweBN34Am2ONfhbvWub8PfqjV
xF5uJ3JT4q01hVP9TiA3oBKss5vspnbNQ/MgH5S9shuO6l1hF3Bol2COGAhX1XAtkcPh8BVFz8gB
Xs2EHOCKmtbTWlyBk7qe3JJpcPW3Tg7vaOBINF+NILOWqP+CejYwrgOH4K87Mq2fEmIc395OATkh
DICxCuw1ZMc3xAAU3EOMwB5axdAzp20Kzua8geN72xKfvr5GFNwPRP7g/T9X7IzQBvyCGr9hUDjB
Cmn5d/4Kv/vjGXNxnSN8MjpNXN/BSQXH188jkx970d+tzMy2T8LYis24VcFV5o8NQj70S28PLCeP
BnHukIjzgC7E5HYgd9dcdhfkZWJvCfgvWzBo7pEjY6NVDENjIcLDdh2CK06G4FVkhwhM4F4i+FzP
r6DajNdZewP3JbLfllpLXemkP4Dqd3cyA9UDGnRrg4x4gP6lePS/gWbt9mvjFD7rR1RXOw4HNH7K
yBCgfzVB6qNoEZQ0FyZi7MwTkgNVdPWIeDbN8JJ/1RHkYwK42BGtfWR4USQOykfd7nrSPX2+Asqs
0tU1ewCEqv85GzOgjk5qqNLr42ygiHKIOO03HgJN6VfUICLsQsId2krdp07qJDZKz5/iU7BDZ2JE
7kJEhLhPm/ODPx/TNcHus7mcwXq0AlKVuOCxFUSoVIpIFEIhitNsTfC4eDwPhBhSe1euCW2Qxi/Z
OZhA0kPvrMFdQsYUIpuIAtbXoAzKgdMIQwUnBjGiHiHMZIeYEVBT5mpPSFFdYB6jFtCCvOGvv5PL
ESpPG6GA8fNogYnx8iAt4gY7TvkZEbLl0QEeH8pAXOrtyy2nL3WIxPlnxH7AR2tuOButvk/wnYe3
eZDZR/iZh9M5nYmHvznJnu/3kKaIvrtVYV9Uphwvd5W1KVVWopo8HM+jF4F+XSOCWbNwO8BL96zf
TLbHKT8mLaDuEfjFKpoInNaI+3XONZwGJzQfcbIarrQki8Xgr6k3nK/Q2cpaBETIECh+K9x+8/rq
229v99tvqXt7yGKSZQTnDzIqZPgnwBk8vVmsBkONe8e5z5vrff5vD8834tYIFLQe/51HgbivHOFF
ONerazwZIdt/cXvJsxSJVs1Cf1Sw5VMiXjkIyNf1+PT294pXEh49C0lAQ4gSCN71GhLjVNCRFPRe
JPcpu78/5Sx1rncImXh8fc2Qe8el6Ofn4GOE+OvZvCZovttH4pCFndJioOVtcqOiHyUD08zt3Jyz
wNwKizRt5YeFiy5py2vuz7ur/tSW/yltubgfZpT932Q/LAljeebs//1Oy5LYvTID323cn2L3jyV2
ZwjpD6bVl4DStVDEu931nwBKS6BTngGlPwroXIL982K/f1zYb3Bvwg9QFbXZeUUxDTh6Jh21vLyg
6Aignnn80oG5c5MP3uomO9U7yQPJm30Dk8JOyLd4dwGSA/eAtfeg0dNwDXjhpWtwewjIPjDvvg5U
c2twyVCzytWdaZfDExMREPW6XXzlVWSUZxkE9xaQdxjT4Fi46MUUHauSHBNYekjWXICyi7c3s8/+
ZLenfxjIRoV7SULpabRM46kI7860mdZpiEK3SJYdaXbXgiKjPhjskUNzzoUdGMA4re5gfsAAib14
o1+5oiVtd5wHGjk8TQStUHW0nCHohppw3h5PHmDRDUhWTrqzYPJzylGLCDknXILKQxWsKUq+u2gH
S3KJ9LqrSY7V2p8DucWbm6GFP9XNKR8yv9+t3OzcjWJ8yWQUIHbhJtDI5niGX+P8CDsa3DsRXhDX
PajwuHT06p08uIdjgXQZicIeWTAnuNr6QQK8G8nsiJQ+KhklGkZy46zWp8/XcPE2Zzrz33ibGp/R
z+5z5ihAp71Qbyu4akqbc0nj/QQnjRNCer1w58vLai+T56ete0H+aLhe7eGyQXUavHLzArIj3pZT
+NC4W2G0vyhuvVKd9CBvdU/fmF56uqALgff57PERfTbimXacfMvIzQEjRm1bZwOH3ucff20T+dnn
z8z8Bp3pctmA9KjQIRrJQCONzy88mUzaqlTE9wwMTM3jDE3ORE+Y5DnShtPGuQUfOAG7rVFd/K1C
Vj48Fv1WoRKEg08UmtxOdkVATiNdb/u3nw98YV6suf076KIQTJiX9PiE1LHjkoH9sdb49UjM+y4U
5RA0SokLbBpkEU9ghaJaFs3h24MLVSB3fGdMsL1f4Fd1VsRFJluGJzTnBe1kyDf8/+2AWjf3FXlC
pyxSEYwSCW3cQxjACl9X5Ba6EAlOJ/jx3tBvC7S8t4XVVfgsfLK6845kQjEJkRjgJiBVRgz+0SKP
JRzA3Fv8Zcef6Rj6NkG+8ySo7RNfPMGtCPt8sZbOnTUT43/8czdvOvKPnrul7TsTuO1vvn1nQvfP
uX1n4vrftX0XtOO8g+E/pB2XBPDVk/UOvv1hBLD88awgEGWg1RBvkAPZ827gWSxItab3qvsSID2p
dnMU7oGz8QGyjp4AUe4h7xhyKXiQaiFzQRK5wPhRsP168VmANJkaOReUAfm1KS33ETKKJuTCjvbu
WtnrJrUVLwPZntP5LSRTDSg2BZ7nSUMi1MumOl3QhbskaHBYw5gpkdPFJTxqaihex/wnUNKd/V7E
fcjsLcJddK65ERH+jUiKrJycKfQk4sdxNbg81SiCwz50RA/9WcgFWSQI0nBHa2TLXgz7J3UiOwXF
Gi8i+0MGgJaZyGT2zHF0iRc+F7aou7kwOTOLYCxDVKH0sTLMQCb1iGQaLvE3OVTPCFjJfxUh+ndf
xGs2Dc+tQbYxnjHI49+jWDwLe0BuueJwHZETnhvwxcJflniaoyaeicPzEfmnfSkJXvvlERz4e1A/
GEbhHVLAQOLnNP8CwQyEDG0ZwUGTINuQDkjv4lF2lNziv4Puj4wkpIUbyBjorgkW6KSGV+yMWO4v
7H1pLUFBDahH8/mU/S/66dftNNNP6UVK2zzGdhJhJZXk5UJWJb29Q58YDg1rkjGHP8H3SGpnqy9f
Hkb2oFBUrisAep6fX1HBBjo8Iq/Ht3WIXV/QAJshZUtru7jxOcJ9d+r+mzb+h2WjTPPXVZwp1bLy
s65IsYpXOM89FfzBF43Dt8i5W90hhwi5REggv4L+EOt79/KC/szk+HY+o/TAt28maj/FsIf9FUd4
yKfdrt/e3pBLePLom4BwLF/ctUz4eaYnpOiFSNEpkIeXuUhw4/HaaH0K7JEsyLzFu5tp9D/X3S0L
rZmu/ym0FoXWzDT83YTWIlKY2Zi/KVL4EGhbkiihoY0kK1fnxDt56ft6mIwDdCG0FNo/40jnEPAo
dTeR9bPuoOPvekFGf1hy1nx3ydnthrLQ6JGMSwaG9DqIJqpSmBUasDQvaoD0007q3DSSKhbHaepk
E2qkqhJKjaoxQQutx75Hof0yzWoqiMUh7eSXIkC/pmysXM2Ia2L1nbg04g8Bw68jVmdQLo3iWPNr
CE5UIumQhwtKTkCLlULGHfyDDRJ7vQJlQO6fOSlhvb+gPv+CBr56+X8AdO+GMAN0aWWgRbiKIcCw
5iL69mLzRDlezi4hvCwMzxu8gCd0BLo6vSXgQnyOAWSOij4bwQw1pUNbx0GJEey4dfx63PGCiDcO
avo1vKrN/Toix4VLLs37HHb89vN+rWT+2V3P8ERdtE0vCLhrySmB5MALKyl8X3B1lKAVlO6E88IL
I6CSD+8ZtkceH4eGKTlmYBOEDASJ0cOScPSrwe0PLwdISm/nz2fqY1n3bnvMVPtgdoIgZxjmGdr6
hSNMoDLATrg0OKR9ZG5HUY+oIAdeZPGrisJCvGyju6+4HcITuz3vjiMBPvSe+2MoEtHP57fT2+cj
XdzIfM3fCZzffiMvLulMk/5OS7okJnnbs/cT9fuLyaXTOpPr6SVW+rjAHkzJ7rBd8PMufPic2/yP
ffi10cQnp/zKj3i3KaNB0US/h0rCaalxgCWUKUFhEhrvooeGbHkWfEiTfQ5KVYuSY6ivgXJfBdmj
OANnPL3yiMOT/flJWTrTc+bv73empQUQMS8i/1uAiAVtdJ28dyv2G2ijxU0yk7HpFOoGun9jk4gU
pcQuIPICLUED1JSXvuU6QSBfBgab39VAohvhAIkdfw8uogsu4wm5+XQBmSyOaS5N/whjmsnX3/Iw
/a0d5eGXszzrfzn79f/+v7ZuquckfM7+Qtrq23P7l/ztL6fmuQnrJvxa/wlaX/IOkP9760snjML3
fS75u3/pcylIhvlXWRFV3hXt7y0uJUP9K/o+KwZasismel/iiP1Pj0v5r6ouWaalirJhiJaFffX3
Jpey9Fc0G9bRtUdEY2lLlJV/pMnlrKi3ZpiqCGIyWrGjfbksW3N6S2kmYaOBU30elRL9EoS+fuwC
VXjJ6kq7CZRsuon1dGS+YbZ7AVTJVTwEA+1LOTmMTR+E5N2U/W2fvG+6KX1P9riOR5N1XRJV9COC
53a2e4XoElzEXjDOqhwpq0ZF7aI6ifKNOhkW6SwTpYyEPHOmSDbtJEwuIREKmfpNnC50XOHI8led
dB2IacqagcVRRMuYJzT4k6z4mdVKZz+rEju4BKgtNE71gl69Upq+v4yEdURDbiwlqC1zxTomuuA3
cuefBT+5oJuZAhZwKsIVGRg6if3GdAe92aiyNVG5nvpvQ1GBg+9rxkqP4gh9k6vESaWydYcUPXL0
bLqszN73vayzZLepw4T5aTds9EQYnLgoVUcSg/o+bYo0I2gHbaGDcFXaaHh5cT9fyVmRQD6ByKaR
NDSk1000yL6u9DsVoY2NnHaqapyFLNsUrYAu3dU+l9DZO0MfIiPzJDTu0UeNFTls3iCkytgxtQVq
H0ovuLS2KvqOrKCAU2as0zR3osjwhrw7NZpGCsF3BRnV1IXd58P+cdn5qMEyMnW0+MOP38M+2b/k
St805jmQ9dITzNgiY1HWC5Pz4VXQxFbVscHQHH6uywY/180wM88j2k9TI5InMtbG4Hx+LzMy63UJ
eLcVdCqU0GNbV2eXuSglGkUlcvDQJWN4bKVEv4DEPnQdjS9JfaxqtRQdxYzC81gVbc4sNGbfBaZY
oZ5arGYoSVbJPWpHJeWlJcWkp7mdWuMULYzzg9lAH2xLRX9yVTbQdef7OY+TKqkVI/XPUVEItiUg
3UAea21BtHx01LAPVUy4iLZZ2vxE90Uloouz4J9NU5G8Lg+LTSmLBRUzraGRpEm0qCP0LIyK2p2y
waRjU8onq4yzJ00ORyZkGiqGVkGIhrTZaxjUltcP2XSIGj0metA1dGx1ZWsVteC0UzexqNAlZ2zT
DF2pGvGYjtOwliM53y4s84fzh8ZmsmThzMnz+cvSUJbbCfMn+km/rkbciV6NL9BAsWvqWUbbPEER
36FAya4yrnaZkZckzxP1Vogkfd2KF4FqYbwky6HvvpegBk6/pqNZsyZBhl5jBe8FwHBRzTZqLg8X
Wb1shlBC0R9BVDamX+absVLQ3Vy2ql2d1i37fEY47PpOqPIr6xboZugxr6Nf5/cbqlGmVg+D6PKQ
mmgaIFn6yRCib1XmC6sm0pfap3CVNL+aDo+aDg0KXX4lib2/zz6PFaXDKbOSuKJWbkys7RWkyORp
zYqyQOfNsFQWFAe35mYX1SXTUAxD5djhikzfXfSSA2xYuWWeffS92wdhYdBMUTO0gMvyRyOwDHtU
swelnSZX6/pu4cRywTG/OuSJjP8NBfWiZ1o6kqYYoK6A/Lp0GlpaJ18CMUf9vDFeaoMycxdAhhlI
/pFl1KxBj0JJ1WeXKlVL0hIttM5CV7VIQCtr3b1kUv/SlW3gleiLbfSm4Ul9+WJa03j0W8mbqkFj
1sV468QUWYKKnh+UUP7SDv7kCaX6BFxlOJMgt2SU446NSSY4iRq/xaoV7hUVbZylLEYxRR0tefLQ
rzZaqzxM4ijahRU1ZBxl1ZZawdiEdR7ao1kVm0kSUYx40m3VaA9lYlWrPBWQHJeH6fOYayioJmrN
Kq961HasCxT0qqKaSuqEGsnSKC6Iug92pKFBeakKQKRsSLP9XxvaoHTFYJwzrbIcuUtKO019JP6V
KbIidRMx0zRdqiL0wY40LNE0cdB5h6850TPSLmKhFLp1VpRc3w6drjDJyAQvhSxd5eOIGs1TWTAJ
7Shv/LJvFw7EB1uS94UHhDKxZZR5ZkKjicg3SmLsk0ARSZvKzaFQLkcpzfMFZHjtgTXb/abMAYJi
ot08hNv34qUK40i3xsA66+GUHcxWbJkSKiKr9RqB50DrndioUKfcHBUad3lN9KYf15+LuB+BsgGh
qqAzvSQaumjMfSZDWve9oOXCOclTlVWNkW/TQirduEoH4htKtZanRNnKY4gigENjOW2QB14tlsFC
GZIPhC0WXdOAZiyJt9H6fjbCuFMHLS+M81BLiasCmhIryvN9NGq3zSRK9uc3/sHeRhAVkRIgS8WS
5g3ao7FXuyxTzHMVDujQhv6WTmTm4lZQRt1NolHe95b++vk1f1CwuC0VVhiUmQhBNMdRfdJXkyr1
5rkWA3TjCbPnaojNBaV1PZXfbytZhBpBZX6sKbbV7NQ2RmelcdOHD7lQdCSfys5uYmVc9b2u3/pG
VXuSYg3rS1pCn1V16AaSLKyL0Gr2KZiAdif0xdJW/8Ec4ypUg4ZUuZ0KI/H7xU3ELAOVpQa0aLPM
1qWx20ZdPzEp9hOv0UbRDRQFdZ7DMmRlaPbrupd6t2yCcWHZP9jvsiZBCZgqmm9L6hwy57mUpJc8
Dx+MDF3SxiRoPCsvuhuYrf4XQ5M7OxyMzM011fK0II3XWddJpMyCxv18M/wIa2TkCxqmZlkYC4z0
76cE/hVRHvwyfNCEqERxyCaW7krpAlO4TgIExzjga0iVXoKHxmxzZcHndE3c+H6bqDBIVRWAT8U0
wP7/zjGtDsiH6Kyue/DjcqJ5ISt2n+cXaqp1SYFOe68X/O6hDBNUpIynzAVBrDyZUmY+RL46bNuh
q79oulXcxKp8ObWj2BGzSap1PUEXdlmdHsLarFmmBwJpdd8g3ThUXpnIE41TTXIjq81IFosot5hU
HRukWF/QXz+KFFWVIVGA1UV+JGa3KOVJMOaSmD6UuT+wokpk14xkneWl1bn1IA8Lc/rj+YZhDaCK
4gUGjPAfTNUqmerCCLCkaReSCkFPVxECdUFD/WiOGQBlsmbhfHPL8srpfYfZ9DLJkslS8odRH010
K9fWcmrJwAjTYCvRqLByGlpblDPhJtX6i1uG9WsfyuLXKE7CldmkqLdp1uFZ1tCy/PNN/aP2hIWO
nmYQ4rB+fkBZeZoITSpn8YMcXhSWXfKY5VWuHMUCOfKfX+rH86MaCnAycAKuZsz1RaW0xSDncvYw
jVl26Ku8eGnHqCRmWqAuaG2GR0luWie0JmNJwv4ozVSDW8UKDg5XmzMs2aM3dD3JdfIAV7J8umgQ
EIoxCLbY6COKA/T5S+RLCgVyzF8buNWZYQrII6kl6R/e4NxYk3H7kCWWKPIN+W4nlL0WILFCyx4E
SYip1PnoN6bnzMisgtRisdhm9sfl5ZYYXH2yyn2N4szC1uQ0iTI5Rf81ZRoeGm2K3DoVm02j1IiL
mkZ3LKUeBz2twKmXI/hWhrQkYlTKW2NIwO33/z91X9IjOY41+VcGc2dDFEmROsxFkruHe6y5hEdW
XoSsykyR2vft13+mqAYmXB4IIec23dVVDXQj6eLyFntm7wlkNhrZca4zcjLliMgmHtD4NjXRfaMw
s8VgssxBZGoK4iy0PHfqxlvmlPWnshrMxhW6jgFgxbF1YHW6Uql1Jh8VqRXSrNEvzTikX5sY82Is
Hqmgr2r30NtNHcwiVlsR17JJl4YXqAEG5DDsI/6+5vRnhVJGh2n8AmeZPIUplaci7K1DLL4r5+/a
yutdRuLpNp6z/iHOZbVxaa6tlJAIDPBq/sV+V7e3aW1rwBzq9AX+sQ34VDbeoMt+Y2/fuSrInvEs
gcZAX7DOnafMkrNTyeSFW00KXG7sb5O4lAebO/WGT393KUSulstsnKa1ihxr7chx6NL0JS2KzGtk
WAUsZs+xcOTGSu/EVg5yc4xLp7C/iNrZ5YNzDXGImJLsZYgidAAHNrAnXYW2wANDu+GEYAxA030j
slT7qZ3apy4Z0Ri/G/SudrjZubk7bKTQ16fp2AyAgasoQ3DlLGbyjQkwyUhqHmf4RWHjHjJgeP7s
kq1E/fqlOMC8HIUcWuDzX1klb1aRNKRTSYfspVeluetlj5k9asz3DcY+37i8EwHIFcPGRb06V8Wg
1pSuA+ycA+BcnysuVTprNb0QyX51otb7vkns3Rg17eePfcl1KoalUBxG0KyYoM66fGFZkWqtpJhf
uiw1u9Fx+x3QVMDfUZWfojmiHplb9NJiY3eXd3MEZIZnx49/xNVJqldHhkfpAKm4+g32EpeqkNsv
g7QxAEn2o5fksbPxLq9OEpUatFACaGyhVIPyyOV9AQxU5RZh5Utv1+ZIGirurHHC3EvqzPsoVuFN
W5Xxxru5DMQQYaLQhH21pFzwY2u9vQnlQ90pt3mOhHNHu/hTM8SDl2l6Nnn2++NttC/38d/FlEVB
hZM4UPzuyy+c+NRmtIy652wWNdowtaL0iFMnB8dlGHNauNMhVa0TVAr2wa0pf4yyJt8lkogjnEx/
OztNFFhx6Hhd3mJ0le6bQ5K1tZ8pk+zqbuo/U5m6PnIntKvPJ3WoRCP8qmnGDV/xSkn7v74C36IY
Iil4diAiHH9f2RuDJ0fmcO7OU0myU0YSFKxxR+7DtMrA7Tf2zp2G3mekynZFBJSE2ay56Q1KIlyk
8txK2+wszstdruJ+pxz40CTLk7Ml0/zQVUP9gCutTuko1K5thuQLQQC7U1WFdnI8rL0Y3XFuUcP4
PcbueKjykL3Ysax8YOPxP8rVPPbaEb2QaC6TE8fst1sV1ZCMaUF3JrXK/VgN6BxDgSt+fMxXp4yd
gRxjuVpLFLwe6pC2A50qJbvz0MTQJjgthp8MWOrjVVax9nIAiPJwaZFPWyjkvErP3hg+O9SZ2/LQ
Ok+9svH9E8ZyjDkPur7ov81TgiZWsxH7qibiJjQqRQo0GYQ9qfFs5B93TVZn+7pz2mBistz4ddd7
wAETI47AxeVI+le2X4WknjJnwI9z0cyHU7SpQsHL3Xi8a6HF6x6g5CwdF+UfxL0rO5zHuqGmE9ZZ
DRHmMiAaDXjf1V6X8vQRpWp8Kw212jHWlj72pfpu2UR5M5kwUkFYIKGKzvHDUtHU60TygDLDsLET
l6DhckyAzxaIQVABGNtZvROuTW8ZReg5iYUIkJkpn5jBxp6I3hddjqZBldCHjkQ/VYNn8vEtuXRU
/66OYAqFMRS+l9rTpcUpw0KTwonsc6rG+NTJETPXImCUmZ7bjcO4sqTAqxCzOhYMqgVR0sp8h205
12WaszOSiWzPO4oZCkWa+6y0o/sMYfnGxq4K+6/fhhQaQRzETy4AnNWCDFXfEZ6eAaIP+V9TxtnR
qln56NIGveuAIgTxhLnlKOyzIyEzJqHUWbifuyR5SpJ63AgJ3vt8YArSoRxBJRzl5U5rKyEGm8PO
ZiinAAA4BnogAfJY0vIg79C27Y9PFjce8LdETRHJwvIC3z7/HK1QkkqyMwx8eIu4EHeoGOkD1GLZ
1k5fJrT/7jSK3YAjUW1CNLd6ZiLsVNZ3uMNdU8jHGcBw0A/kkzNEzm7mg3zQVmm9WDKWe5amGJzl
1raPLHUCUFN/tQucQvw31NqFwmQiQTGcY6RbDund34g3RikD3QO0k8v9cNJMl3PI6Xnobf6Zs3y8
H5oCo4LKDo3JUOvdZ3Ehg6Kf46ePT2LZ6UtPiGmirgMKjIsx7qgYXa5MkDFFPHcpbJ1t74fExuQZ
NdfHP14FAIaFYJAq/EMtL/3NeQs582Q2hJ9Vq6kXKwCojU6TjaN+51twfReyBurIDgpsl6vIUceu
jlJxboBV7niRf615v4UDv2OUOOJ1BRwG6BdQsMtFKKkLqoZJnKmjnWNkEYwp6or81olz69Of75ri
INk4FIZJrjurTAkoQWzGUm2uMbIsR6kyZ1m34fHfuXvAbHEuuH0oVq4rFUi9NLoajPxsEOgc5kjK
Q1bE4tMwDcntVJTjXWGhUs1q19o4L/pqV1a3z3G4QlQOQBHMjtW9jwunjXvm8DPtRlfvrJBMmFWU
tdGPNMWt9zScCvMJLeNbY/r4uW6J+gzkqjo5mVH/ICSu7svUcV+ojurcn3sa/iB5Qz5FTJSPbZmq
xiO53LfcQk09rqQJ/TyN57+zScfCt4SV/JjbKac7ZzKZ8u3EAS6Aam155842hpZWfQwnMNAECsRS
1T+oYIAgiRHqNu+V2Cnp5h5sENLRqQtLHbRzOdaeW7fin9CE8m+36qHeaGYGuWgk2ondaW0gjMwB
ZQap6MpiR2XjVLd1CgjdN6q2fnDWy5+Y4lmK3TiPmMQUZ6T1E1pUGDOok+bLxFvzhfGu5KjhFeFT
yJp7XSRF6rdsyq1j3XL5j+soFGBM2Qw7BIyDOcRzBMg4pk2C1qZhEd+6IhlcL3RNj9FHOW3vkios
c68CWF77o5XLv6YB1xJ0QVvtdW4oyD8TQ6wcpn0z75p0ZE1QFSx9qBCJHRb2J2b9NHxu0QlG1C9t
ooBBVaiA6/1QDXCnYgzzH3MGdlCL8lh0zAcb+xeyif3sxxZgF8I6GN8mdx4qlPDMPi27vPa7bBgT
r3DjmAHIKmp4yFlb5sa2uvBLj+1PPSfJ+3PUE+e326XkxrC4eFxSlCOsKs2OfZTXP1mYqchjWYlm
oiPpbQttSMPu2U7jEfMvQ6d9Lqt5wCgw2nbf1KjETWyPgnqC1fJnotP5jo1NhSpzKVvEZkXcQ5Xa
5gnCdjPph4qCieN1RFSpX/JwPvJ+LlGO5vn0VGftQU4jt2+mGMm2x7uQZV421tO3viK29C0Isk5p
xIrRGwvRgpQQR2PvpXZY/WXjPiJHpi10xhkVlS9JXUNLCibM76EYgadRk9qtZ1kze1FlnXwO9Ty7
Xh0bftdGlgUN8hTLJODOqB7ttgx9i0r9jWYZaz0wqZ191OZx5wO+bsSxmOfi98eW7DI7fvXB8PSg
AqB6Zi2Fg0ujSeae9IAxQaODb3keiwn0NrcaSeiNuPxeAl7Xrsu52X+87DshtkClHVg+KmQKtbKV
R0hlU446FOHZUYO4r0xYvbg5sROvF/XvqhZox1l08S5CIS8oh64K+pSHN1Fm809KmHxnqxIkhAq5
H56kOiUFMxuecb0zqCXCiktULrkD77vONbo6tFmRJ+05Eb15SKIm3ak+lj6fm8h3E04/IxzZApzf
W1TAIQM+AI4IdO/yOCzEZcrqsh7Rroz92JYQdEc2JmZCeeruZZ///Pgc1uHl8pFABVGjXA5BrKlG
fWl300iq/hzO1aFWyOzHeIrAe6L1DahAGw7NvkSC1VJzXxK3pRYJ2BPA4uXnVTx3JtaL/jzM/bDn
zozJzWCzPurC9DcxPIPfiAYif9eg7XsWhzcaOZ4f1sz24zKughala1/q1N3hh1e7HKVGnxRZvNMm
bu7dUGLiXDdNG97wnUMBaWGJXl6LamvaAk+bxtXCDOfEnpx9n3H1RLVN8dhzemNXHUaCDmyL2/fO
ybAlkgHqijIyONCXWwXkZUjbKh/OblVXN5Mi5KYHw88D63QI4rbPNgL/d9ZbOISIOBf2i3wdZ/wm
EOyTtG2YbsZzFDmfTWxXqIFGwk9K9xTxqd5Ybfn1b8MLXAS19KQDgI0sHine6uvaWQ9AqMZzU5Nu
p7WOfMettzKMd74J3wMwCdE7wL+1/rFnoGUnYzWe87ZCu2MxZad2cD7DHbS3SNG3Hu+7y0mclWvh
yOi6SoZwzZKRscfzHNeZD54J5quDBH2cSPkTwFOx8Zre2UOAZODTIEoD8LdmLxZjPwzhnE/nQXG9
B0UZrXdlRJ//2ELAO0gXhhosMnzb5UnlDlFhnonpbLXih0i7J9fuf0XT+EuOfb6R67/Wn1bXAtRe
BnOEqrJ7Re+NtJJjCc7IOZNTF9hJDImqJPOuj9HFcJKlvhkQcXlE9ebY9way1ZyNgdR55Dcp5mKX
ltBBjhjh4z1YZxYA3FxYK0CJ6MMHT7mqAromJXU+0e5Moh5T71XMgpZY6sYq4PI/XuoKfljWkrCS
4GJZFiqPqywGJTlhTKi6c4cQ3ANVm3ytdBjfDaVT7lhTgKrARjBA3R5DK1w6nUbelIdwLtNji0j8
8P/yc2AXgNSjDIQa6OXxp7QAQZHrHngAqY6zDdcLgsbwkGk+etMM7KnpCwbqPZh6djjyIOvmKuho
3tyYLh82KFNXUPfr7gjBlhu/BA+r3Sn7IotkSwAPg199a/VQWIgRoawLGkLg2LPxuM5ytExMlVdm
pn8YTYhhzCpGLDsNll+X9U7OLQaJooLrK5LYj82cqp0oBXnomjw9zamNfvI28DQQ/8ag0zrx2rQY
NghC69xu+RAYdkAKrhQo9azyq87N+p6ABHq20zn2i8JlDwlHiqV1a3lKu2g2jhLCLY/5+eMTZe9d
ZsgyFjsF3wI88PJErZ7V8NBFf4bpKAPkdfNXkFIRHo/S+sL6GO3Qay72g6imQ2OPyWHK3L9MHNqf
urksXwoRyx1BSOjzyDIHYMHEcxMqdvWAUrdihECL4OLmCo5xr7Xme6fqQ79wRObNri6eVdopL8Nj
Q9XJ1B7VdXdLwTj0mNTzrnQ4BmHUU/pEbBst5Ztp2ojrrs0mByHLRkEf9S/G1mSSRLegyw5mOgs1
xfuZFQMSTyM2zvd6lzkMBgDSRaiAGGvF/5rqwhoy48znSBSdT+peeiAf5ccKsuwNk/HOB2GIKhgR
KOMtIfzKOqF7KDLm1rLOHXich2buq32qsjD4+N6890EC0fBC1oZ5FovzexMfRCjKIhNP6BmEF+UJ
qJ68uXSfVEY3m4PiT7p0AuBHg30rHRwUKmirN54wWaP+UQF97+mNldDKd2j2qZzEyQH4t7F51+8Q
pW0KQhhomAD4rkw7kF1ahw07J04iPRJNaNA5OfW9RYHvhW1s3UyFVbyk1ryFsVxHC1gZzs4BPRKF
9fWGzqTukMNrdnaHSH5tIv6Dasv6SYzbBa6Uw4Ylf+f8EJSAaIxKK4D71zY0b86v4blqy2hiZyuz
aGDVRh6MQotHmzjd88dXBTfi+ggRdkFjx3ErgJKtjpA6Y1RPcSjPWkW3TVXmamfqNrprC4BV0INw
+XWM2ybxeULUl6IFayQYaJ8ofx6c/OTaITjlxYQgFA1wEfQiBxIM+IBK0dpqLHKNvN6K/wJcGz3X
EgKNm4bTmgaMI3/1Y7csgY1nWexVtepLr81HzfzIFIMDlCIf4h0nCCvgRDmbPIXGoSc5JPIz6I/w
XXbpeg0qjee2NaApTlEBtBehKijp5KZsZPFZhlnbQZygBaQqVf+5HNLC8aMBG+/ZwKWawJm1/c0p
KBuPcpzoN82rz4MYE/TNtNsYE3Mykv4V8yTuDgpSg9aL4ErToGgmcOhLg98WjQ052q7Fak+nrQlk
KZEOd1b7ScSg4gNzmXr7hsOFfe0QqP9EOZo8DWM2d76SZfg8TYnrIn+3eu1XIGydrKpAOKV1HyIU
tjK0pq1rcPJrkPsxxweYFoXLSVvuVYVbospgRAcoJQHk6ifOMH6aKgvAnJhNuWA4UXLbpS0FnbFI
/qLdRP6GdQAABxlYCXuaOjc0mWH37dIZGk8UiR49146z7+AHAYtZcE/hF9NM/spBAf1aVzyBqM0x
du6l8JxgBNVz8wz4dgDzHdSpL5Y1RrctidJDPUXtl8ZS83cqyVAfGp1TtOJMeQ3QjQ+zc1CgesZ+
Cj7KuHMayDKf89lU4aMY3BnTV6JRP5C4d+KNpOYdWwLtDPgUqNPCv6/rGRTYcwkFzXzOTeO30ilv
8iRR+1Yzsp/wzjwUrmggrXjjaV87AEzIQZUAiDRiRmTyl6a5MqJIR03cczWCb4q+vA5ixE1txLW9
WuSuAF6Xiiiobas3XfI5JH3RkjPCs/bEXac52ENBfCUqDFcXfCsSvjZYWA/xL2SeSwLHVw5nKEIt
DfqDnEsF3nJYmNHrG/bQQGS437JXV+YKS6HcBcGTu7iC1VI0hDh0rCU5m0bqW+3SeUeBaAaWbFHa
qRiG0MRu9DluTfvY8jb/HZVRFrhiYEHslGRLlnbJtlxQkuXnSBePG7wYyIUuzxOVvg5hgk3O9exM
Qasr89TU4XSCJkB6FQurPZ6+9mYeiVPtlAA5cbv9djZbmMB7FwvET3hhZJmo26yCGJqTxER2FL2g
lUwSdHwGUBl24cazeeeg4QmR9IABBCXEWgYGlLo2g2yds6019D0s1btmsu2DU7bjzccn/c4HYagU
t6AAg/LiSvAXCmciRdi55zjt+NGO8iQoNUjnH6+yIle9HqCzwCgOGHOobi7a9bexUuYOieoTKHq4
rUPP6kxzO2ZZs4cJnna2i8KFk2t7N0cDWk4XswgcPZGN8uGK9//6IxbGCF/I4IjYnMVHv3H4cVUn
CYtq/RLqHlz+RubhHbKcCfOyDC8ikBcWN2mHGUFVpCufZwhpyxNegXq2XQKJyMebshihy6huEbpA
dgKBPprZr8PuKqmsKNQFRI2ynm0f+qqo2ttzKYpAk9CwXZl2rXVqqsiN/nhpFOngyxWgRGQ+a2l8
ZKtxzGE3z4Q6XWBQs/JBVXf9Jsn+Shr2C6Mnye7jr11QkcuvRaMBd2kPAAUFXMEqvYtJZznzok6v
xon9SkEFXpQNTXXWPCVgMIRVz1BCcNvCd4SxMUUtB0tsI7a9vu2QL4O7COYrCIwgTF7eAKfoXGNa
G/Jgi+uAt3Fz4gTqg48/9R3Q5nKZFUI0OyCexBmWqdwSlSo0G/EkTMetrGz6JEmGQWGjqp+zFDxY
TDqcA2Qs0ksTox/K2oHwr5uqx6mK1UYKtuKuLi8AlhSuEUVnG/5qfQhdE9K5MxY5E9sp9vi/pffc
QvUl07q8S53Z3SWQJAXGZLWfRx2me5F5/E7saoQWOUbz2WiINpLP9zYLsPdi58DytFATvzyTunLD
OerHReLChkMCScouXOJckk4YqDf1KLnkaCTXquEXGMTuY8kHJ0CcCJs/cuZz1aRe66rhjw0j8rfX
KhB8rgvjdfmzijCyHVSYUAbq2eABLs2CElK8jVexbriznAgyxyVYQWIAksnKoegM6sbRlNARkCz+
SqqZ/LaNXU47U9HUAkeexr5GKTmIOjZjfEiYdwdmxV3klZrFrmfzxn1yUe79RMAWkUFTGuHReLTM
rg1HuYE2vfdz0WgAGwN9C9BqsbLjVIfSyRMVv7ApUQ/zjPIcmZLoAdYdnRRmEGSYJM3nRofmJCYE
DHrqsxO3ZOIlDm/2RWWVB8uBhll0dey7s+k7bwRRYeOhv3ergDmj6weqaZYDLujl8U0SUJe2R3Uu
pxlj2NLMAR5qVw8ckvq/ozHsf+qx5n8VUdoGDW0Ru4tmBAEUaselVwbEuqIAjgO86M+o6ssbhMEF
kQplK8Bd8kp0Nccd4fHontsEUkqRD3kQcYI2VIWrN+6wvRzHpdFFtxGE3gtS63Cc3OUuGMIq7XZz
eC4tlR0Tu45Q7W0wPHgwGOzbtZkfF1no1XqaD00kskOXhtEjeAOYwYgncWAyx0hVWhPP6qESbHKN
Fo9AIz5XnT15KSKY575S7UG4gwVGhIU/OVLxzpUd8aMoS88fG9Zr841SGVNgd4Hojursyq6WvS4s
tE9JXhKQJ24GqdWJFsWPjxd5Z88Q+SLWlOCdg1q62jPOQzqSwUpe9Gi7no4yEQD37IKaqmkrzL52
iiD/oCyCawAjABLu5fnYscknEoXJS0m141WdZQckzuu7OivanYW3cUMQU90VZV0HaAJunWQ49oAU
O+ppmK9dNGfOI6SWdKcypwlkFEe7hrnhQaA89iWy5k0N/RL4r24U8H7Q01wQb0HKX70rQLdpVOZz
/IKw0QHhOTTpt2wcK3tp1zkkC92kegS3onwRHVyxZ7lJeuzrZgRBhk8dxD283Jdjoe+GcAq/ikGG
2stFnH2GHRmBgIo5Ofc6dD8NWZnckxF2yJsngBa73C71Z+gqLEj3k4qAXdux8C52wyrzadGi503U
NOYH8M1Mg3xpcE1agO4Ue+wEbmZGX+KPOKkkz1qk2332peaqQkvudqK177RjlwI1t6GbwuOlBIyH
vn3Madr9ZVVRDqpN2vZbCrb3thMhGOw/SKNLIH55ARohSAq3GL+InOq9K7I6KIFK/T0khd5h7T9l
4S/kOZDi0Q0KyMtCK79cj4Q26mGcxBD+OE7AqtIECp2RfM5rd2dP47iRiL8T+KOkuRQAoayABVqz
14uRyLmkcYvOHY0N4GZS7ovu5PS1H3qN0eIo+N9D0A/hb5amBJQfy6B3T5+nIdmIeen1Y3MBbqOp
Ccr6qDC4q4eNP1G4bUX6FwAr9THnFv9aqMHdl0N5ciAeOiH+EE+QDaABvor+qTS428YFf93q6vo4
UxHtrAlPzR3pgJi5aA6AReNdPMzfkfVkG92DrswQCI5wD2AjIDejYunb9TZZUSCWj2ncogdChujR
AN5KZm/I/hsR/1E7tcfyV/6lrX/9au9/lP8fNE9bhPofNE/79fNX/aP99fN/LR3hfjVLb7h7809d
5L/w+t+2VVv+nH/bqiEI+w/gQEgtEOotVHqcxvCraf/P/0Zu9B/4nKUXCyokeDRIGv/bW41a/1ly
Wbao+RX+y1K4/G9rNYr/xWG26yKqw70HdeVPOqutEkX8AYg/cR3BvoHq13n18m/y1oUflrllntxb
jfGpandRQrzeAi6Y2V7kfn2zW0//2vK3fdNWTvbf1dDbaOkaB0tvrS7ebCZKprhP7gvS39QdQ/Os
DTjnagUUZhCWQDQL2SUy4JURGvuqAlUu4/cstGxfZ0Pmo6C8Odfo0lMB+YE+D2cKrijs3VU/7ExJ
0guVtvelSEsv6QTfVXXWHYau1LtqBiirKsq3AuTF/73xj8uqiE5ADkBsDNBqTVdqTW7KAjKn+wYx
0B0N89+lnNIgQX+dY50PE8IIHh2h2Y2DaS7BIim1Gv28d/60z/S/vwTXjwEzQwlsPW7FtdlAUNOt
79vcqH0xY3ZdyGr6jSQyugmHNtq5qc333DAMU3YJqnGZxBR01RdBZfX0OI5JsptSltxKsSj3DeKN
fKpKtADpvxU5L4KuGKDtrzp1oBkYYZ5xeH/roHj0OSQ61ig8Fy0iBOXcWWhS9unja7o25//9vsVr
Iha0kdFeGshUxQidoK+/R4hb75kYXgpQljy8YCCUURvtY3Sp+tQV0MdnodQPEBSDutgD9A7Bqwoo
+nDtpD19Bee++Aa0fXoK0TMjcEYH5YGib48f/96Vp8fPRS6CfBLXfmk1IlaXPssndHOAhblHZwrn
MMhO7kewnIBLD+5O1Cgefrze9SOD0A4JJUwTHDBKrpfbI1LogeaEm3vLGH/OMbVybIOPl3ileV1e
9ss1Vjkya51hKgUz980ue5h7jARrfNB+d8THvfAwHW1n39WnIkATnY2vu97NpT0M7CrKIvhrHTeV
FnGicRaYd9/u5azvTI7qjZpuJ77Fy3qtUaw/Eg0kUbxAW0UIM1cfabc6qZPJNvctxsGbz/FX9zG/
c0647/RbfIeh5If8bny0D3Jf7qFu/OXeu58eyofiaD9izCTvfPF7wJCNR7Ox+6twBhcKW/Dmd60u
VALqoKmgVLhnw+1EE3DunR2p20M4zPvYYPYaOOKx3ohKrm4VJP+Qm7loCYXCB8R3l7eKz6Syw86M
9yDi/ebJdBAQPv3p2b6ugdwCNDW8GbZKMWjXlFbO0vHeqWKPKgxO72B++NOY/Nq4v1fGerUSHPjb
GCuONZjUNVZiHgb9nMChDv4RGPfZPG7F+VeHhZUQekI/CE8OhfoK5IqghU+dECvFqAqxcADHHKrS
6Uc/v5im36UxuOdyA+1bLubFxX1dE4qlBe6EMn4V7/J0ZmEPIca9mwI4ApEYAq2d1PfK/dKk1BfV
hlvfWm8dOJCWuT3FejoExJ8W9/2c7yP622nDY+SW93ayseB7lxGBGUdigXAL/7g8Psvu5Vg5xXhP
Bz0eB6gDfZmqeeM6Xh2diwIsruJCYQSE4q4MaZQWXTqIpnqQPQZpaagIjApcSD2ge/eiDt1yCn1E
I5wNBOtqN1+XReT3Sgu21sr3GQI/PsZV9UBc88kiyb4NYcdls6vs4jvaA3pRa//5l4LPi1ZYS6EG
VLvVc6gkoei5hS+tIDIBLnREUW7fCPS3s2o/tLNPnchPjXv8+BVemXLkt2DRQNQFhh+QxZV9zUzt
tqDyTQ+GhwGU27uwPsiYgt6c//PxSmuKPd7fotxBrwQKJ4t/r45SFWnNNZvZPb8nj/w0PCQnYBj2
1xDOCnNAD5BI77j0OstnYuM4lz/67WP8d+llUcpdaClX1nos2GS7jWD3M/jacJuBAHg7Ia1rMg7G
wdagk3eXWzAadD9GnWcdhrr9YNgYEXYfKcuPhyf0Ejqkw3SLqlJiVz8+3tf1O3z9tjeLrU7QMWij
Z8rXxW4V+U63JqBe//mLSm75Fx45eDqrY7Nl2TJjoT9vNYTdritmdGSfoC7++CtWCTcuB+rcCNjx
H3SvvlLkLWwZY2dF9JCjNdQ+r5rvRZqkN/Fk2P7jld75HqyCABzJI+yKXDnRAjX+bNazeYCKyNxr
8JCCXrMtqG79rmD1wRhm6AhiLwnoK5T/JmuM6LQwEaf8UROGdnZasa9zX9K/jR7B/7TS7x9/1Npe
YbmlvSZa6eF2o/nV8tFvluN1H+sZzSofAW2Dn6Ifh4x5wEuCqbG/DCX1un7jOb/zgUhTX48LeTki
ocsVy0rPVVz1zSNjaeG1dDiKaMYoukjeVr38/PHnXd0OfB7iTNRpGRo6ATm7XKwpihxVg7p5bGGO
ORsw/Iyjl7QrNoafXd0NOBuQtATofvgLrvtynTApQb1kTfPYpcWt6W4zyz18/CVbK6xeE5rMxckY
YoVKglxmPao82bB17+zVomLANbYBXGG3Lr+hLHpp91HbPEoEb8Q62c2RmK3GB+ta5gKwvF1l3ZYh
ow1G1yZYhT+Xj9Ly5pek8AnGRn0y6HLmpb+GMCi2CshXdnW16Co2RQerqQA23zyCpwtdHaG7EDUu
cNi2/MU7zwlvF02TwCzF39ZesXFJ1ajlvhVjiZy0eOIhGbw4wYgfNIciLeZoDf3Pj2/GOtJZdhQF
LhfmGlGH/VpTe/OEdURTNBCa60c1+XblyQcW3zToqRF5HQafdhtW8CqBX5YD+QFtNZYOy+iZcHlN
nDkEIU+IGgcobsqnaMYAU3Y73yb30WE+JEd2ck/zd/JzAHH9V/Hy8be+9wreLr4yHrzOIKrosbgF
EScrntBmNfh4hfdOEMw3UCyWZsPueh5bFhZD32dYAf4k0ALdZdBclUXCwHLMD+GUfy9ys2GE33kU
kMijRIameOjXcJU7AdBTds/I8DhSGqRz/wQ61V1Dm4AW3O/tAdAh39fJ99FKdk7hesMgoBjZiOiu
378Azg5UBk2M0C9qLdSCMqSfZG3mR0pzX9Zh0I5H4W5c1vc+FR4HokDQwdDC8ipardVosPXTI7W9
EJUb6nPm2f+ob+PD4FV/9+f6Od+qIVy7HHzZmzVXt6ahCdrfDBG+DPqaGp0OMghjcwAf4unjy7Ng
x5fx4tISGJwg+G1kcKAgXD6OajZANEs6P2YwNL3nVF6mAvun/N6nXp4FzR17nrdam12/ics1l3N9
8/5DtDaJEmuaMawDfOjxpWy3Gju/5rkXYfDqs1bujVFU5VNQTh4ZoCJ2W92PHsFMduSLt+RIAoNR
pOYwDZ4pPHOsD9lvfXC/qnzjaW596MoFNk0ZIUkY50dXm5M93oCYupGavgbYVx+6QCQL1Qx6h5Wj
mG2ZdFBgz4/TyYLi+1Cc9c++PuoC5Gpv+B/qvmvJbaZL8lX2BfAHvNnYmAsAJJttaNqp1TcIWaAK
BVNwBdTTb6K/mVGzyCVC81/thUJSKNQH5Y/Jk7lhT/7TzlhpR/1H0ofaUTvSXfOaP/M4WLlhctcv
uBUq9g2vJdYWLabA+AGsesZpLZGF9bhT6Pv8FVkHpObq1UzF82Rpofd1KaS7eDY/W1OWOa/BmQ16
FFj7Pfx0rK3DN0ELYF9oQ18pDwGsmG4qsk4WAhGVqulslMrCWplv95aA3eI3eXTW2dqO86178O6y
J3Kf3Uke6l/GhaN6fs/PMxugOwOuLzrGFW8HuPFsSjXY1H/b3n0+3BRbZj3hsbYWDKngm4/RAQUO
tCZ21dydcXo+e+5UeLXcaT++dWvyzXuWP4K76jFPQ3Knv0xNjOYFsJ25wLu/LXGiXzoyc3sWSjZI
g4DW9dS2oyVBQKZk2kvTDUctMuWS13jBH0BQ9MmEsniezWoPYLRpr986kN4a19Pv+r68Nzftbbml
W3uT33B7Ze1KuiV1uEQtsjRAxcGfRFaYRZPJPZNMC+tRW/OeLTHvXTQCZtzZOUbWQxU78BkYSEto
D+w1G8dB5FHLF/yaS2/vzCT9XxaUYWgFKBpqhnunbV4lye/Y5N3wQr+5/jxdeAeRKQLLDrwbZBlV
Lm9CejCRzNd4H+yCad2LL025QsvBdSvzgit36AxNxjOIcAhIdGW/S5/Tik6J3KWpvZvSdU9fwMF9
nOR9oNmr67bOfd/ZWwImC7VCMEupcZcv6WTQoHR2Jg3Aopu9jMFWJ3dBkqBAOYZNV8ZyWEo5XLgn
gf4BJGxmS7ZQylJWi09511De9yAlMW5qKbcT1CQSX/vda9vJ61ZF565YWa6H5vtg+jHYaRDpLBF7
ni8mSmgA5ULfATjTs/ZHN7MAH8z1cYcm2+nOnLw1cv9QRuXtc+trS2WLc89mVhtAIWXWHJjLYcrL
WIMURhOjme4ThKLh2NmrCuwqHSu3Pks2GfJVU0JBH5dt/fRxaHoIZSzBn88OCSonQFwCyDiTnp+x
2SUDRTk0tYMd4T7OoF2jcuLwdG3nKVkoCF80BfyLD9w7YHgqBZNV8lEQOOu7xJHOijFwXupt4oe0
avO/3cKItD/aNyHzhrBRrTGwsdNJn+rTXkgZ6qgEjdkvMr6Av/heL4aoMfZZt1BiODs1s8k5zp/R
PaiQKVe2zS2zAZBg2rccPDpOeTMGRkxs64AMSjSZ3XZq5UaKJVGe+VicXAxz1n/uUpwzW2jDVyJH
yC15bAxEsx9MbkaTNgx3AUvkaswyM6RU34EUw9gO7lStr98SFzYvLCPtgOaBWWJKBUeg4gWAI+Mt
LOebing3DhTINANheepk31HYWaVUXw/gDnXMzZD4RugCwHz9Iy6MHnOK5yPAvgGFg3ItsrYZp8zj
zT6Xmg7ancLOV6wNagA1g/anqzsprqvaOAxGs5SVUKVsdWj0IDeA44trC6Gd2qTtDJne56xv9o2j
kSwMXI1tKi8P9o5XlQ8GUKF3XpBJaDJNRVQD4huKTqILMTCQtPACyP1NGaCDAAbLBpImUBewow/a
WVLRNJJovdvmjTuGXl3wzfVpO3t750+frzgwl5tzWvzUgwEvhMwaljR7IoJ+BSQViUfNDRZOhAp4
+5ghJO4Q9qLIACvK6ti8lmMZIENEaQA3qTPqlev0b3lOjbvBFyS2pTymJWsiQS1/Rf2G/2WNdl4j
MAgDIAssE35TXDVJSjCWJnq7d4e638qGletR+GxhOs+PPhKi8yFA0/icqFTHGQCy4IPMa9+2rr1C
72HxTSRlELnTJJ5ylvdgpenJjT8wsau4zR6vr+alQ4BzCDAjrp25KHC6mo0teNcD87oX1LY3bsnR
eFYN1qZGMc6oBV27AxCimq1N0XXD8w9W7h5c53P/CExjtZVt5GsJWJpy4e7yDhWcPrD4xmxFHyXY
95FGdeumyYMff2kTXRHgNAHqFA+mi/N3OtgCVS0j81ILp+67pj0QkURoe4wN9irSv2Pcxiul2FLG
N4qy0Po6MfcBKaLct+8C2d5V3lKR/2waP8zMlUYQIIGRXNmklUx9o4dqyN52QvdXimzjFBoP/Zfr
E3f2+ipWlF0CDu+u0ym8poGPN1XlRWS4zVK5EFyf7UVYCXAjAh8CQhSkUE+XB7FRnugSxBmiWbvy
ZrJuxwYnf2VUh25JX+TMWUPSEuh3hJxo5bHx+p3a0rqJ6cwbMaI3tDQ4bAV6Imt7fdbOjvZsA0Ty
KMgCwQhI5KkNA0x7bYeJ22d2MIVJm7/knQx9YEqk3UaJUYGMbjK3ZZPG1w2fP6+nllV4CZJDvSED
riM+QodLX5Eb+EmRJn80BXmsdA9cDm1sutqqA+a212N0mCzQbc/zd3K85y8A+BnImpmGVfVo8Lr7
eTrWxj7w2NrT0lUWfJnQHt8Xxy61Fl7yc/9/tjbf0jPtCdptldVs4JxCK4YbezYasfDcTU3Zqs3M
WHT01R7fEma+ZdWTg5ZvoeWh7EGdVLEFp+bSloIDB6oMlJ2MD4Xgz2m/sjCqnIK9a+9ILW7bd6sg
odf+1NslWo5L+wo4DXhQuLDQhqm4bTIPfNo0jbG3nihEJJt3Tu6qnyx55PYeEJ/re+nSqACVNRDP
4BVGafJ0ExPdmNo8N6w9uC8fPanfgZbxoWuKtyb3Fs7LhVsG1G1/TCmrOFIykmA0LdRqzEfQgqz7
brwbxyWC60tbcw5aAFKGJ4M5PB0RL8DKALlE3MygSYjQf/2WDCAk6Oz+1crFDYeE3MIcnqdkEJvC
y9MxfXMzuBqfQtm3B8EJ7/Y6GEff2GR04dBA+M8ysylKi6LZ4jr8xfTcW3m5Xa1E2a+GbLgHeVAV
JjqeqoQUsawIf5ig4/BQ5+0PUIeSDXHa4cv1BT9P/oE2DeAOHY/KByxRWXEQhJpG0rEOr+Qw9wWW
X3nQ1auqg65kim72yIYrejeglTfM9E5fMa8eVhOXPXhowJ/Rg7IuLHqQaVUsMNfXP+587WaGPzwT
IKCC1+AqJf8Gz4OoCwZvafDRaNHRewoioHhwRrmyXA1CprReCAc/ALCnVxmyabOCIbrfAGlXOwiC
zIQC3Ix3RaeN9576ffZT5B17mgQ40ENk4sX7WFhBFUlZFF+rnlhu2FEtR1oY9Zunkftk52t22YYV
0KRNOIF06yVnVHuvuW4UCHs84IK1KSDvFjFkHQpskiBME9M80qzTAY3MTHkraOcc7drU2qiBVLAP
0guWUTB15cmzD7YT/ODRlOBbdZ12V2o10pmGQfKvyJ5PNMx9zXu3qSmOuTHlIJ6qe/F9al1UdoeC
Fs860trA6zJ3eAV4pPguRN8MYcmLdD8KlDMWToR6q6AkC0AFHuBZahv9Aop3pNdpC+SIy/e4uuN0
XE0mWJqyLoJS3fUNo94pqiHlsAtNF63FYaj3dVCroemL7YNkXBjO/Lmft4hqRTkyJfI81VDCiqMD
QwvWiqqtFt50dcaQIEDuDm8cWo9AHqqmCkHHYnSlQYc9K+guzUBvSwIK0mGomhQ5smvXp00dEEqt
QDrilEFzAPRsKs8ALQFhq9kw7EmGzM6k123U+sD7X7dy9pAhvYoEC+IrdAiClkWZtsF1x8HQCEAa
2bBqWpGFQ+c9dlyAbtAKp0GiHOmXEcih/nJXIM6CYZDbg4V1bmxVAgFfuGNX8QLBpe2GVVOGHifh
4C8MT917H1ZQnUd6A9OJ5/P0oUE8BxCbVSLJoQ2x2e99g4QVEDzXJ/F8qTCWT1aUHU5Jgr47t0KY
Shko9ILkC2oPS9JIah8wysOwMoeIsIQQSs0h944UeuZTxIldEjPq7Xklw677hTpulMsaqiH2TR0I
3F0yw4s1hZY1jvgXcVNrS0fhfNvA90H1GOU3fBfKRafzOhUMwgF2kh1GjUVl4IKjt45lDoiU2UWJ
Y695d0T/4cKROHt60PwCIVyQX6MbAEyN5qlVG2IdE0pH5ABpcSdYk/HWAZeSvS2+/O164mlD6mFG
hc8JXmU97aJpDbPUyIEZnbbWIfEeFo65lPo7y68gwkL4MytRIYc7AxxPh5O6zCMMzYR79LmOoZ2b
BlA+YloPc7OpADsw3i0b6Z32WzshYiFVvQSsUzcuvuCj8AGPT0cGTJVwLQXhUDA1uv0A6DUYmwoB
Zu2iWnAql6wodwzE/IBvrvRuPwboyC4A8PfQkbOwNy4ZcSA1Mc8pcsaqptco0HQ5Ioe7t1IXz2au
l/WLBv3p9fWtob4B84zhsQS5IOiC0YyvbEEPTo9fgY8Yh9Ar12g+b6CLojUx+vPJmrecL1xgZ8OC
iwX6M7g8oLqYqzqne8SqbeqUlsH3qTvgav7NnZfrA5r3svJuwgDQytgIM5GMcpLhm7uVPqDTmXlp
GBD4MSgRZa//nhFlp49NiR0ACvU9QRM+5V+EfOLeElHC5an6MxJlaaBN3oC0Eh6AUb2Dsy0kclq4
59VbDz7GyVwpb1bBMxfE5hbfg6h13BZtaOOgUlSpw6Rb/aWcPBIxirV5vJ8wLBB59RlAVnxfWM+z
EkIl7pDAWDg26pWqGlGuOqOGcgGdl7/+gfHILbfBDY8IfcHM0tooV8AsBdOhJQlUMMN3C4BDshQi
LG3jeZyfJssi6F+FaB/fQ40y1IqD5zwb/u9/bxcrZxFN3QWhDDbSCXhg/5tVvDr9QsZ7aRzzFvw0
DlK50pMDthgt0GpmAJoFIcjFcvTCcqiAUyFb2tYBRjL4BA3zWcjtJTr4s4vydPeqrU+sxSBqbvK9
Z9Ab7gm0JeyFCZbj+vv1Vbm4g/F6zgKu6A9VoZ56Bwosp8GxR2ix8lGrccS7N1krL3hM/pL49Z8j
+cmWclp8gvbLsppDmSaIeu/eGF7cIouvD+jiFvhkRDkrjaYTJsz5HgO7JbNudF+LjP9J+IfegD/T
phyYTuRB035YMbOoBtV1q5khTEd9+fdbGgBKlDeQiESx3FLG42pmE7SajsvfrSMbyg6Il0NILV2f
tQt3M5JJQBMhoJ05gJV3jPctTeqm5XsrQMUYwTUooiFaFwoLVdXIXwo3LywSzMEjByYOSYmzEhyY
+lCPF9je/Ct4qMLcyqG+sr4+prOk6kdQ+8mKut9GhzEkg/gegohz5LKrD/mRTqEOQeQh5D/kQ3Y0
lwLPi0MDG9DsSaGioXYj5x0xNTPrsV4Bi5NE/HL7IbZZuZCevmjmU/5Bea49HxlyVCLgeNBvI7Be
TNvl/c/rE3jhEjrJcSgPtmkbeedosEETBjHkY2O8tB14rQu24BlcXqlPo1GOExSjxdC1uO4EiA1M
lPNC6Y8PjTDfKpbGVuWjitdvUJB+dKAqwwJ6O3jWZjDThYd2acTKG+VVOdKqYr6haAdNUDO2OnSv
6+bGX9TPPgtIP3bnpzErb5Xh55WBFhW+bzNQ/sVlEnbP7aN3k78kLLKKGHWwqoiqdfKX1JXzNfx5
WVXN6dzQWA5eZdyQlMUdS8JhOl7fOOexmWJC9Vh7yI8gb8H3IDsI3noZGt9zHuYdes7iIF0XzsIG
Wlg3Vf89NYxqCgCF2FujE+fTg0lywEvLdaf9j26uP6umQi+Jk+P2JLBETL6yyS3Ph7WRv16fv4XD
HcwOyCc3pij6tGk/VghilU5/B/GRrb6konLh5T/ZBsrtmGitaVcW1kgvxMYYmlC66crsRajlu8ZI
N9eHdPGB+TRv8wp+GpJRN0Rz5nkbQFo+5gkwwJtaVnFgv0CXCvoICWBDSzHN0rZQrpVB/pdR4Nhx
rewz8eKPX2S70Gyhln3/OVComc2cQnM99nRsEL4ty76De96V1Tp39BCp6NAFyNkLoHnbVbtefrk+
m5ctQsoPcTR+qfu9Qp2OF0zi/ayDOKH0vi6nqCzBH+n4jyC3jni3BDY6A47/M8o/NpXXoEtJINwM
sXRpa5Gw3sAKHPvWAFpysq4qEC+YWyOADMettdjEeraO6PYEMhEkuKg8IbWkPHZZ5bmsNTVn19Vf
LQatI3TlgpYvBrZ+9ZcTq1hSBhkE1LdFkbq7Rj8kXN9aLQZIEap25KWDjgbKC+vrFlVCeNzFp4NT
Drs1ucI1Epi0N7F5276aMkLNbASLShsCSBJ6N+mqiFCReXVuJ/fRR9vQHYmX6hlnFb6PzwCABy00
kAQCL9jpJuZaKdkg8Rnktf0mfjdxs20fm6f06D3WK/at3/ZP1QHGUUKLF8vfFxf4k3HlvZhGIRPX
hHH3QSBlDv4QI7RoBB2S4a6Ni8O4YS9VGY6/luhDznf1PPsz9nYW+DSBYDoddm4Vlg8JK3c3NvEw
hEEWT13caCvSrZIudGLzwV3YYmf3rmJRefd1NkGOsIJFPgVHs3w2JETm0yFuklcJQZXru+vsJTk1
ppYb9aDMeNbO+xldYGCw9D0ej4G+cLkvWVGWj2myTJocQ6payMaDZROlu8r4cX0oZ3eeMhTlEhBA
JluFO2/QrNiYYAfuy+DGasYVZApjlzchVPoWMHwXtyUQ59gYIH1B7fR0c/hcNqiLJc6O+UlYsDFy
8lhjt9lSk9fl+ftjR7kCCGPmIKXv7EiKtidrV+sbky8EDEtjmb/h0wMsKiaNtgpwh1bPrOhj0LOG
PhqsSmfhQjt3bD8W6s9o5i/5ZEkmulW1qJftIOmgH4Mf3VOph+Te3LLv/Q8B6cjQL8J+yatdmkPl
rYeCxKg3qIPvynaVNSKExAIEPF6u78ElI8ptYXEjpSAKd3a2Fqx8Qta0+NVSc3Xdyv/jUvozg8oV
oemA4UDow9m15Wqw91odBd/8n4h83C+aHvdk7dYLJ/j67jB15favWiC4EQo4O15trOCOQXUFDQcg
Grw+siUzykUhp9rOWIpFctI6AgMlUMBv5RibwRK37pm7ebIHz2pdOtqwqDVhocBrSdIQ99HcGL4B
Z4muRVkV/XvDUu6JTtf0Kvcxe539I3Ht25p/R/QficaKrxs6D5SBYvLh74GPFn1DZ53ZhV16ZduO
zm5E/x4douJxBEdZSH4GQ+yGT2yz1Ek3Xz0nBY7Z4Ny/j34QFLrVdi97Aoy8QW14F1iQegH9L87u
9TFdOFOwMNcJ8QKDclHZ7AGw4lDGggU94wkydqxdTxVI+bzcWXp6F0ypPo5WuIOdocloV7g0KvmK
mk1kkd//1nhUnIMPIR7CgWHZ6WYV5tC5dds6KrylHb40FuU5NClwTdaAsXieiGwUHnTyrRqWGmQu
bzgAXVDSnRsN1XSWG8gClOe6szOeit3M2Q+mCETzduxAV7kOGx5CwxdUOf+TOfxjVblnKznpFViO
nV01Q5OeO+fNXaLhu+R3Y9/9saHsu7kBSnpQmNgBqXbvQN14VT55uyxuntjaj9t4+E2/ORsrKtbm
d70Lg6/V9+rm3xqminK1E8ArDD45u8noEZ8GMUJTVr1cN3L5BP/3OFW5tcrgSV4mGKfQXqcMyuFf
/+7nOzi6PmJQQJ5n4n6VJhviFUlHUt4fWipZjGbBX9qoL/UZnq3WfDnMuENwwQGGeAZF8QEYNFhr
DIdcK/Ux9sdEe7fG0n1uUejb22bJKZSi++YLZQXSoYXdt4gRx1S8Zn3PIwkscxESYQBgPjFTvBtu
7YwRgBgpC2v0tH6xagJhpBEp6yksQLNVhoXWdhp67nm34MmqEcA8FuB9TQ+HCvAPldIj6K26S6En
dcigcPg8lHwIacML5DO9LCoh/D2TeS6cKNV7/rAJ+hC8GrNujvrAW6wvKh5Y3QE3+vDLEFREwMGS
sBSgnnSgzfQ114eX0XK213eHek3B7kw0PesnQMgG9JynziBMOgbXdXGoAiO/qypZR3XHIMmTkGzB
h7kwrfOMYg+CmxHxnOJcTAyISiEdcUh8cI5myfBLw5GCbtNzZ8mHpGfDXz7789g+G1SuYOqAhpdb
njigepKtBNOeg8IVoTmhGattk78MRmANgwLD6ayBpIPu6HQmDb92aaqP4hAkmRnlU0Mf3US8VsxL
frbNsMRaorpqszkwHAGfDXvAUChXMJ4X02VpKQ6OB14ga+q7OAUNXFRUeRJrFfcXVu/M6UUTHYB0
wKkC04bikAo2Sx2nrTPNtw7M+02s9NEBg2de2ze5Ds8tMePR8e9MUTxQXt/b0Am6vk/PzgcwdCh7
gUMECBUwP8/7+FPQEjS+o1H02R2sib6PdptuJz3tIlF2r0FtQQK0zryQ1kscTGeNDhj1id15GT7Z
FYkr2DRaGDU1voyTvc4c605oJjpS61BWXdgCjNu0yZYKAyDY0UIrTrlwN6gvBHS9QPoAFAtEkcCg
qqJkGubrGpGee3By3Y8ryylD0U5LhbGLVrBpkLC04bx+zMSnkRpY3WZuUjtA5YdvysKCqEyODo7r
63hG7TfT6qLmh15QsG470Mg8nVDPr6y+6jVyHEeoN5qF79MoEYm+h75dWYW8KN1vJW3R2sBIBeU9
xjrI+NVeWT+n4Mg8Qv5x3NCp26Ztla9lqvNbSTX6zxPwV2zrH1zkbfW7U5nWf4z/+0cFymeSZt1/
/H/HyY5b8Aone/Or/JH9rwNCjHMWdvzPf1jYNah6/AvqXDMZ1Cz39nGX/0PDjkDA/tdcR0AQpEPT
7wNz+5887Jr3L/BjgeYQDUseknoQl/pvInbN9P41q52jkwkxBn5Hpu8//g9mOv1VzV+TVmWr/P0z
N/pH+8+fuGjG+iIYAij2Yz8DrKF4jx0djY4AbvggSJ+sOdyTu05QQGQHHM+8EcNDP3ZiZRhQhAXV
lrzty6pcmXrOYtH4PKROPcaIdUB4Y2f6WnNtEvaSFbfc1Xk4ZqR/JoWrxbSUr83Yv/CJfBN07J+h
QGJvdAdBn6ahWeHTYvznMD8PSyncYVi4B/BOo43SnaW51G5KAYmxCmdhfGC19LfgP9TfayRsQJGl
bT4+VEe0kbYkO9gumRDoVkt9bQrNMj4BX2B74KzC44qSito36xI3oFZt6A8yG9ZvPp/KA3rnaXUz
5Nqq9JtxbYyJnkErx0zfjIRmdTT4SfdFl0Z1pKKsgPVyJ1uEXRXImyIHiDoE4Wj51kOf+Qcoeoo9
tfL+VlitB5FO3aHb0RJAb2SSbtF6YN83Da+qkFXQAAm7no5tyFsGBmKTBZBU6jTq4RJeSo0oabOP
ceMWRpMduI5n8jXFfWl41k8Gb8aHwgmsR5Z2XEIsLND6sLJb/tsgGQhXBsbEGlcfQEejSOzb0UEz
v8mD0AAqCQi0qaBfoaJpDQtPhBIHzl+H84TjCF5HCB2A2f70WqU5oQEThvlAwd3yrWQZY+gNyyEw
wyf7K9qOnGmVN1a6p2k93rIBtHWRbaL8iugXmuwawmJcviJPFoArp6/K/F0eZNywS9CnCOdWDaFa
0gZu3rTioSH0vZtLX4O/jI6d018npx33CfriMP5/JD5xU31+pYfESdHnzuWDjuAjahoBZwhSTaHu
ZE85590t3Ar5y8hMbZVJHVjTgmnNuqi74rlgVUoiF7I0LuZioKHUp2SIwYIHHubC0jZWJwd4qCVH
A0ng0Z0LLtDYMqYOFM2lfyygiVVGoFf8NjkVCDDGbAJosjWI/WSPfvHuFc07cVC5WWUEtPXo0pz1
7MomFlDuzkOA66kZt56A4dzlP7Hx8hjPMFtyoC7sX1wbuHrRAAd3HxWk0zlqpDArmo36A97f7s3M
J3vWwi6dBh9raZFWkXadoHxmt7R2I0/23pOb8QK0G5DoCmLxXEZWQ9nPhRtt3pinSwfOe+wOdPwj
OEVX2OlntW3b5aIOpoeyBjWzlkjzIZ/cIk5Mq98WQpeRpgmxldUgXqWsICZHHe9mYnnxtvAleHzU
L5lbREDABTwyQFaKi2lAlJSWtaZDy6hCDTNhTgoOAAuLRFsbwtbw9NY0rSikPSp9ekcU15hh1WIC
89Gp6lXu4iyF/TS68fUvO3X1UXbD1ob7Bz4pwDyBlp4//JNn1lmsg/pZMhy9vPxWm5gm38nyCBzm
8DZHcyEiVNrzPsyBsHPmP/7gQVepM7Teb1Jojg/HwuRveAX0TdM8ZLQBD3o55DHlAYkzgJn03q5v
LP2NB9+R6kIxzpKgiWlaqBRq/hLyR71HZsYb5FOR4grm/iTV/9dGBypwwtWP7Wjxr/bIsnVBm/Lm
+kyfva9IH8BxAekEwhz4pirwTdNMJ+95ahwnHYSaQ8u0VcsLEJIl8LynAZVmvbDeay/JwxY8W++0
EOVSoHUaks/zj4WeSdkM30GvsRrZyQDeUFv207Efg3HjtWW9FrberjwTZyPz/N0QeA9+69IbDx18
aBUZkgfPz3cFfm5YJQHADbo1yCixkyWiJyUInL8NAciHhDKWA/RVStSJUrvTmyxhx6A0RJR3iR8R
f0RDgt2SUGTEQuIARf8665zHHDr0EShFnfsWftRSHKFe+R9fgr3gw5EE+ajaZGun5TgWusWORmGw
jZOCvA+NiEbsx7vBQY2zcGp65xQ2ioJQr1laI/XWUq0rYSHyWb1lUp0d0ZnRhFbd6qtRtyDaXpT8
JeFgHSYlGrFAlgLiWU2ApMkq1z6UmJc27NndAA5RbFSwb8FnBsuOcmmNuWGP5ahlR69u0BcFZz2u
x7K7SXqrOpa0rOI0A6y+1JIyKvuvldN9bVFSHBu3exGt9A4U7aQPrhzlWmRsKUlxfp5mitN5N6My
Aa6Tj/306erqNaS0Eo+So5X2WTwmXnMUlrxxRje9M6jA29Po/Y7SLrgDghCwAshTL9ye85b8/MCY
+AS0yCFX4iG4QEBwenv6pKSZVQlw89sJavqO/minU7VC2J9s284wwqpPsp3Pvfpw/TK5tDRAxSAp
NHN2IRY6NQzKACctZALD3GnXVo/tkRU5iSDhk62Ru2ELe8FUH7CPkYLSG24IeHoBxDk1ODFadHZD
6dEJGJAZCRVb7iZOmPLC3ZKOT2HdNuaq6Fkazg2KUSN9shF6KcNe49rtqIt3Tmm/nhperpxBlJGN
hGys08qORZ1M721WuLEzdq9uUxvr1LXSBRaui3MGLxaprVn211EdOYL+5Ib05Gj2PVlpuSVjwugb
hShvaBS2vRBPzTNytjdcsIUjjzY/s8qM+aOe9Jpk9Mgz7xntJ8OmLvwMPXHZ94oG91VgLeETz19X
UHvqOsjQEb8F6LJVAlMnJ5JlOrjJqdMgu5GYb/qcPhJo7ADKG9QRxOtA/Fs9Bv4ucKodEaS7r7p+
0yDzuDLDVsPM/+1GRQMpQhUd8Li5lVQ5IWXqDZlW4Q4x2tGP7Mp7Nc3hKLvMiGVSLen0KBkgvCGY
AR+lCDSnIoqCj3G6TcFtn3f91JFjqUmHRQ2IgUAw5aSmHjajbH7apXFAznottRklykx0zxIkHttI
bzO5GYiGao/p3Azp5LygqMu+YbqdJfagj6843RozOT46MWdKQ5AvK04X4oGCEyEpEOiFtR9GQ750
g8i2WcBQryiRkS9Cm1XMCntUFCnCPZKvKg9nLTZcaj0JZ+h3RsDYDx/FF2TsDAgR5a3b27HZltZD
CUDifepq07Fkjvl2fUU/KLmVr0c7go/FRLoFNR9lST0/qRCClOmRlZMME+7zFUMx46YMpBmR3rBi
RBhmVPTEjNM83ySTsO6mdpre3MQIbiZh2mB1yW8aPqKC2NMs1o0OnRQo7biZ54Wmn4tbc37YRq2L
2taQEcF9GoxJEtuNG4TV4NgRIvJfSFFrt07z6EOO+AnMxXVs2/kYcwbZ07LsHqYmR5E3H+sbwQt/
zUuXRVMXmFsTooobv0dgtDA3Z2cenQ0QLQJHE5qNdWf2ND89SVAv1VNvlNphqtM+NIu2jktHkgU4
z8ezoq4A4iyUwtDlDsddCciDtDUqYyzSY+vxKbad2tuaZQWBObxFcYPep7DOebdqNUM+gYzKAsMo
6fdogn3OklI+oJ+xumUBAzTbrr+ZXvHS51CNxjv77E7j10QU2UqmxUpvudhws0s2iYmckz1gSaCe
xxce0TP3G7hDUJQhhIf+qYea0Omk+Xo/NdhR2sFqIWkoG5MdApn9Z9b1JIt3Nb2FKwwMJsjwg4kA
JTj1cky0Gskv3S0OhOBgJYMHrzYdEbRb5d5uOzQ6ZN4a7GV17Bf6g9M4xcL7Y5y/CPgCDBDqT8Bv
wMU9HajeAYE5Tk5xgDLFM6k3KOBryRR636kNMcLOW7VefmfIVYBO5mYa7y0ebMTYP9TZ79Qk0UiD
hQSKAvycr0t8EcqRYDKbFWnUcExy6KGirlQcZNpZNxZq0qExEXMtqQ0ICzRy79Cyqz8PnBe4dNpy
U3aujPQE8oC6300ra8yHWFSS/tRQ9LqdCg1qSKkDuk6ApeBw5f5f75X5MUH0ghYbgJ/VmxN4B5sb
uV0cBuA5V5OAjDUJgDW7fozPoiRMCzLMSMfBDDgeZrfv0zFmOqhhIEdbHPxsaDd5L9KIGVYbJ1Pv
L5g6d0ogzDe71+iJsPBHZU9kA3H1SgT0IEmRxuYE7HaagFCeeCaNcktfWvELQ/tjD4Bu5YE0bUqb
wSX5gTJ/S/wBd4DV3bV5cJPZxqq2sofSr2+ZVUdAzIREu+FDuRHWFPoDv03HBe9gHt3pRYb8/vyK
IMsPSTm1Jzwtug48lg071DkUoGsHyS6bQn+yGrIb083hIxK/C+HmOxHVxsU475J51NNR5ZyTiAiH
T9fZaSAxzJ2RHohty43rNc1TMnHvwbPEbQYaP3AHmtaDsLUeEBGjB+R0Erui1NL7cmgBkNOgKn07
5Y1xk+pITZQJaOS1ekofgo6S+85Inq/vy/NwAyxMILAAuwka9lDKOP3eqnYTy0Ju79BK9NFiBYEN
H6gTl+CIi1JWynXrafvKr5Z6nS/EWshdIHMzUwgheWDNd/inE+GxUmB/gLUCecVpLUDENvi2fBkG
86fup/JLZ0Ax22p0K6IBSSDF4BQL7vT5xsUXzDsFcsio8aleh8lH9F8MMjsEbftY1o15QBMm6IbK
slyY5bN8Nxhq8LAiqsNo55YO5UxOlApe9xVMjdUN9cAdofm59dBrVXvnFe2uBm3HLhv6uAa7JGgS
47QB4g91hF0/gV7wr9fc0MGWgEjCQOz1AY75NPOm8FzZWxM5WNBnRbd83u58N3eO5v/l7Lx622a6
LfyLCLCXW6rLsik7PTdEKjnsvf3689DfTUQZJt4DBAgCBRhO27PL2mvZ01dR1cfKzNIPcppEK40t
844urqaCaPGMjsfFAyd/u+OQKpSlpdbRVfEN4yCZtF04auds35/dvfljN+f0AmkxwESvEc0/swN7
6k+xloXXqBq6kxMF/Yb0Y7GbTP1DrYwrggxvnCEsu06NnzQsGab5939G00sz7unTia5S6XxMsire
jxNpVRIJ/en9ed0/9YTJNqV1YI2Q5yxLE5Va9kMNTda165XfeUNTteKr1Wdog38lYyP/Bu60Jtzx
1uQYFM5PBd4jCD1uJ5eXIlX7COoVJdKki6nVnwOYeY+JKf95f25v7BmJfuqscF4QwCxbnsJ86Kaa
t9krhdrti6Qxj6agPUPti4cR9NTKBXgjWppz5pwNXJQZrLC4jkqR+OSaVMWbwsx6NFSl2tuhmJ4o
epHwMATNmlF3DGNrulC8s88lJayvTltsK1Fapyr01WMVGBMllsoKfrVNMxzaYvirhUP8AqCk3qRT
LFYAO2/sP6ZqPmS4EA67crsZaggtrkmLnVdVlr4tuiJ6lnL90lg4m1kl1TRiwGn5/r68uVAgIKid
k7Mkf7q4sqMviqxpS9Uz4uwAhOXc1B/j9q8mqX9wqI5NCE/06Lt6miKB7DRuFMDxmJ91/1BnqRsb
3Sd7khxsjLnRfeUY9e2KTblfFYwJGZEZWGTR2L5YldSHpAl2ruCq5vK1bZ2Xupe1p1K1L7pcpS99
VoYr7tW9FZvjVK7DHFyQ0V2cnaKoEast/eBKIi1ycyezoV9X2sP7K3+fuoZC4Z9hlmmHDI+/z00r
uJrlXq2abewk585wog1FzK9mMn2d7OaQBtKl0oefaIisVXFWP2CxssYoAk10TnDldOylHtyQIRzZ
JSjct4W675z4UUqcr6l/9un0TJ1pTTnj3ijglnDaoZLAdpGDuT3wvV/GeqflWJ9Sg0gLXsp0bP8q
AQrhaf3l/eV+TTbevk1zoudVQoCizV1dL2m0SAhVDq5aGb3ICk5YUkB4PmapSuOHlu/1Mar+ErkE
D3My+psil/ZDo5vZUa8xxTHKhBAQ6s6lHgP5b9QUJnpKiWRGbmGXf4raJ8feTuVn8gt9DblhcJCs
GJpDXR/SB8kJw3jrQxy5hfow2olAhcVuSMbHyA6dvWqM8ZNqJ8Xe71LzpyaVyaYpRv8rRGf+xWaT
VkzNW3vPjUI/gvoirOZLd8XXytaJCyGuLaios5lOf8CzlWdflfZap7Znw+pIwE+CzJYV5Dvq2cqn
QitWMsT3vilFVsJqQmxkcNA4vT0AjayT8K2U8GpwDKE1j/86UykOXdXHF6Kccqs07e80aeS/7x+G
N8bFgQASZM0ylzx9t+OqkGcGWd0F1wD5WDfC0X/OW0Qj/FG9yjhxpwGC8GMWNdYK4fMb2VbqeKQb
idtwKSjt3o6cS4CLS2oKV1mldge48W/jp9E21dSk2JQBHUJF0vtnp5A+y0PjPI/qqB5AZIOTaMJw
Z9QCeFChe5FtPb+/Jm94sOQVsa+kQqG9haDq9tOEBC0zOSLHixz1R0EuZFN8UUEHAKVHcjoe4g9m
E19ak2izV9Nza8V/aiheH8c4WOsdfsMCzxkXUp2omAEUn/fvH58rp5m9MtG5RSwxHn44OXVc2Zri
lVNw7/xQOORpwfkh960sa0F5Ikj6om/lpXnrdUk4XOrIqQ59V5li5Ul54xFDz5JolRQuhm6JxVWz
SROm2vteSrptFztdtA/KIHNLy+y2pZZ3m6RQ13gS38gdccFZvVl5Ds2J5Y5mpSrMis4wOvYhDHT1
Sjc2dQ6bX66LbwCCLTftzPCQtCPmN8pUf0tb7bM22eERtqISztTKcjZ1U0hnRbYQhyps+W/d6p9X
Tt5s5xemGeQeuRluItx88uLBnXqp7CY5tb2gN9NjrpYmcOUp2jSV2n7BgPzIFK24DM0on/kq+2SX
yEpHbfhr5TvmcW6/Y1bF0CmG4DtSCpjfq3+OnRPTVtSUfnFtp6z4YsIGcyKAjHDFqn47UuDdmgRr
R9X0P0n62O86/PhtNw6bQhqybVqMO3WIjEsvQT/bTInYDwWybdk4SA9JEq6RfM1fc/O1ZB/wFoGt
wutsQ1p6+7WKQdY8x5hc5XJoN/JQkflvok/ONDmbYXL+8xFmOOj2sdM4YzjWi8WJCRWAxWoBIXQb
gWKc0v0g2eXWrrJkb4ZZveXRTVbs5Z0hmAcFXY0RoBXBWnoIFUfYgjMyuPZkYjbkphMUStJx5Rl6
rc0vlnK+lXOiAC5+NGJul5K4FVY+uXC8uI4OpElIa2cunAlu254cAW1BoG3T4NC3f5LuIZdOQyx7
XfdJzXPqLMWDNMTbAH6gQfSHvIz2RvEJgVlXFx1/6ysfe4ebwnXhTuP1YrxMIEqLhE6VoXVWprnk
NRQOdlbaQVJeRYc5DvoIjC4+JqKVtmPlvFhjbZy7FF7mLPGpXcmDnJHql62jANd+Wrk9dzYOrSK2
i90iXoZlfPFdRORxP4xjcG2ppu+DyhfHgCDpRKsBfM5mfNQLqsGEDMGTLUfRAWWXfqv3YXtogFEF
bmPbLfS+LFozij8B1chn0GDT4f3PvLs1Ou/bTEpBonZO2Mwn7p87rgdF1Sihor6MlOb3afYzgDpV
mzLQ3X26fX+s+yd17gRnGDYLb54E0WKweIrxFonjCsk2vSrXPUsMaIxGHW5jUFjn0KzVh9nf1XM7
eoAtQ6bXWf6ptQKWbOqN+/c/6D7ag0yThw45KUUFMbuEANhT6+CCqM611WvnMLT1BH+BHJCkBDz0
0kLN8Vh1zjdE39VDb9P/b+WlKm1pxWQPyyE9QAfrwzhb1h9tIEG/ilIiG0xDV1XutDbw3dGx/wJa
hu79/S+/2zY+nBQiNRi8eOUuTNVjNM4U2devU9jvpkFYG0nNnynQ8VxQAPrvg4HcpCCHEzIPeLtt
4LHotqoM/ZrG8XgxjSzb+BnVxgZVjSPkD+rKeHdWjsmRfNHRNOOWclZux2syDmDat0wOlTq3UCEC
szp5zcq9OQqnEMFzTiKwvdtR0tQsSrsy9SsUa8OmK0oAOI5WriQUXrNUN7YUC0AGkGdURvSRzNLt
MMClI6gbB+uaKmp3kaWm/ZTHQb9t6954sbVMnsmqiDAia4JOnzT7Tonaydhaam6HaLBXxg/dBwm0
qUMlfsnxUAJ3Ckf/r9WM1ld7rP0PfVvBARdkstm4s9e6SUJyOIRycp+53VDZO9XKgycrTuNPgL4B
+oihrisXyrp6n/kZnSTymMeI4zpGeorQA3YDiX9vQHIWP5ywOxYyadyN41c0/E6BGhZuaULcvYm6
RN1SIPF5AIFgxui/WbkiNbsiHpS9rydg34tADIHbWQltTzxbwcodvrsJvFQ0AYIIJCxHkHXhGxO1
TGFbOPJVF5nY1eCAYd+rdb4qibcahYaVw/naT32zoeDqkS2b4Zc4y7DW3m5okxpx1yRo3iqdfLat
b0qnfW9a+yLCBJhy5QbRubS/5+H40iexq4DzLqPkqEFI4zsbEqY7VWuOKkJHkvWnbv8m+h+KwtSK
VerCwi3KZN9QVRa+tE3UZ40aBWQGDwWFpIykXSp9sruxgeNfeYYFcp8r2U5OpG3Tr9TH74KBeZYz
nwtQdRKHy/6MFue9l/sCYcqxI9JXq/oyBGXyW0zdx/ety5sj0Srxv8IIpd3b9ewDLezsUJ+8LrLG
LxS5HzjU2WlqmmT3/kj30SaTIqE8K13RInHXQgUiUPFNp5y83BheRK3/qpPk2TYBAuZdfRRdrrn6
2PwVFfKJRu0mUXLteZTjsN8WNgl8uVw5TPdYm/mLeBTxIyFnIiS6nXysqkIeZcRSw9pqNnGr6qdc
7ULXanQ/cIHLFbtKHcxDmij2JepSajXmuU7pWtAGKdtaCtmSzizsJ0sr1G3eJ9VKwf3OSs78kjRL
4lrzjdjl2w/MZYI/K7cUT5qc6GTYJR5gXF9XNmae5u2dAoXHRWZnqJPQGnk7Stc7DU0YKjLHxH17
Re37mKczMU49vqjbhL79rc2dq5Y76tFMxLDxJxmMHA0qB1OEdKs2RWs9dqH/uw9nRJQQIVsZK7Hb
SXq6coxeESiLr6VySAcUTyJ4ZHvhxsSRXih6KLWeZfIKdk4kDpYujH0K+WFJ5FEnZ8eQxkeBSodb
6LV8IIKHrD6D2doPtOqaQB91SLXKxEqBpVOGDIKNqkIaRKnacRMW8GxMSptuOgrsLuqIwaFrLcly
tSBjSrlO2kxOYOjV8/TgaNPeydL6V6zWqEIDBfFPpeEH26wZm0PmJBl11552oNESe9II6olz3u/C
Jqq2w6iKM8XHP+ko2kNXaM0HMfb2HknCZ3tUHA5ioYjv/SA7XlPk+Z6C/rDzO+OJV/tSa5FzaCVo
298/Dq9NzYsFpikFjofX4BMP7fY4FHEl5FhrBs/MVV42x2iC5wCN0z7wJ4D/pbxF0uRzrUT+E9V3
yxO6jt6qbIprNZW2pxVEnW1qiUMZDvVhQprloWlDWjrqYHgqwJc8jH5s/UHmRNuS8JddpH7ro0P2
deVg30XQiNXMzj9/QP6Q7ridSGcOsTGGYY+STq/sQvRithzf7lBlivyH0/WrbAT8lM3YNft4qJQ1
pMJ8b5YLCSofglj07mbG2Nvx05IaR41mqadGkfVZkWpwz9Zgn4cejxQHZDwokSg/tUZQf68lopQW
Gq9a8Xs3aO01wdrX0vria2jMAnIFS/oMvF0YuzHQ1K4tGsujiy86yWYJztWeDOtiDuPLZLdyx9c1
cLNFnUaqPap/pLSi/lLaZHyh4FB/1DrfdFOcw8eokp3nMi7zh1HLrCepTtNZZC3e0yGWunYhpzSu
m9G+maJuZw4BoY0z0rNa1CFV9VSvjJMqGvP7iOjNh6woCmflDN+5JTNaExQ63jm5tLvSb64FpDwr
u/U0qBuhOaojD8xNdAABrGyqsq9WMgP3YbAz15hJQ4KmBnez1OfoAdgXyEbYngIz5d4qsuk7AUTw
KJwCeZW4krdRpbR7Tn930IephNpb7363oZX/AIVX7bCo6kZFxWllIe4eEBIIFMCpS4MDuo9Uxk6L
9AyNLa+AU5EexNw8FWq/xrMyP0M3R4uqyRxsUysmTNGXmCZNySJZFZPjOWrz2OWq9LlR+zO9jMrP
923T2wMRKZJABEmxLKRGaWgkXYjaKZzy2SNElfnG8sP6UNRqtBKa30ens+IP2Req7a9J8nlp/4nN
0ZTRRltNbE/qxvR3lkXaMzGo/M2sEK5xoim8JKP4qkkwOg5lPjuIqfMhkEfDhXWm/i5JUgQytzCP
YzqmPC1S9NXMpe5Ic3rQuRopRTqBDOfP+yt095a/NghT2lYdDj4G8ParxzaxERBtbA8NDCgHZaV2
TYHOGQjcrr/E9ug8SkY2fprKeE1O6C7lwtAzZHvurKK5eMk31+VGSKCHiK7dTtFO7l+swZK3PeRz
VWOGbjz6a9mntyZrcdXnJI9tMtvbyVZGILQ4lmyP2xlvp04yt12RBU9sK7qLdOeFF5vaUuOa4bCW
YboPLZkuOXQYAUDZyHzF7eBDFTlhnNe214hR+SBnsLZpITwTU2Xnj3HXKntR+85+tCv4yAPbnrZG
ouSbTKsD1GtK3Iag7C69UVGqK0f5O91DtMkIc4LjZWpTIsgyZOkmOiLbuJEvk4HGmBGFHYKpvFqh
PyI9YhCz7iYaOY9NE1qvHQnBjkPQ0G40JvuurkZPQr0zIJmDhlQkNR0aSKjcd6mkuwXKCZMLSlIc
K1mIczhBcGJMdA/rtn/ys7I4RUHXPEaInG3ystc1lwSH2KT2MG7MVtY+vn94lfsNpSd+RgoR9dOP
shSSRExOEUkbI0EoaQZiRh29jOhEPYp0QpHKaNR407C0D/j0n8omUTZRY4otXDjdCV/xg2jUaBfS
h0cfawtOwE/7+tHydbGTFXUNrHBvi/hWMApgH0msKUtuKaUzW6kWCdUvmH1++Ha20yZ6uoNJvLy/
KvePGUUIaINmzRlc3iXhzjCJAtxPo3nKdMVZBaTaW9axUYuPo6msuEz37wUDzMBR3kzAaksDa+VD
HmqJgdxkH3ZPSt0Ym7QbpO1/nhGPM5tEKh0IzhLoYw6qThVB0rxyVPG/uhYVwzT8GeqIHlg+yIP3
h3tjUmDZKe1jykHgLPmGSyVtEVOiTjlJPXVOq/Upqfl9u7JP9xBDkrTMC54xRBJBhyz8zTGv+tYk
PvDkIPhutCEA+tGHur+Wm8iVzeJBjEO0n4ak2kHhoT+rYfzh/Zm++hm3LzE1vRkmggcPrmmpq5sM
zdQr5aR5zRTHOy1N+uOUCfvaGP4zcIrxGx15PAlGlSeflcIsNyZZ+8Gh87uNRu2xUsMvwhj7RzoY
2ody7Ie91Mj2QYPufe8Ufn0NlDxww0nvTn7Sk7jr6ocx0d0mqOjTrtViY3fpQxTTmpMA2M53Fjga
t6KDeVsFIjxHmZKv+V6zoV3MGU4W6hC800TLyyC5CseycpxW90TaQr1vWcMlyXGxtDhRvcCyyy+V
5FzJSGHxqBQAa1Cs7tv7C38XauAN0L+Hq0UQTXfqIp1phLALVammeTbNSafWMFDSpr3yIU/tdgsH
3Y/GaLI9aGXPLEdtxVV5wxIhJTbX3YjjAa4snsFcUSPRW4XmJaFxUbtGTdw8Q4Var4Akvz/PN64S
kbdjgtGi/gWY8/bRUywxInuf217ej+Jn4GTfyy6UV07xWxeJbcSPnAmNOMSzRfzH9ZLMQpYkdBM8
6KVpsEl6CYQjr99MtEgJqY4ultTl0FRl1sFI/T9lTN/O+xN94yUiKUQ/BZxVuJrGInaLI0mzWy11
PLQGLqo+Pqljmj6bZK03Y5mnFyfiSUxRXn1/2DfWlyaGOd+DPz0TxNzOfGpqoZNtdLw8jZV94QTK
LiiQOf1/jIK+BraewwpG+HaUVEm7sGp9x5NoPL0mQr5oypA8vz/IGzER7WHc77k9f66XLJbQaAOn
bgfT9opEu1IlRBCVBp6zFhbFpTD18kXL9fFRt7rPUTDIz0aYGnu/tup9omf9KbaC5twazcoDd39R
VVKqsxYNUm6WtYTrlspIzQhcFqp343epq5uHqKR90HfyLtpEcgNZmNnTHh5hgs6Sr9srb9H9ueJ1
dRheo32e9V8c7cqWAyVWiCp0dCPPfdbn27pB/VKLn8sa6u4s25K0XIM23bvm9AjgWM31FkgSli9T
EgrZHkvF8qwp/5rEHXAz+CzyPnqhdPtDk7puxSQtmMHoyyFLTyxM4RVGO+oCi82Pu1gJ6kqaPHyz
9jBWhjgUzgRt1ehXj4oZ7C27Uh70SORbehXSnY0ezLYHx7ChcL8mrHWPPZmBCXjqtKjMLK3LqEiW
ip4AFfPcFpmxkyMeKYTgo/R7TGXloc7GwmsyW/ktOwGywIBLxineOsMA1IgGcu2zLkOxo/pTuit1
ObwWmkYqSeNd/88XU6VZne/DUcHwLRt8I5FWcqniUyq6MK+mkz0mbRuuXIHXBN7tg6niSGLA50cL
/PNibwAdt5FCtcwL8hSN1zBEwyUSzbBPx+YhjNNsazTTuMtaWd07WvuhnhBuKnTf+btiId44ljyX
yElzMGd3ULu1Q74EL59aSIrXj0p8CqIpPxW6QQBECimCzl4q9O9+OEIOnLXxIamt8Sq08tTSPvit
Dgr70SkgsiHmqwhrRtSST4GapmenXYuq760GrgUc+yR2gMLf88hS8K2lSDG9SZWmP0ENf1LeKaje
6O6oWcdwiD4lSj19z6G+WjkSr8mT291i7JleGFoPCs5LZI3UTlrUO4PpIe/gkhO5NKVWuLEDo5Z0
nqZfVfq77IZfeWS7ANROmdmebRISbjbh59HOgojNED1aTe129kNkQiqAKlBtwC/p/De6zPnSc3Yh
WwBCCwcXeZPb/QzDHGxgEOpPoa3/zTpRPKVJUGwdvQtP7x+d+5hojh7ogJ/dHfouF36IHES1lBY9
ZPMKrIMlOgj7PrHyXQ3gYjcH7ivuwH3xirFgtgJ7g5fp0DlwOzVDbiiINIn2VPW+TZo/1Q9SIujp
FYn5S80c42yWWej2s79vxLPShB/uSInoHxMzlJAtj6x91ZVik0fmmtNwRzpGrodGcXIRHJAZMjQ7
iP/6S1j3fNQa0wv8J0ABRYVc/Bj+CvWvUqpsBbxLXWw+dFl2QQJ92MDH48bqz8aYns2gfqilo2lD
efRRoulYKgbXkZ8q9VHYz2YH4jZMCMS1beX0m5kFagCFO9THJj90krV22N/w/JgJXjQCvCouw5Jw
leB+ykz+kGALP4fVrFgwVSi6RW3xHPh2vK3h6vjamkq9gZiqONSFtNJhc2+TiCQQRaVg8BorLk4W
JGCqE0Sm6pm9UC5FIj0jLr9re/1R6UrQfqL/9P5Rfo0NlhecUwXwGbAf/AILlyBQGrMKh4Bo2EjP
ulHtOgoVIQIxcV3v4vbFBu2vS0DSZbGfxmzThkAjzfyUlvnnQDY35fQy2MVGNs6hf8l1342kwhuH
XROHG7tRj4mGZBHa7lnz8v6Xv/GQsFb0TWFGVLCSSy2uUs6tLIw11SOsHp5CyFVfgm6I0PWplQ1v
GQ+81QU7Q5fkQ13rxs4XqtjWE0D0979Ef8NAk+DhGnBBiX2XT9qgigxNuVSHTm4Cd6A/RAgnFql6
jUW/c+IXJXpO22hrS+GxhB2TSwRSYNxJRrkjZ3R1wr0aSteu+DxIZ5CTRvU5kg6VAWWd/UvITwa0
esUV4ZOPZlAeSyc79pb6WWQnU5b4L4FnRfWu95/8Dmo1+KTdIAQI0cS/fNU4lOr0TE/9hyRD5sNo
qINMkvU5a53HmTmA0GWth/+VK3hxooiDXzldyLDQbHxrD8x8DlaLTvYqyJl0CbM/+a4Zf5GGftPi
+gjrOkYfSfjVFBuRt9AEwlaXcPg7aV8GxKaCziObNvThvgjomqeTOs/kU2tr36HoM10rS57hc/Am
JMqaTzncQrJxfH9D3wgeIJegM4IQE9OmLSUd4Y2BVK5qJ08PjekSSiqUB0SL17Tw072Y1OQQ1Xn/
2OZ+dJClygeMHqejSz91u5UMOXmwuqQ9hUFnrzUr3IdoABjwJLG0UICZSxr+vou1sQAR7A2NOEdI
CrrC7I2jYie2O6FLQnI3bb7jiI57nLjuV5NNYm9Mkew6Tv4x99Pha1fVK0bkLcNJ0ZfeWlAMFC5e
L8g/T0A/qL4eJbS04Qsp51pXv+HehvDu5s5zl4biYJroAmmVCkaNTPPZCrU1lsX5lVmcOnpN4RGi
E5mlMRevfyc5kZFr4DsCLT4q0ASAEaBj62EKwzVH477tf06zkNQjpoFx+a5jxPCN3Okaf/Rqe+zO
0G1dJr1MzgZta49BDEFe2dMmg/R0+C0ATNuAAko5sF04PfAKp9ssSngVC020j06nKj8cKbCOahWY
z/I4WY+a8OWVd+W+rE4qgSMNdgkzr8Lld3spWyUWdlk6g9fK6Zm2isETDYVvN5RV8oHCcBMstGsO
lv5cy2P4IAsK576D0H3TxcEZfkThqnY4PtVVOnhKGtlPvWHt2sJqLsgXlTsiqEMQ1PAXZGV8bRvp
Z2BCzLJiat/yvGC7gLQJfIANYOR2Gmk76eDXWu0pqtItJAn+FhiP101au3EKfWWw+7uG10WcTB0L
yJO1dGyA7tmhUZba0yC1yqaUNGtb1tWf923N/bml64dyMTaFqIcH7XZGcTRGBVDUxPP1MPNKu34Z
hWM8TnHxn2P/eSBKpOS1kAOQF3k6Ot/9TlfrxLMCKTs6Zfe7Spxz1Ito0yvxJcP3d6s4/c80TsDV
DYqBNK8AleX03c6vy/3YieQ094TlBJ+1yfimjuFHvYgBszh2e4zD3N+/v6T3+zYPSR+ANku93PXS
+XRlW+nU5J4U2OYF2h/10hhr4Kh7T21GABK/Em3QL2qpt/OSe61LYfnA1wH6sYua0Sbnmkc7y0xV
d1DVwZWSLl65xveOxszOD0MO7WoEg0vAo2VngQ/beOFlo9EfeIKll7rQ26cqsn84lX6hPK6Qg9bG
S+6T4li5D/e9Aezlv8PPn/ePmRdWJE1RXBfeJFdulz77yaMEKqvv0C7skcWSjY9+2h114O55+zO3
O5JpcAdV2YcSTdjC+FTiu8fNYSovHRJapNW/20V1dQKBIpnyEjprfI1vnQTiLdjcKNrTQDX//s8H
O3KWFfYoShLGMEg3vqPubCdfE4p76yhQcSH+4QnEuC5ulizTIm2EcgENThycEhGyOHH2ebTTzB2j
trpak77mB7wxJtRFdI9jzm0mt9gKtRzNejKN1JvL+yboV92oXwwp3Qpt3EWlv6ngdm67n5BLPEXF
h9SxX/JO2vB4nxECuOpaeMj6tTtxb53BJcxoI44mQL5lZneY8rEtYiXzorz/0phWTkZENk+TnsKq
URarYfH9IoDAwzrjDlGDwbDdbm+hVqVgzq2XdHr2JU6SYF+V9vRZjCqQK1XQm57oUf8U16p/anTn
JeNCf8pEiTdkwTNY+WDMXMcMtJe0ycQpKqzpR+oY4cf3DdIbocoMoMfw4h9BnmQujEUuDIBgVQHF
Oc7LsbZU/9L0mllvdDP+OjjN1c/qfZWT4nMVycw+lROy6DnxxsobcL9BBLa8nHi0YNLIRd4uWGQr
QZ/UoBflCnZSTeqlfVs75SEvDKqFSr7G1Hafb2Y8nI7ZVFKjXhamQByWUU5Llic6ZOTVtCx2RmNH
j2ml7xt7UC55D69AK4Zou7Lisz9z6w6CQaEgCgZvrqDoizupWpMm2Z3VerGQjZ3IavXQjYZ09ms6
PNKml57DYKBlqGigSKOl95vgVzASwvAmoPHbPnXW6HLeOK3EhwChAEVxCJYaKzF6i3JK0cZLG9U8
4sn6Z8Mosy1VuvwbYFtn1yXDt/fX4d4A8laAiZkTzwaUWYvXtxmDvszF0JEIJyS1ldhCzgfOs/dH
ufdhQCq9NolAd0r9cf79HzMbleh/VElVepBl1OAH0/pgK4X8PIWOWKm3vjWhuX+I7lwAAuzx7VCz
/s1o237hDQK/wQfTQk6omlbe2deSxO3xmVt/gVdgXFm3JYMV/aCEM5nsP0U1VWhzTLITDtQlSw1z
o6Jcsyty42cx6sNDB4/cH6ehpV2ziLCTKs52LVWEnZSk9cY0ph8DntG+V33h0kKvwSWQwFJdmOlu
lDr913/dCc4VYQkNw2A/yRneLk9lNtYIgMJ/QuKePE1M315uZvWhr0jfvj/UG0EfTsjsUMrsPSZ/
sRV1CqUvcJjSo9XjR0OU9yKqzt/1cYBKubAdN8FyHzVZonhvTzMXY1OvHLx5iH+3SUNWD9fLJGs3
iyEtp9sMrVVlRtM8ke+U9r0tgp1wRvtzZyfi2Me5OHZGXXtdqF3yDvHEtSVYXmkNJqfZwkByzN3S
lygsMQpLFHZvPbVwPj/0tlqeRBnsB3+mepOjXRZxq0NNn4jN42+iNf2T1NH+1xBvvBRShxZRUob7
MVS/Dn7WH3OhtLv3t+nuE1kaAj/S4RxjHuX5Qv1zN50goGdk1MW1c8rfYd8b5Fzs6iQbce5pFYBZ
TWTt1/fHvKu/zXJmJFLxUXE4+WsxaJDBxU5PeXRNNT340AcO/UVGBINMQsnTHui9hk41PEqa2myG
WsouUKinm9icCoM+qGItIFg+e6+fgzDn/7wToq3bNWiBEgDJs8W1l5yfkdp8TTXjgC4tEl5l3q2c
yXluN2dynvs/gy2uIDGzIF1viaveCvvBh4cbpABcue8v8f2UaFycS7k4tzjldy+r0gXqOHTiqjZO
+tFOfGIQdnlTId1zVIgoV4760sST5lAALuLGcNNg5lmYeJV8jvAzZtUHxs/J0OOTETfFJhyltWfy
zZHm+g0hKi/X0sLnukT81g7iiniIbbgZ3F1uMnTa5BI8Rpv3l/HO0L/OC68XVO/8pMiLefUxnZyY
eLoHlGZTaNFes+fqlYBCsB+GaTP57UsRgzoiHU4njrUzgvEop9O+SOPHcRrpryApjhzSBsfGhVZl
H2jBBTaZswjiFad/6U3N3zo3nOszII/3fPGt0OhZfmQ64hoWo0oDSGa/TI2a7YoOHopcFv02Hw1/
pxfDWtz51p5Q6DKgciSapQ54e4Gy2K4q1O7EVaSG7iptpD2IxPfdQNaz/9h0NE+SyvA8T5AoPPG3
Q0mTORqVgIYrFFaKxu1gbiSn71f2/f6SzrcUSB7HDC9xWdb0w1hqoi6IrgV9jRQLYtwwOgn375+u
ty4pTwPhGUcLApP5939srwnJIS2Kvbj6jv+UBH7nVeRkz6XUD08CHrXT/2e4uU8XpguEXRYPMsAd
RE8K7ihtHhCRmn9xMcudI9k/1UQddu8Pdv+usILkx6mTGaBll/kP6FbVIhpkzNzQGe4QhX9KuYSq
q436Q5La10itf70/4v0h1KBaYCFfM8ygXm9Xs5vUImz1njK4boIrToZqD/Vn63Za2a9Y17tMBw4a
qj06yQ4M7Ayzvh0r7gwaqjLVALKh7dXa3w9kQbeDXdOO3DdnqW+krR3aP438gxqox0E8Jvo1Hz6F
6bWugBzqZwUMsxqSDk2mvZAGdVNZ2SdUF3zkhpq9nWgwSeUrn30XZ/LZ5PfIVc40fQB85mP/z4Hr
C2EODuGlFyOU40bp/1F3Hk2SG2ma/itjvIMDLcam+wAgREaKSFXyAstS0Nohf/0+SLK7KxBlGVt7
2wNJI4uZDjhcfOIV2uCjU07sGiW2n9ZG9SFBMdA1hTDvFLnvD72CyktiOeLCyv/FtyLJgZZL6mEQ
Cqy+ldGIxkxSxLlFLJTrpTW/H6UYTivg7QsvvbzT6X1rLQ4CwBQ4nEhDVu0mZPyN2sml8VhEIYpN
qAZuR7kpPry9+M638ukoqxcqw6oymyCcKGPaYNM1FQMHW9mlGk2tILxkKf7aMVy/1GLDBjUdU0FQ
6acfUpEQ3rGbdjqGhbKV2uC5stXAS1tIhRGeAId6+CQl4U2n3BTJvTkckvoxTt5PydEIbtTxa2gf
jeReXYxYJ6+re68y74HJHbPqpU2/tM0hH76FIsSPGAGerap+s+cvc4eUPR4DmLPbttsFnwbkxSfn
4NjouQjEvz+K6j4cb2Lny+BomBQ0MK732Pt5jvKkGQ/S/CzLGzJbaXgQDnphyc6ofzj91aC8Rza/
pxyJ+YZrRT8kxyuN3O2TvbnoDH0pwg+DlLpF8pV+ehpBYWlfrPh7UfzIYcjbgU6YcZjag6J+qJw7
uwMBpfoFUsIS+G0ru8L35EK0c5bbLD6aAE1RMaYuT/lgPf+2EY8RuRTowY4WZeco75HhN74KZwyv
azUKkYfPlSvoEvpNCazPRXfXuuTo8homr1YBacWCFiRyR+F72WU/bec8HW3IXMFwFA2GlrF8SKr9
ZIgXLCQoFEXZd5qAmT9nxlcFp0ZZeUkmKn2F2wHEqbHS0w59PN9k7Ud7/DYr3x1ln9nwOaS7Tn+R
QFbgKHubltej2Cal9UEv1Qcjf7FGuscoY3iU7S6cCucBDBBhclOaHVy5Z1RfQ44iazAz7ajG8K+1
6FmicurFkHS2emEU12j2u5pTGxeGPWvnaq9tOvCgizkcIIdVSK7UBRJnxjgdO52PlFhtvRtnxC8z
IxA7PQGRh/Zwr3yMtWAn8iJ7SjvNuI3LrLpPy16/FV0XeCbQ2N++sCnLYBeI3iiY5jNgZJmmRpRh
THtsEaQtEa/e6n1he9TM3HoBor19hJ0flJi8cJZQ9tOcBQF6uppwnw/lKS4ZDcnb7VR1BQTY8RIY
4qw5ymRzS3P0LxKaCB6vto4FPVdVKhVaey5dBZzI4gooM16hT32eswb7iFaa4YWKFHpJCDpzVr4k
QfHVLCvNLZr2Ca3RXZNmXj/Cudfmi+7v55HLwqzjVqduQeK0zgbjhD8WE/IGrSGGB5iw8T2xr+n1
tvUYYGr0RJtF+/H23J/fh/xSph85U9DIQLtP5x7djdqkPC4fVQl2tnCidtuH5bjRzEvx8y/2GEx9
LiuDZuJCcTkdac71OZJCoAsWkmd+GANthPrbuUE034TRjsJa8HUwundvv98ZxnX56sQdIIkAXAMC
W+7Pn44qLS/BF0XZfBxgiL/PASpe0/4qEd1XpmNBUfsYFfWA8Q15vi5JX0shoV8VT5UntBA4Bbne
roeVemXCgnflrOnxjRrSz28/5i8+PXcqpwH1kAXbv4oVYhw+kqk10e/QghJyV6s8FHVr3lX6HHtD
bCQbre8udUB/8e0phIBCBntNRrPWlyyQc2uCQeGLkDXPo2JT8cYTAjhAf2GVneEE+QqwzUFBQr8h
hVqLOU7SBFTLdsCtqInpK72MY3Azv8uqdAZ16Qj9+9Si0+VU2QNdANfEMvNT5RjjTkdb8VMzps9a
2DfbXmjab0dpcFNM8jkej4rFmkam4iwftWPVHGlvhOgjGZJbjVV+4Yj71TJcun2v98vynVfLMKsr
wDNG3RzjdgZZlEXTtY2In6vUQOiEJunbZKw3siriLcGI6cfWgBx40RzRi9A2ALOKbdnJn6CezV62
uLBM6Theesjlujm91lHBIn+nY8hMUJs73Su26MBhm115FN3HGNGvgxo0zUHPjOFjUQCbKUIHImQw
GTczhjz3AgeWjZxX0cdOHg5D/tvuk9oimwe+gcoCXTQy/NPnsYSKXLjRVMcIato73Riqu9lOPuZj
7HyU2sR66iew+1Js30hNlB1tMzJfVDRDMSEcPiRxQ9+klrPfv64WUR9gifRMyNHX11UnMMDpWrqq
WRhVz3FbRtu+SOfN2yfC+aVIa4QrGEw62g9gPk/fvQPHLWqg9kfLzqObbo5R/jUn+8LqX5bd+ovj
AQtYgCoA8iGrcyfLQDrIdVlDxicnglBZb2rbmH1TigDaj8lvNkmWD8pY1KMJHjXArKcvNRh2NY+V
Wh5xGBPXcicTBA7WhV7i+bHGOUOjl9hlsWNZbzVVyCHZt1kh1BGGkMvbh3JUsq8OKoxvf6Iz6The
h9LT0sbi2l6kz05fR1XmyMokpz1ykSHk0SnBXrWSnZm0065EF+Jb1aj7WIjpcz9OsQfUtfM6VUtR
i9aeE6u4pFF2hpldHmgpUC0hDmJQ9irEqQQ4jARv2WMbDftON1w7qRQHxkAXQGjOU9kr80F7itjI
funIG1kMjj/LXfcB88WF/ak7JQ37cnCdCO0aBwXeG37WdtNc9JtkQBSXu9HoP9t50rnIS07PvXDk
q7aMG0/ORDO7kRYDocty7cvbk72EBycrlY4O4ckC6aZvysc9neuqG2cUPyf5KLdAWPRojpEDLJ1D
p6AVkud2fNWDyHwulSq+imVp9t4e/vxb0yJFMo1mub6Q39aFOTuLGmdOMuWYjXn6HNjOvkrmcR9k
2ha0JYj3vg12SH59Lqok9YyyN30LSwd1xjJvmofiQiPwbJHzOAtriVY7dgRnTjahYgoaTLlypIGf
HTI1jG4mKIAvdR5cyjnPTqJlKHqOEO9YX0jgnM580EViMpxSocJQzveSYbXeqNInf3uCz8JDRrGx
aqUuA1sCNsnpKNALsgiJe/m4EIS9TBX5XiuVAc2xaTyytZqn2jD6TY3o+oVr74wnQDOIwi5ZLLU1
qALr8jWA8bq3HdEecXXGWi5P248STiH+mA/qdS2UaW9FxodCBoyYlCH4Sez+jlMX2U+Tha8sDeUe
+5AweMoQHN9XPZa/ZVN/Brd+T6Yuu0rqiMPkjPlRilrucUozP/Rs4ZwgkqjuK6SzttqINetQSdsK
lISfFYb0idaJup1655LxyFmsyetSiYWwyl80TFaBeFbGTo/xNd3HukEalRqWb814fiaTglmA5nRo
W1np7sLnXY720/3LqEubBjghzkBnjprWbKd5r7dHRP52IDus9r1BFVCqemDSm47YutZTTy13efOM
No47DAcBIUMqPoYJ+PD8IWxbfzlmK12n3vkQDIhGqNWigbaXEvysnJdqULepSPysvBORhAvCFgnn
qKMDouT7KtCws0RsJxaeraebUGX6I7QPb+Gdh6nhSaL0o37YJlayhY23t7JhAxfXRxEvB6IQNch+
FtF+1ItNm2T+Eihm6eBl/FhgbNJxL/QQ0CeQFTDG9kYzmm1h44nNP8NBxgna3upZ7AfSFQjuXWYp
Xhp+kXmaUd91qrprg2mXUydBRKrpo4SLEXr82x/hPAWmyEGPzCK3XGrH67Z0YbYy/apGPgbd7FbS
jAcvRoPotzk3kjaFx4nZ2o3EYr5qZg38FyQecV6sD5Np/ZC0urzKjMLyA9oUHp7V4UaCdeC3ja3d
kr5dEhY+070AUY70F+Uu1gxH/9psw0ntQJEylTKTIcp9UcX1DUqtCoXDQbrW51C5i+QsdiNg3cpg
6xu5EcGmzTTlGvvrT8AcjoVFm3wRlKm9OU2GbaA5xb2Wz5du3vMzEpwBbX5KvXQe6EWenl7mrAut
ncBLVVQM/Ckfw+2kWvXD29/vV6MsxAUaNgSetK9PR3Eq2eghB3bQ/WzsxErEcE0Zlba3R/nFVUc0
A2oNeaSlLLYOCpuuiAJZa7t7rJCsA92wTyp+CG6Tq99HGU6fpud4P/Y7anNe2rSI2FjJjIF3mMbX
zK9yIUY9bx6QnIISoK1M+gQ/exXVlHljNKGUVveNU2ieVqbD0S5Q7i7i0NjGdfSCT3G/GQD5eUVJ
6CUhv+zFqXh6e17OZ3+BcjAf1FygoK+nxYjDMcH7pbifHevF0TFprkK5vHANng2iA4fHAQMpJ/rM
Z42SwmlDDD8S6TgjvHkDJ5EKYDuWF07js2BqGQVpQxY/JCUSgNOFlMQsU02ZpKOkl/NGZH216cyy
3zsVWAjbjpJtFw/mlTTZ1g6MoHQhQn/VQzi5DPAtAxy6SJRTnqH2eTq+ps6FlhiDcWcMMYLsWLS6
yohjTV1GoU/mqcPSolboOjFVfHtCQS3Ov01Or7lxmmEniVxZq6aThyjOh6TvAROFUo/FYmOp96OT
WHub1vN12vaDO+H6vnl7IZxdoGR/8LoQ98J3ZtECPn36csxzIYSRHtO8VnyqTwWcqoSC0SB2jRJf
mXEnX9qTZ9cnojPc1YueLJ+ML3c6ZqOPDdNImyfHSckTWJrcDwnyIdZY6l+tWIuvxpL6tDLPxi2e
GHhdBmZ11c6xvZuQePTenoGz6JP6JJuAhyEqpIe8qmY46OwHVTxX8C3QA8aqSftQIyr8Q5ok/cLu
P98QNM+gzcOG5i45y1Cj0dCDVAKyUEtFurX6BbKElOKFUc6iT2YNpC5MlOWr0lo5nd4OjsNErSA5
BlZXbJMIL9QUCbMtUufh+zof4g9pGUTbhtbXhZHPTzdEwTAPxXkLruOSRZ4OnY5DoHemqI7dIAx/
jOTuFheGBA/CZFvqY7oN4Xa6TRaVVxY+Bz2CjV5S6P2Xtz/p+ZGwCBxx4QKioRC/RowF1qDTr2nz
o2GAFUFWROyEYXlKMg0PVTJNSKHT5Cn1AZnloFUvzML5liKpQiYfAOWr0McqJh1UnCJmeciP0Gsi
t4A0tdM7o/fZgY9Jn9qbQkku+aqd1+QAQHD+2DJZDTWWdUUaSdQZoS9bvePi0jcEqNWGSK/KfZHq
4adQkvN9JM+Q/EtkT13KPpFbjh2S7KGZ3hZVqnqlmCsakJr82ag6Nn1apdq1lsnO7+63hV2NLAYM
a5quQMtP10gyF71djaN8p0vqOzrlPRUnHf2eoL9w/Zx9BzAaJEFAXCjTwuteduNP1XIpBzNRlQw0
S0crzz9ZWE8WJfITTZO+D/LgUj95+X0nF8EyHp2HpQC1KPCvFv/c6EVDu1++g34q3MgaY88Ms+zC
W50dV8soyEaT61B+pvp6+lZFmgUIxg3ynSTlaGHjD3elcmK7lNnnCxWu8+CJsXToLK98Ng6S1dFY
jbGS53Mr30Wm+qQt4FoMXlJPBxX1Xe/Gfte38m1QqU+x2boqWPvaTZvQ2YU5HdNitL+9va1flarX
M4yLwIKGpblA6Hj67lpnN/Ho1PKdHVaTX5hRsEEOJDkopda5mRw4u0SO0v0cyMmPysQd04WXHH12
1FlDuF3kzgZTrXbXhJZwsR8vtgGtip1pZ/Uetclvo5lFeyCU0k5Oje9BmlZ+3agTx5SkXRtDmt/F
cxm91GYwfWzQb99npWpcd7FuHutCKB7nORasel/fcJE5z0rRXXTYWc7u0xmgkQlAh3gDFhse8qcz
YFllknRqBcNQ6UzfHKCPD73ykCaq55SD4TOm6bdDg3afZode3Uj1hYDhvF9OWQG/JqIu0EFLufX0
EQLTStSwgA+iFtJBM6SbTgvbTd1Y43WOXt+hjbKXYe6T60JGRxCTyQruQaLht5Hm8U2WMaFaOCs7
3Gn7H6bIdD9oG0yaMyj4SRXuG4KcXcKVvamJfjaDMso3rZ1XhzrWhCdLKO978wSrcp4087YIYt21
y1y6UTSlxnOx4Ky30G2Ki/u3V98vjljEQaiTL5o+CLevz5N6lKqkq1NYNpMmbXXU6ANTaxHbiJWa
4zIW3U0uOY3fpPM+G+YnUWd+pmF/K/etcZUn9GEJAkXwRP/T8SlqHDt70C6crueHHg8JD4S0ihiD
i+D069ghWKrGbiXw4np9aKcI2cQM9lJig1OJm2R0216TL9x45ycflVqaTpS8HC6+tfpeUkljtXAy
jnUYzk/ohjW3cpRcavEta/tk7S8EJA1c5qIJggja6l5Fw7nmJRBRkFn/6qQPm3Ic0o0YkhpQ6UUf
gvPTj6ICIl2EUdT3gTUsb/3T/WGbnLRGNinHJK3Q+K5ak5pIN7Yfy0GXNnXQ4E6gxXdTq6hXiRYZ
XlqiHa9KY+urSTY+AX27FNqdfd3lkRD0IrbgYKOhcvpIRSvFsjWhpoME3Uf+yr0sr/KveQlUJdTl
+N0UXBJjP/u2r0OCakfAhzznVUP3p1nAJHo0pzJQjlNshJ5A+tRPxnL43RIwSkj0LBehV5pEFMVP
X0yWka5OaYge9UYJt/ac2R875Nv3uVRqT2/v47PgkMiMYehEMYGwxVY7JKmGBOlhpPTkJu3u4vS6
cxrMAB1HyjwEhjTZo8W+UVF8P0AUvjD4OUoGo69XAUmqQbRb1riIObUrOzZFfhyQwNshvxjsU8Nq
KEgoCuRNLK7kzVDLz7IdVZu+zRScCsp+k1MUd6vBCLwwNKcLR/p52L481AK/gLpMbLHmrdtpL3Gx
R/kx1vT2iqK27Jdl6exSzFHclKbRVS+rj5ExeqmcoNwUp/tAzS6VVc/xYDwG1ZFF4oY0gkTidBFo
wCox+RmyY1Ert5Mch7fobWobomzATEpd+hm8Dt/p5NQfCwy+s7S4EFyd7y+iClIHkgeqCWdWGfkc
plwtPTzxTn/SdSm8EgnKWVJUCR89r02m1Ze29C/eGqwWIGl4OjJGOfoS8P20wTIkO0Wbl9lxqooG
KdbK+dxEEo50IqV0Odgy8A4qBwkVMxZpW2/a0aFI8PamON/lpw+xiityakRp03TZUUpjaVubUrLJ
yiR899ujQPCnx0ODFiL+GiKWC0eR0jyJjuoQgbOTFckfCohMb4/yykg9vSgow9AyhLqNECA119MZ
jSdZr8VURMfQGXwuczdP32da7MNX2o7GR0e9T4yD0N7rQ+FZie4CpHWdrPMnCbvh7s4KJjSZY7wK
ZVfEL+qc3mnFwdC/d6GOafyTGr0LRpwlUuCX3eDZLVCTOtsTmW/tYngHGerGDvv3VfO5xCdt01Rf
UDz+/e8FCZA7EGwDF8GamQzxpwu7WA2P+Kpc27mk4hfRXox4loxlPZE2QELkBBeiwDreRmd2JEKp
o2OKeP2+MibLC2Dp7Sen3EaSFW6w6Wi8wU4czwJPty8yVXHBXbQXvugvVufC/ALjDH6WZG51O7QI
ezgdGiPHoU80mhsYDspLhfTtdXO++eGXsW6WEwDJ2vUpWHVOH8ZWER6LuXke5Nl5qltLPEscVDih
xBYpDgv48bcHJZwGpUJcD3hrHdBHLSCqyEZeaJbb7GrGLOIacDkeLMG4zVKp94lEL7mdnr8oKTET
SaqKpTYE99P90epjRFdYFCirgBE0zMR4L9uz8O1iVHyWUXgd13m2e/tFX604ThcTowJOAmgCYg6l
itNRnZw+Wj01xVE4x7kMPCXC49DIUB3L3RKWwTxsO3jaxfMIDlcenjOJbE7fBMNVFewralVmeie6
K8RbXMt+6OPPeu145jTt02mvaDjUQAGDn5WXW22I3ER7UvJbLbqzHMrAodE+mLOynWRw622GzmPr
xlyrTpxvA5HvWuQye0X4AslMq01fcsDPmykDN2s3UuxFAsegoRn2b0/Jkin9PCOUJKjQ4ThrLcgb
QJKnM2LN7G15iIfHgsthX8t4o9UYQu6lUtbozaGjIKze2uSdfumIfI3aToZG7xYwEkH74ulAKeF0
aNvJo5lLKXtELFN1BSK0T11m3DeqCK/wcKGFFjLXgZ0HGy1he5vdoO8TAZo8Nycks/pcxZnXjA8l
oAGvSHNnW3NkWhi4Ps051ltj8P7tyTrr9yEvQeZvL9KDrKIzu8dxDNNIb0zpgdR7j5BKdSiBSx2r
KGs3UmU0e6lr/cyQK18aCGCmUbY3gS4p94kdO/tR4HLcUVI3JxXL8V7Rnia7b3xRhul9ribqheV+
FugtiB1I+RiUcILS/FhtslJy6s7qG+0hUEISBVVvt5AJyo+gzD9LQYcSGUIGnqwG5W0424Zbm07n
oUAcbGusqjzuK8oQ46hfaFesj1Jge3T2ljR2YXFQKT798Gk5S6VTjupDUIbRJjGl1u/CKLhQOfrl
KNBksDiDh0+X9nSUscqiYpgXO40prrZY8LHt6lpcvb0kXpVYfl7FFNkAXgHv1l4zh/W90OdKpohM
Mh4Sxam3ZqNPXoXaK5xo+QV1gMOQaukmtbNnc9HpmNpuU/RJtZlGhH8dWzSbMh/TvVM4ygHBlQ8N
Tj5uFz1FURwhl2y/Swx59HutKA/U2U1OBzIg1FVqTw2VaFPoVn3jBLmxj6Kq8JRZSrcUZw1Pl3ML
9U6B8hte1V5R6/qznZqZp6dWvUlkO7twc51tZyaCWaCjwOFKHPq6GH+KIeNqmB2BVeADsc7G2KL5
7k1efxVvKPNfj155G/nQ/I7VZ/E9fgouXGHLkll9hQVhD3BnKUeSJZ5+bMSWhRo1Qn0A8LmHyak3
lm/qO4V04e3vfUYYe31NUBeIUkFGB+l9OhLOi3bO7lcfqht7Z+7Su3FbXSlb2NZuuFFceZt72q56
32+sB2NnHWS/2IV+5Erbt59jfX+uH0M9fYzR7Lq4l2v1AaVg10AOLjM+a9WuUU1QpRfW+HonESuD
a1liLyIT5ERWr6xrSzUlQnFtVArj1rLD923hOBey718PAnaash4X89rngoCqboIsBzwd46hYxkm8
AcUaX3iV5YI/WSdokwCBoNe/yNdx/ZxOmzFEyLnOVXE0uxAHZ/jWSEKX4cLOD3wEMz7TGsjvazBz
npTOlxbP+TsuWMK/qjmUtdesPYrDE1xURq/l1IRBOZVLhnXJvHI1CmCvBWWAB+/SXqeEp52+Y55R
+ckRnzhSwc07dwbmu89IqB/eXoGv0hg/zeVf41ADRweEWhh7/nQcq0EeA2xfjkAj+KNM2N1uKKsH
tTC+ybOhoExpxpMbTQhGwacL/Gkw+1ujiqsNhkrmHr3C1q+VaHDlXok5IoWPjCCAzkGLtrqc7Uj+
tnkS+zIey54TWs+Kld4mcur4Ti22k0apvXQk40JWswqI/norekP0sRZw9lpGYYI9HoiCt6qd8GHS
Kfk2fCsDQqiLmk/s6iFalZUi27+3oV/H1ekScYoTVdGiPZ3NCTCkhZY5RZlWMd5leRYfqo60Tuh5
6Ga19aGtLtlC/2KhgEoBpUxRjdddoxZSnctkqOPsKCw92gfTbHPlQ5F6XSf//XX8n/B7ef/Ximj/
+b/8+9eymmjgRmL1r/88Vt+LJ9F8/y5uX6r/XX703//rP0//lZ/8+zf7L+Ll5F82BRzS6aH73kyP
31vMhV7H5BmW//P/9g//6/vrb3mequ//+ONr2RVi+W3ojhV//P1HV9/+8YfDufDfP//6v//s7iXn
x3bdS77+v7+/tOIff9BR/5OgljOSvy+4f86f4fu//oRMh8iRvQL46o//KspGRPyI9iehpLZ4lmKG
QzuDoduy+/uP1IVmA14LdUJORvWPfz3TybT/5zP8V9Hl92VciPYff7yC0f6zX5Gvg9Ww8BB4OG5n
fvPpCgtfESRDyAozKvFs5123Dxot+aL0TWO7odYXH2LTipw9d0F2NcxDjc/vqIUbJ0kMnJ7E1Oxj
BJunCD5TLdLwMadg+ajBNTsmuaN+mGD+PitGG3wGSqVtcGFwK5oVd0opT/12DAvPmFL9XSiN3bWQ
eulRUmsNm+JgfKcEIpldewTLHTVW/TWQxy0lQfEQj2mKN0ejk4Soel9G3mDM9iGn/4SzgMCzIh6G
+sYwgZH9Pyzc2/hrU7blD3G6Sk9X+/93y5tT5q31fR038ZcXEf+8xl9/5K9FjvuJ/CeF69dSPNQ/
8Hn/XuWm8ycNueWG5e8Uc1n/f69z/U8YMPwkty6wk8XO/N/rnOrFnyz+5T9T/CCkQu3zNxb6WpSG
hc45SlsfmdhXdsTqKDXilPZ1KPp7+jPqJizN1MWL4luP2/23uk6tK6UGGYJcEh0zWW/9RGmJTDtT
v1brTtn8NHV/b8Oft91aeISnoc25VBwocjCL6wRBGWNMp4I5vR+yanYbSTtwLWfvRwNLdQkn732u
4MbR0ebeYl2BqzbmZH6sOHtpLj6jyW+6gtajX+d2+zxqWbPrG72+MgdNvhVsnZuidz6OMSZtbz/3
utX4+txEEIvZItAy1C1OjwuweYLkUUru5aq9ygp5VxQi8fAfkH10edOHsunDK3u2xUGovXOPr0W4
DdQ02w2VMVxzdTVfu7xv31dZcGeMB3oL399+wnUovjzhIo6yQBDIy2kenD5hX2Y6eB6ekBxMftRR
XPuBdA0k8sY0NriJG9eUlOBTy3Xq4Swq+fVsAX1TIhdcWOZHbYukVa4PD0VYtndAM8odfgcw3iWs
Kxs5L7Zj3Gf70oa4W4suvHFGedqYg008MDqX8tVXWYv/nM8kkEAgF9wSaQW2uCDhTl8HtwyrSSWY
c6lmDrDm5UbD96Ez9K1NDQSGZ4QEgRHNj60hBcp1L+QvtYQaf9wqlfDifqoQHoNiaWVV4odSi1iW
ILx0g7JrUG+vpK95Itm0pU2H5U5pSxoNwJdW1H0vJpwt3agrrOfKeNJ6x53K1r6p6xgNT+jhmOeK
RTcnQN3Kk6oMKvmkQdq1Ky37MCUaRoFSHG6VuNM+zMmIGwFkywJhQylx3LaKis8Bmoe+oorvfK9a
cTNBREmeazt3i7xZ4Tsirj7qYhw2QdgHHcYxyiUB3lW4g8rCIlYOa5XeCsn6OsICT1G3YRuXT7My
KfhWKOZW2JV+QdZmffqcDbO6ZnUtF4ZdRuWTwFFvJ+HgucvmBpfltkQTBBHi20qJPrMCI0wawvx9
EcjFM/4nz/kkfXx7h7zqcP60pJZC8oLyw6KNSJb+zjpzs4YxwdyqepzzWUGtzhzvSrx4fdMubTQl
lNzjEG92wxhJntEPyg+q6tINfMDsOm3m2S2ohR2ocZqeYS1zlgy9H0+WOGaJKFpPqrVvI+HLTtWH
fY7i5L5szPZawVRqb+pC90LNLlF2agAjzCL9EMn9eBuO2OA0tj2iEEG93qha+d7JBuWRv3JXrZP6
PeGavX97Ktb9RUrbUPLgPAEQAIEN6vl0d42TqQUiGoNHyqpuOc23CfMA8QBpDAdlAvNgVr0XimQb
D+VTnZvehfHPVh8xHIVWDdAAFa+zclS1OBELPdUfAyTED0aA0XdhDQczM3MAgFO2H+QgfoqlBXkd
mzbG5iNdIQ36Bf+dBoeSZjdpOg0XpKZ++VhoBZAVUyfEDux0WmJhqJ3WjtpjqUwfTKEqd0Yc6Vdv
v/xyVZwsw+XdaTHAU0EsloDhdJApSoMg1mbtMYxtbWeqgzuaZXPVNeLC5luVgfjIsL1JSeVFr4ju
7WogFYGHVsc/4XFO8tCTyjJqXfK3CD+PaXwPdf2SJs3yC0/fjIP6VbXDhuqM1MXpm1EV6btM0cRj
qLcbuZ+OSCV6Ije/9XHqN3HuwyvM/bdn8xdLmfY0rXJCJbpEdKVOB00q2n6O0VePo4Npytw8RWhS
z023Q6jxi5UoPoD6TUdoLSfRD1XNd2+Pf/7OIBmXLpgODAyYxOqAi81cbyN9GB8HCXR5X5jTQxp3
tDF7MRxboX7hkdSDbnf9/u2Bz+rZAM6I6xZFEYhWoA9XgZ1edG2FbWtzpGs638kVFrGSUh4GSzUS
V8E/2c3aeN5UASb2c5oHH3ScGbYkHZhpdHaHA1lS3idBfbHQvlzNPy0DjhZ4Kqw9ohAoHtDeTr9I
2sfsbCLioylmMli7Nw55PahenrfB0zxgjjxmAd2hVNtmlXNttSjuAFT+RoqDgbCFMS7O9eY2Ko2S
88ga/FxmHdWGyfVQVfOFUsNZu5/tsRgb8LRYTtOhXm0TSc0gtaZAUouy91qtcKW+u1GMW0ebfLUo
t6FQt4Mk0WieL3zC1dpZusULiIfGBDE65jerkC0IMbhuyCSPEyYEtpjMvdpy6mO9OLpVphjbsp4T
NOsvVd5WJ9DruAsvg0QbHO6ZKoGSJbRIomg+akOMNUxb0q+hyeaRll9SxFpe4ee1gO7AApCiKgaT
gTrSant006AIC4jq/ZTJ0p01SDfFLOGJgVKzV0ImjRCT/XRhY5y+Hs0oBC+JhOmlcL1Q2VytP7T6
9BiO3fyIeQ3yiXlp+1raIjItaY0C8w5HubAP8yuNftAVuhjk1024xVZHOchzo+DaLfXbAK+HHSDt
+BKwY1UpfH08InSkMnHSoPezRlYZY4Qha5pNj1iUvisVuP1h18Q7G5vwm67XDHoZaD9CX48+JvE0
3ARh3N7FXdf4aZwN1xaqi5t51BOoLJW5sVHp9cxWQWcqKtrok9634I/nwrOTGHBAbOIHpibzbZPq
1CBH/WNn03ZNtW48aG1/UYD69Ab96+Xg3VB0panFQlsdSnFL5VwO+/kxSzLTc/D6uNYGMIHVDMPa
rSOd2jxmuIfE/tLlGUzragRD0+UPLKJ36hS0mhflc/f17SVxutF4qiX/BcyzFGeRrl0rtGtG3add
MIH2F6n2zbC7Yo8ui+Vhc11sInTqPtk5HW8lwNnp7ZHP5oORsUknzMK+QAe7eHoWytaol0ZRKo8Y
YGZbYEShN06OcuGmP1vxnCEIn1DSUuCwnynQByI0B6W2m0eOuH7XaMaHuq0tn6bjpXL66X5eZpJ+
JZMJkYNoF1zg6ftotPQ4Vsrm0RBJ+NGAu7AxCudaVWJItSM9/Mjpir9KTycl05+LBqubbhn0tZ1F
tQQGyQJnPR3Urqux5zboHhNyiS3qETSN6wL0RymJp4TDZxNN0/C+UxfRgbaHghstwi+mnvuaPob7
uBgSP0UA69JJc3rT/evBlj2MDh+KCKvZmAd8KtuKDhuYDgKQWFU+x6reXQeBNl+VUxUghIu4F3ca
CAe5Kg5cLQmlgxQhN4oVEVkYXhFGuMOqSD2gEvylDO3veiFhuV5QJbywFpdQ6D+H8V+PS0MQQgp4
Pv6xum8WxzxF0qrmsVERRJ7rYQTogRn1zqr7rd1U9YFNmu90C/490h3jY9/bANsGdY4+m5FkYxPq
tFcKwhQ3/4e781pyG8nW9avMC6AD3twCBK3KkSyZvkHIwnuPpz8fSnOmi2DtYmj23Z6ZVrQUmkog
M5G5zG88pfbvybKab1oJXEOzQu+Q+kX+U0ZEdu9XneLEpR8ewMiNbqc2SD4XmvUhkLFsRyG4uK9y
8W+RauZHDoZKtWdMzz3CNVx3EwYNQe9Zx64pzHUQYanYUkfdF6VargIl052wRS7m/blZsIFf5obj
gXr0fDazxRYfqqkPbap3QXlUPN23LQC29ABKda8JIFH0MNc+1GJgbru+fdTyafrkpab1BZ7qZ0Ri
0zUnb+PGOu5LsgbUf7Ti8R62WrAHhJ19e/9RL8P6309qEfZhZzTjVJbavVEL1B+xq+KYjGqztcak
cJRQLmAPJdqqmbRbWjHXnzzRPI0RJgc9Ployl19f1CSa7mtecZxtwz63SA7kFoWPKrQow4yNvrO0
6hbj+fpAMymoItYGWYzI/gqXaJgUayq/PCKuotuVHMqroAFMwOd8Cyr/xnTCXgEiD4CbDXBV2cOH
V1drhjIxJLAFSAH3eUSPLQzibJ+0Xrz60+WzQNXi20e7HMD5EppvpDpygMmUH83aEs590VuOj9+q
PYoYW0tCVNy9P97V3Uc8PtO6ga2hYElme7l8dd00VYgt6JHvSt9OElguMww6SK+1bhc6csZRkea7
SuzaG3ffQvqCnTpXGRBkpd0wZ7zLa5e2vF5EOq8aWkL/ZSjD4VuBSPfHJtPu5VJTNpRtxTVWFfK9
gKXJOtYKbYcUSg+MEZ0uIZPzldmh0x7LWUaWXCs2Ql94Zc7OalO+Goa/BYlLxzPrapupiuCUalt9
apPO/9Qao51kFjKdYx6ulRKjE5uqYA8RpGkP+ZTf6Nhf7dj5XQ2K/XOkMasPXU5zUXlj2ndsIx/4
k22WXrhOOT4JcJPxRtpw9UEuhppX/BW2xGvHbEK6oDji2Ds4AkKXBe1j0gbrUxOUnxFUvEWSfyl8
XNwcJvRgwgvoRaSbrOzlkGonRTn6UMmRrSruB9VEKBN5pxwBJEjKfRvCnDeCzK16+bGspg79HyW/
F1M6VBV+iG6bmtyDgjmJOzXBAjItko0gNNXaijDqKyCqHfM6rA6lMmAepOFVOQnNzzmtcPUO9J09
VFOR2xM2egesblblYOZ7NCtvvegiGZy3LP0WTn9OO2ro1yUMYSzy3GzjI/IVbsNp+EEaB5A7k4jg
BnK7GFSrp6BTmtxuE8wl1OHj+5/r1XE0PwCt0peW6bWVRdJ31ObjKj4OAvLFNrhz9Wfaq/2aYL15
HpFZ2rw/4KKA8vuVQcTRlZFoFJEKX66tmNEAitD5OSphqe/NzlsrZLpazq2c9VK19YVcvc+6yl+h
F6jbwBwmWwuGW2Wx6yiPNweGIlEipUKLucTlc7SVZVAq8ZNjFY3hprWsYBOr0Ots00Nfqq1/yiiD
bGV/AEWIHNKKO5lqescyeeiIdl5lfg2iW8tx/VlLrMVLs4oKC8qei4eqUXwDk5sdpVAzPwGvQ3i2
10NXiwXp6f2FWPTGXhaCajyJIfnyrCu5+K4BRVDLIl84FsgP2LkZIL6BsA+uqVqNMFAXpv6+VdRs
LZl8YWUuyGtM09r92AfmPpOKyIFcCa/SzKJ4IwGfQAkw95g5mSoc6lk7Yw72nDbWtK3nWXlwI06/
ynXoMCozYhtNFYTRtMXzq5LgFWpAvVE1MSzNhixcU+e8JSq3YIG9TBOqkuT1MvghkrpFwY/TAO2h
vsuPneD/DDtj24fmp7xURkcDDrhFOqex8yD0nhQhLG2QndIGwZPxOabI4+DWWd147bc+IKQ1YTjM
tFwAYYsswJtoiYVWlh+FjJQ7jeFNxqMc7cNCPxP/TXcZlpl4Zx+McjrLad9uu1uJyCKyn7UigCZT
ypkvWhJA+XKb+oLUykgM9U8SdQO3baZ2pcbir1QzIjc10ETyUXxeK1nXuimlrDTtblTOF5kQDwDQ
EGlRNIvo7SpLap4S+THdPLE6Fk2nO8XUJ25eRx+zSPzq4xft1FGgriK9pDSrSN2NQGOx8X4PbiFd
gXg1sh/Lgg/ScFqk60V99Ifwh4wa6AeK4en5/c9Tu5rjOfad55iXnLnei32na1U3Fb3eHimtmhtF
7f31RFfaZjnyyh6BlRNJ6flBkv183YRBYKugMVwhCLyzXkzxMc7N6ase5fF9ZkbDRpFi7/NoFYgB
1GK4QR9tNkQe2jXeH+3aRAMEeSkZGf0ULuFcsNk2vUmDHD6E5/XUTVuYJsMspmVIwedOT9KNMhiW
i49pda/HY02O2QvuGI3WYZoGIKdDCWzLN6JzNxiKLdZysg7k2kKgvFNt1Or/Lst1Ph66Maw3naGW
H26i3BehC9+tKrLlwVCyYaghzNvoVeiSdlJcK4MyHUsr/K6MZu/IliDuk9RC/iyflZPI6c0MRxG5
34CTK/72g/pL3FIvrpI4/FbkaXPXFVXxZAaoMfmQx9dCEeSoqpv6oUAdfaWleY9u3Wg5VqdlKw11
od5u81G+QzNRRk7KT7ZTOYnr97fH1R4Ebksdl0KADN4DntPlmympYKS9GYhHcofGrqNBeMrCwHt8
f5SFBiPfNsNw5tG4o3dL0rKYQD0Ue2vwKunYJsMqH0LXHw0ctXNHD6q1KTWnwESKHtGvkGMv7jMb
A/pHKd1k/kcfwaoMP1tlvDN7WEFW5vrNNqmaM37dttmHzmi0Nh+bXSj9R40b/8ZB+cbDU5WFYqkA
ueIzWlKh+7H3YVg05rE18nRl5ECxKzMntFflAaqNgoBalYzA/KQu1wJbpk1oV36U36llrdq6SmWn
G83AKaJ+csqu30+B+R0Ju2KjtZq1L2lnP3UiDQZTEJMfsVUFa26hzg7lzl9pCGzfRbKM3VRkJTfu
7mX5gHWZIW7kkEBH8UheCkhKkdonQSAJxwGnaoTA8obWsP+YTN3wOCFne1cJgfWx1sdmpfQt9CVj
1O77spucfKQzHKrhuhTFsbTLSfYVmyMlonsEqS02UW54fxMtYhqeFcNOLuq5S0M574XX8eojNOLc
qHurlY+5IEgUmnNrVxUoQceCLNxIVd4cinrhLIMC3mdJrvXHfkp8MB5HOY088q8yQZ2v1t2Y7XV8
/62W8ePv1+K9EPPhP1xCl1/goDVSPzWFclSiCYNd1ZdW6eh3lIzEA/mvHVR5uEvM2N+MkvWxsUZ5
a4leCYnAn1ayxNchRvmfRfMvzwTvH/FbcM7URxbPpOYz/WCqlGMY9L+IpYsMQ0bde0qU3rixqovE
4fdQM9qfbj6R0bJkEiNtY2hgEI6DlD4LcFjtOAtRpBBE3zZyv7tBW3ljx3MCgdEFRwCBhU7+5XT7
as6OB+x8tFol/6YLluVIvhmvslDtEtsE9fB56GWjXoVBhgCIKfwwtc6c7DAbptjWSTkei9F3VaBc
nwTR8HZTGMIdoPhJ2y2Pxhtf6PXNQ+2DrhJd4rlJvax99hgWUk+cotOkBNlKmOT+uyIVyhaMkEKz
TW53VYYL5o09OVcNX+XNLAq3HGgx6q1E9VdOoF3RTUj/p+WpbuEiRDmtpzTTi/WYCuND1YACydpB
+cqxXKzi3KoepjQIXBXk2+/l+iPc8f9N+ObMLJ5Fy17KW8B5CdBeLdKMhr6AK+Nz2/z88a9T87X5
Wf/rDr+p6l8PbZOMYeb/a1cnX7Mf9Wuo55s//t/QT0P7C3UEslbCSVCeADr+gX7qf73gLlFQINYB
wvYf6Kds/kVbnDCdoiqdGkA4/0A/xb8IHBDIooZEsjlr1Rp/hP28DEpANpNK03CbSW+cCMCfLr9R
ua1Tvwt1/0vZFYQCVaAdpTq6L+rpIJTlz75IXWrZJ0Rwx01sqk6kphQ9ysoOI6l3q0z58WqqH39v
/NednMuP8N/Pw/U4swmoXC8z3L5qVGEcO/9LGhflWvD1xH75JZaCcCXEhmmnrfjp/TEXJR2mcM4M
KIAaOh3hubpyOQm1gizOKITKedSFgyZVbpr21Ud/xO+lQdjdrcpBhRKWpk6ZBR9ppd7ITi5TI4T/
KfLSM8MfFmg74dNiEdKAqLSsBlzrtJHSZWcH5KprNQ5tXdjRPAcSFir3kCCn3ftvfj0w+B90JCii
Upnkv5cvXtV+QLFFUY6yLkAjNuLO7oH+24rXnayaipKqnzSp2Ja5+uX9kbnbLg4+djALjE0o6wy1
mKRpMXbUqVqG90H6BNrYVvjn7u7v3S51DMffdLb3Qbu3XO2+2ZorfafvqOfuqoO+M+4FN1iZK2J3
V3DmP5//XrGlurtt7Mdq2/Cvlivv5MfGbmykJ5zvnfP9UV9lW/FLdbBcdQUyfhd967+Mj8lh2gxP
w1G783eFK91P94BWn4en/pGi0vgo7zpbcBrbcDrbcCv3+yM/9Pv3hn8dnHbFPDnh6klbtY7pCmvP
8RykBVzFFra6W63EjbjJXXHTrat1+ivalW6zgpiztbbaKtrkW6JYI7OnH+K9tBuPw8PwIBzSg+4a
H+Q7YStuxn3vlG7r5Pw0aVe9/HzT1XY4x9jWdnpU75Xd/JOwMHF+bQ+UG23TQRyXx7BWIHgO9TZx
TsgIObTldsHGc7Sdfh9srHO97e1bZgkv8es/F9m/1xOFKyRhOM/YT5d7KbTw7sDvOHlarx7OoS0d
MOre+E/dt3BwKDkhJGqhb6faw2Ha+i63POw/gK3raRu6+Ya/6pZOtP65ud9DgrIr5zTa/dZfZQ6N
DxvaqxuvRp46Ycqz+Z+7UXJ6+wmqIP1HtMGewVSrdJdtBCq2wspfZ878/93eiFdfMKCL9wTljYfM
LIYxH+mX71moad94nZI+oX7lO4rWm/uhK6OdlWebPgzqVU4+bfu++a0Rm/LD71/SYB/MLcmX39Vj
/yXzu3pTpmFjF0be4sM9do40FKpjdrlV2DryVDtPQvdOHvL9yy9S1HwP5MJ3jJYvlPCdrheYbZvP
SD0Q2D54lFL2Hgu1tygX/P4ly3UA3Z5vrP75s5e/h/e4eeMUexHuXswMorEWbCw6V2A2FzPjTdlA
XbaKnmj47AVV+KBmAXiK4IOZ/hSa5iR52soIUeYQpDtZm051aNJi3nW+5U4zQXdCXuSHjyVxpvZn
I8q+omfzVBrhHgHzQ5s2n9p8cLy6T+zsW6j2X2o02vMhWGljtQ6r9t7K9U0ofTSlyXQlxXoE57sB
GDDZHphiHTERrx0+DE28jtTQ7VXPzYMHLW7dpilAUatubqBsqnfbxLNcgrWVqjaHSAsfaDrbUkn1
O8tOfQN+TrklDbK4gV4+nhlehvwkU8eBO0eJrxIukEQtwJQ0eJrLu04TGZ1Nx8zuxV9iY9QHYOWS
9kgnFVYQlsHvH8Vz0fXVsrFiczcbeTgAWKjJyovbx/R6bRwayXM1LRuc0iLNjyZkNtVKmVyN5uCR
mq2r4HdyY8Nc3j4vYRN3H54GhGYz1GyxX7Qe0bMBetJDVMs/kSMAn9SV6Xry5QfPrxG7b8C8TxYw
fSuqpc37b73QJqDXSEUWf2NgrzPYgfjwcsoLtQVd12riuZRieTuq/jFKTTR821q0RU9I1gBnOxsN
+Lu8yHfhFLZ3sZavOyk9BBRa71Bi/qqqU7bymymx/aH4jkBpfU6NKrqRSF3O0/9/UlIpqPlo3i7h
wJkp4rhG/HDGa+LLjNl2UlFEGU4xDlkdfqFaD/+3zFYJAqo39sYLKfWfzUEVjn4D1FvS5Rcx9GXL
RerTypSbNn9KsnaV9L3nkrDs1vgDFekmqFDIb2Vf3aXxVN+nYVDYqZE9j1nSHvysDO2+bK0P2DZs
/SpoDp0qfTbHrH9qernaIOlZI67Mb/U8KF1N7dHPHo1w04jjc+unyT115AezVKMnoym8Z7W5n9J+
/BD5e8sIulMuBZUTFP5gR+oorlDqjZy6z7r9lGXiasrq5mj43r2odxooBOX5Zf/8Ubp0zlP+93+L
6jZLAfzPVM77n/2/nK/Jzx95Fn59nQSRRPDb36ROQ/5rxq3ORrG0X8ht/pPzaGQ2tABmxy+yGHhS
/8l5BMn8iyiUwh+4lZmINoNI/s3rFGT5r9m4gb4R9SFZ5bT6k5xnWXHizGFTU6fHDo6G/BKglptG
46t+4R3T4huoL138FNxq9V/GtiayYAzBe/LEYIWuJD8FVLnGQIU8oYSiGxWfGyskZf8q+eeGOvqr
BXgjY1o2l14Gm/NFwi6Qwi+J5Ou7wwutHmlbCos9cZIz3lulO5QbjI4N8N7qNtvIt6wM33o9vHCU
WdKQjsqyvyZGjVSo+JEf21/53/kz7W5QTbcGWVar5jm0gMzP18OMKViczxolXFPJNAgoUKw7w0ff
v3JULeJ+CG9M4RvvA89iVlUChDmDGC6vAg9VMh9Ao3dsxMwR1Oci+awXhQ2UzdbDW3qw86326kSd
l4vyPJBqwJH4viwtw41q4D4pm5A6fOfq1YNS5Tfu1eUGJ5yYu1Do4c0dN8hMl6/TN3GQDcHonwpP
/IC8tOhrK6Ht3ff33WXYgFvXYpR5Ul+FLGopm93oT/7J61xPsHXlk/egrztQxsat3GI5ZfNQsPwx
X+CzmnEPl0NJtY8HlOUHJ5r5lRPH61KT4xuT9jIrr9flZZC5IkOLEJXvZRI+9IqSgXMKThU0A6SI
nLFYV9lu+Jbv5G9UAoLcCQZb/oRQFRLh/Z9Zov+eTmAzvCYFaljti2BIRg01a+Q8OHXJ86iWp6DP
t0C/v/dlcWPhFsHm9VDz/nm1cnUTIp3Ql8GJ+AYUrHFEhOWhXMsfhrv0j0SFrodarFxddZqRYpFx
kvRuVwUTjLFbQMDlx8u6keZAWKfIR4i0NKoTdWSVraTibShjm6N2gJDlRkj4NpIEhvvWsXT9cc3r
M3MGOAABbM/B2uvJqzWloJPrn4ZAxiOaw7VZWbdMId8ahO92zqUAGIG5vRwELXpYTBVnRB7EvwR5
O2nRM53iG1v++rOi9DI7tjFxM2V5MUpkZpQuAzk4lXTHz6qEqU5geMIfgj44KBgGwyciAgCUV5eh
OIyVgktScDJpLY4TDX4JnYQb7/LWjFHanUMLePEISV7OWG0l+HDoPqdqX7ltch8k4SMuRpv3z7w3
ZoxMha4qPCAk1pcmBWk56ZOGZ8hJShypiyWnolp5401enKguDyKIp68GWbxKU6YFoqoMsrp7OCtb
0kDrU/egrGgCbr8dHydnXKH1uir26qEa7PwkH0b76b94TyItOhLIaRB7Xc5mXBGRB0IdnhQfxYgm
zu/9rHH/d2Ms0s6gToAHiyUrpiZbcxxABt7Im95crVdvoVy+BWUYoQmaIiRpNys30NpVU1W3+Cxv
D0KLi2I9aNalv29fd3mPNkh4yuJqG4XORC/rv5mof0ZYXLTNECF5NnaMwAFXA88KshsTtVAGmI9p
tpz8zxDzXf/qUDOM1or6cAhP1VreDGt9M61C+5w65ir86RXcEOHz43dj06/uKcZ960XbO5rOLSb4
mzOJvRFF/5n/uuRwaEHfNZU4hac2bnf+FMPJz28EejeGeLkZX72nHwKJC8IxPFkPphlu6uyWzNiS
uvV7JoF4vFiazgIelzOploUReb3Cx/sNj7YNvm/repPfxXfavXc23O9f9ltjxTrqx+QuXsvbfF1t
Ane0f/wXe+bVYyzu3SCNaj+MpfBk6idYoISxtzSQl1jEqzddbMsEkkefxUZ4Gh1v4+3Hn3WMO6Iz
Nei6GY5uY/bgJm6xQaQXGfvUtPMHfx3dOCzfXFCqscAVXiK3xXtOTSSElJDCk6+Xm74t069o5Hg/
35/M+YdcHci4G2HiDY2HntvlmjZFGxDH67DN83tPQdNDOIyt4uS4BL4/0Jtv82qgxeaRMsHq844p
RYLRUUyKKTeHeHODojaDHQT/zN3Fy5cZgiyZFG7G0923dJ+spYP0iQpKtzXccjU5ipNSXU/oYlDA
WSVOS1Phqd8Ge/Gw/S/uGAJ6qnCUAHmaxcu2WUhMMKXRSUVMRInS+0HK3ffn84WZcblyQB0p9QJi
QduNKOfyZfW8DZEJi+uTn3XGz3oSupMUDU1l50gvIw4CK/tLV2rTr2Lok8/jpDVf61hJngu1i+50
ZZCPId48+wpvQhRORgHqbx513ndzKEtOxymnn5FGTXnXepH4a/Cl8XunpyJ9O9Q073pRg786TpIy
gWLiXABg0gmwd+V6VvyQ89hOEiF70jNNvJN1j99r1aRYTp1ipmXHSWHGdinCf4UAWcNisEIpu/cw
28ANSJnU41SmwR3GEbpkTwNiUO6AK1hum0mFWQoAWGRGQohcIUjPAGCf1Q4arGrVg+gKxyn/PJoi
ypt0JQ3RjsAbAKTGbv7X+4twnW7MzCDk2ZFxAPapKYuFBoidFMMQWecYbNO6LkucR1oRTIVQWsJd
WxnqA98svS+IXHdg/5CLq1Pr0/tPMZ9GFzsBTBkFKThDfMTUuxcHRZqpRRaGUXeSNe9+LI65qv2y
ElpMwT030g2y5dV3LMFvBcg2A6iICJatMGAqcdAPvshgom1I+Njc1GaZo6OL94Edz7fD7iY/UJnd
y50tFqrsp7kank3sSmJ7bJLii47w94989BrKqmomHiEzC52tDXCabZ0C8r6KguhXGsb+Y2uVBHZy
E4N1pvedVBRcuzpywkE1PnqNR76L4l/+wzPl9FEYhuJX0+riD7me2r9H3M1BhNIDQz9HG+rBSVuz
wDx+arMCzRMtPuqlpZU2Fj/SaNfS4B98TU6fzNgans3AVAIk3Ev8kzW4eomLe6Kc2VVcZHd+lTWJ
Df031jZDSDJut4SJf2hmR7jD+Qfmiq1IE2+uK15OniGUkPHKLjwLZjHeiYja2KKE6A8al3mOQFrS
/K0btbA3vVx0Gs9HiCPzv/t92buU/m+ZIb4gMi/XkowCuWjSo9km6epxitxqyzKPz7EYY+eVSv5q
8DxzK0D4cvNG8g/00JFkQg3pVBWFYbejkj8r4iwMNKht7dal2d1XmjfsvRrHgSlPhBOo4QCKZpxR
DOyNk+cla6Ef8zvFk9u1OJTSOhm1cc+5mGM+1E53XWJYq6BXO1ul8XLrJJ5LaJfvSI+fmiHNLTJN
UvXLKe8xRa+sRhLPlpHMR1GuNr86s/Nju8gl+RDmgvoFQappp0iV0Nt50qhPvYL857YSUT2nfi+f
M3Osvrb6ND5OMTgMbjfpXI+FktqjL+lwKvO+eGzSlLt5JDBROqfocuk84qX8hMgZ0aSRtvGdLlZS
aE+l54lOa8GmhfMyfA6qujJsijDhT1Tz/MLRzaAVnQAUDA4LetyVDrbeAyzdevJ/IplhfRLiyHoM
6ha9NDHq5MbuUiP+LHdh+R1pP6+3paIQP8JiE0+9EDV3cty2qt3plrDykthQb5UxryrBbOgZQYYm
EjOtXmtxGnpYel1vndvawmG9AUle39UWVol2nbTduR3jMVyhVV1E9tRSJXTasjbVDby/uMUmwGs/
vn/qXh2EMHXAFiFxRwEPX7dFjDjFKtRntYvPdRsBWShT6KeZYTy+P8oVrlPDbl6UX3gxlDKucjDR
l0JBC9Ps7HmFZJdI033wInT48Ufdxlw1Di5iAD31jYeqENd2g6N36oEiqEcUSoNee6z5BtfvP9Ub
7w7XArF2HfGVOZ+/3PF54wdaqvTZOetNc101ueZOyErdCBmv4zm6JogBcpJRWuHaWaTqmIVLgS4V
+TlJq/oQ6KJ3b4KY2ppz0l6M8anJy/SD5Buqi4YZ6w7OyU19LXVaxODcsW0Gu1RQgxgSGSdmT0y3
kigoqymN4Z+ictbCAd/quqdt2xr/6U7oikOjlSXyEfTvJuTIXCKN0Kk95ZZG9hwZXBwa87vNSIsX
4sgVItM3fa006jI/95hUrWrdgCWiihSYYy3YvL9aix6ryUcIqo5CvyHPhjpL/xHoMGqnllN+NsGd
HiwvAodTYEOCHhhF7QRD37RL4rMleZZToOq6e3/4q80yDw+1DeUd+OU0VS43i65Dwxr1pjgTmArO
oA/0LYOwvcFAfWnlLyeU9sYcmSDBQXfucpiiCMW6sJryXEwtyqBNYIV2PDWTG5d6sJGBo6xVEr+j
n3o6N7x0h94pHnmSKmzlJBn3aYtmUDHE0j5pBtme4tD4FQpQaOOpHOyMKDrg9k5DxxR9eT0U2S39
qKswjsyajU6NDwcGhO4WBwr+iRkUqq48W0M7OZJWYSQnAsPRau3UFDMjQGhuTNpVn+NlSGAC87Cm
seT3BYoXcG9P5TkWNGD3oeRtzWZSXIxWmCMBpD7nK+lunNyCBb71sgZDztjAWYthsVqNbHWyX2Js
YsWpBMexMbHLmKbEVasMMLCotqfclIs/Tal5X1iK9KYgqxFhLsJ1sUpVxJSU6hzVeeOMQ+g56hjc
AhZcf9qk06SfoK1BhgO4vtyJEr48APEj6YypdbQyhuBb08z3UR97q/c/retZRPeEdwJUyveFhtLl
SK1fd4UeaMrZz/i0LCvyXO76aTMKiNahgSivNEHxb2yaJQWRt2KLgmmh+w2dBTrY5aiyb7ai3ufC
OQqH3FUFbVd3OH5aHp4oTb9vLPMgBe25kst145mlje/psfHUwvbiW3bR12cL2fUsFjt/OkSZcyrx
quhVKbUaomQonIOGxhY+tr+GsM1vzPK8Fy9PlplWyJ7RgH5Rf1/McqKIKWbhuE9VRmm5upzjWiv7
4UrJzdTtIs/fvL+qC9lIYnhinRdIAHkdaMMleMgcYZiLWmOc61D/G27nxveqGCRI8DR4J4w/7Zqq
U9a3sAliyQ40eY2UyI1P5fqlMTblA4VRMUOxl0EtZSlSTpCtZwXdFCeTx2kPSNegK5CPszu9eOOW
eDPAg8U5Z3yAIK58r9OM64vb0jwHoThKK/xg5C8ZWIrHWp6izq5o6RzVcbJwVlUGbXIEOe+DtRcm
6o+Ge/+Py6lgOdDRUpAWeiGVLDZ5WiZDZ2iFddaH0LJFXxCcKZF+vb/SC53XeaVpZs9KdvCFsep9
cRR5tX/HSqyS0FPT59ArOjL2LmVfmVGzLapJmhwt6ZodjEZJ3TRqq/aoyhhjbKPblNNLDSNgkqnZ
fRMLMPoOmmaDvzLV3kqcIpTpdZG6PohJjh+FUsWfpxS7VltrC2rcgaT5mFTonvlIcpZ9KpCdGDDL
1Str1cs4Ro7aEONUM1YPqGlV4goKQUsCLITdTm4jpBST2BM+kkLLmROFtfUlhHzd26DSsB7JNR2n
ZyEuBcw3Jvk5t6aUGpOViYJdB17Gk3lFC/5VjLR6XUehMtpFbFkPI5Kfg8M3iN9cUOTHRCzFH+9P
+Rv7DA0nWDsQpXTIakuedqB0et2VTfHsW1q7Li2xcKxJERJ7FmBy1AhBXM1L8q0RRXutQ4bIj4r4
ufSaW22967MLfDiooLlPCbJtBhm9PrvyskgNBEGiZ3yP/MOo+9hMqXp16zC5yk5nGDo5ChjIGWC3
jItErRalKvai5x7u67YMRfPgGwiNGlIUUyX08E40w9oNWyE4Sm1v2Gy0W0bs14cJkFlooUg7zNDi
pVIUpky6OuV6+CzibXlHM3t47odKvE9z66yMQ3WLa/nGeNTMgTDDF+ViWIacBdw/nIWG8BkelrBC
mrLbTvJ8E2loyWt+cKsbdw2w4B6exRsIdOkGkxpdriUpPjarIWs5QNHdjnXTOW2t+i7fv+7UWVlS
Ku35+IDxouRiJevcM5UVHuMYNCMQ7AxGCP52aOpd4PvBKiJpuNEHuw715ifkHCeTIm9bTgnmQEFL
ZSx6NiWWQEOE2BkZHjHZQd02s7/J0LUl/KGbZfk39jldVkDFc7IMcm5erFdnnFhqZYQQQvRMySpA
rkDy1lQWbzX837g0oXnMSh5kAMRdy+6UHoiD2pk6YAKDMpYuNtirReO41igVbDAnVNZFZ8DFiPXq
w6i18V7zI2OVBaKy6kFurN4/ZuYFv4wZyHeQxUfNZDZFMRbV+VIaykpA6uw5TK2HIR5/IbN81j3/
i2dE93XefXt/uOuQkzgQQCvMfEraV8173JwAl+Z5/NxPWnHQBV87IjfzmRKmdOPFrpNJ4I+krrPW
P1n5Ur+x8T0NJVM5e9Ym6+/YF5tHqzeS+6hHn6qS6t6VPKXfpY0E9dEMdfeP35OMgVoA4jSWZuqL
vWS2Zh7GdDqfjckQ92lFCbAQdcwpkL28UX3AhexqDdFTwMwGGMncaTcWwaVeQMScLK96LvhEi63Y
hcjogtm1oSfXqVuoQlw4eab0f8NtUsSNJ8ym1mUb5V+zPInag+ElyBL0YSenq2Iq0hhSd66dJLP0
H0dJmHxXVyZ5reg58kBy2GPzKAu524ltoLiCmiX3MN5VcyVXOgZiXa/+ihJqFZ1UVOpe99vg6xB7
TWFjwkxOi7bWCFfEaDOPb5mIYOVXZvjFytux3aA9qj73ZMXfTBmTedvEJv5xaEf1W+YjdO9g+IJW
hq5UldMkRv9BKTKrnwON8eihyjDaHSn+0coi5YzwD60fK/HK59qHaJvxOSKgD45tj8gf8iPI7KFa
V6pa19qKVjS60/WJcapzrbwz4KrPsnZ10NlDK3tgzUuUhWyNEsR2LFgGe24xULmib7Iz2lbe+1Q6
z3kpeL9IgGdpsqEV8TMrhe7zJLX0nCYtTtw2b8UJ/JwxpA60R/5EBDKD64g4QwtENOPETSwVfeH4
eRO0jogXEfSRZgwIMPPe2FgCzSZWgfZAJMXj9FD5sfClNKG1OJkqoQ8WGKVi2TSaRnPV55FMp0Wb
DXjpt+HfQMSIzR8lqNjVM6/4NGmejmljR4KJY27i6Y9YxdMvKWpo+HZmiW1n4xoYZ6taCXRvFQd6
MtheV2WfOKmbfNUiC2DYZicJDTxF2jF205fjwct861tIQfeb16np3Tj6gcgPqnLd1YT/x955LMeN
rG36ViZmjw54swXKkBSrSMpQZoOQWhK8TSTc1c8D9jn/YYH1V4VmNjMR05uOaHV3VibSfOY1ANPx
qixmE/ozDkUbaVrJLfQlBZhpYSafeCN07ARyFw6Y5/TG0SO4LH0nr8hN2Rjl13yW6Q6L5/lWHUex
5QqwEDTEzAUqbxdEVjJu9BnRxmDEyAKu8jAeOXxq/WCLrDV8yNJmiTiRk7XBXLTJe4+W3gcd+/Vu
U9pzdAdpujgAdZq+p5RQbZgxY+HepJacVV8ojpH6kZy0ndDK4pdrFWHqj9TXP7Ze6PEZ3Sh+6jh4
EANC52sNtfBR6ab8l5R5ft+aLyZTcLPfjWqjexvFFtGPphPRZ1qWir1x61J9nAE1V74QySdzMFEK
ypsK008DKF9A3lU8OxUSlo09xXuUN2Ppm5gDu9Qm1ASKpKin52oim2eJstkO2tgUmR/pGK1P3kRP
ZySu+ZyKGu2+TFe/NaKF+jHNSfu+aVtH+K0gSIe11FsHbA7aLkjdOd7Vpq2U27Qzt+3UZZ8m3G2O
tZYMCipwUVc/JNqspVi7wQgifBiSb6Xi2g/RXEY/YLlLzr5iG/kdGiHLh/Ye+tK1v4R0w1tCHkWj
CKHM4ze6qOTsszvW/mBHRrpp89z2KGVpVbMJlay3oXpU08/G9eAzjKl+44qBZZiaOMhEFm2GPlHv
s0G1f8ati3BFXEnjs2rMwwOfg50XUXSztqPSi9ivosp4RgBpEBtPrTw3SHJbfpxHwvyP2TBD/xKd
N/8ctUx7kFhw/Ix0r1L83K7rD16UOx/VUMw/HGs06bjBQkYStM/3U4TLb2QaJSXapp5/95bti0I5
9ql366kF5qtmKH7a9C02ZoGAlA4a4HNkZnYTsLH1yjdQNTsoEZkN+PGwuStwvoITE2GD43euNlX+
GKFvFujupP7W+yZ8JFobPkShMj0XWjPdeSXRuq8MoU04SX2OMlLcTL9S10MdLGqkGbLk3Po1AvNK
AE1U55OFeWL6UdU0qk/8kkYbc2bvccdhmQzJrU+fSjdL7tUhrbQN3650/cTtzM+tZoXTlfLN20AQ
dQhCBfjX0LPBYJ6GY13aKVqTTc2n0BZolQpLDyrXxQLFo4Ge5oq3kUM/3cjIuhaVrxURyXYXMTFy
djqU0JHXEKV2tI0smnL5KSO5ToOQZ/cmNstom0ndGjZq5bgFpdkO079xmnjS6iGdhkAxijrISyEe
RKhmB91MdbTuLUpNaubM33nrxO3kCKffodiGJza11bba54XVPXhc0/ADLVUCKxja5FMeIS0b6Drx
p9CwF/QpeufxPnZHG24lBvdZoI9UkRFo16IniSXDNbmmt4A0Vp3yNBkRgF4S0FWuYJpZqntSaz/p
eo0+WTrZT0Nnfi88oz1aXqNuq7YqA6Mpk31qDN2mLYoxGAon3xKPcA5sp6O31Rn35tDzfOb4RdTC
8Xx4BPoRLku/rwHO79Ha1WECzu5tN0b1e+o20Z1JfflKPPg28lxqNYBg+bTOwpA83U4prxySzlb7
qZ9ZzWyqcNCI0UdET9a6UpJ6m0i8HupNkOvp+BBHitN+mmQcbY1ksDbePHtX4r4zEzKWSiJNNywT
QdacTmhUzXgqVav8FCr196H35EPkuk1gKIr1+3Iwe2Y+HAhYDPT4ACqvRTlqYPEySuzqU9uNjj9S
3vWtzLxmdH1mFCLYJSEimF18b07nk4Sp29g4TX6KR564LkddMrO1P6UxoGJjowGEBNqi98IJPx1l
UpWQbnXfPGe8FEElzSSoOwAYl1fsJYl7nVYxAouF4Mqi9r2oip8OM1ed1U162D9X/rdN4wt/9itY
9bX/G//b4CqYYr0X1sOt1g5VtSQcbYZTA8vXA0K1INkqW+5yxkq3d6qf7C7PcElg1hOkoA9oAqcw
7unV7UwgAK7GjIZnu/YeOoPI3KjTH3kmfymiulJyXe+MZXavx1rlNyFCUEI3lf65L+5N6+8k/Xh5
Li9ss0uTWRKsV5m/rg1UEUeW753nN77ndxu57Te3P8wAiRxfC97HwZ6rbaPvYj/bqP4Vgsa6JED2
hiw5aeKitgEvaY1VggqCsZtujJ+yplS1IMyqiTLfhExGUGe6gHtdAymry7RTt1mFijRgssnBEmxU
c3NLzmA95KqYyytJ7Fo86OV3cb8QC9OoxIRilcWqLdJoStVMn8IiGb9IrZN+ZpHKOko838rGDIOy
MsL3ToWwLGyr7rar9NDHxmvAK6O2d9Jr24em6Z8GTeT3eDF2m6lRow3OI9n7y99wtUdefqqBzhEd
Jm3Rv10fOPJLojp7/OTNjrKRE7zXeSS1vDzKatdzlDUKk1yGL6Yp6DiebhRh9oZS9NJB4TV2n5JC
URFMFzLIKLvdhPZQ/3OP/BHB9aIP6Ykr6X+rHLSM91/mpf93uJVqCzvkAsc1kb9Oqa386/+2csSw
kQIS4jyLbhO1NG67fwxLFfB4fy1yPMjygEBhDF75f3k5LuRWz+JSosrFF0Rsh4/3b3Kr5v1FMQ7Y
CsUVmoZUxP6E3LqCZROykhdSdlocYxwOz4tIw6v7ZLZyJ8o9pf6kKksxpY/VNt6OhnGXz2QDSCE4
zbHD9o9kXJ8oxcjeTnEc07U9vYB58KdkTIE6FXN0P7RehA5BXww/8SF1bD9OeSHVZmiBs9biUKN3
/wNMS/aPHvkf7bz/dj+93k7/7xmJLqKPF3bed9nKk623/Pv/YlXbNnsIkQh4WhiF8oH/vfPQefyL
f0oDg8oPeiRLg+zfG0/9C5W7RZOF/wJiI48ml9O/dx5/SLaxxFUmpFdsbiFW/oGP6GrrseuoAfIj
CD7gb+CwswpzCXrymLpj+AiowdzoMR1JIX5MTTvd1K5+Y2S6AmAUid3Wjajl/GqV5qOiIlTcOZAF
cAGjuDE6z5obhHEy3iaVzAI1dNAj7v9Gju3Hy9L+/132P6k4X9plj99r+f1/LEz+vUzKX99PNtzy
n/5rw1neX4seF/nXYjCPt/t/bThT/YsuyYtOiQrOcPmT/2w4dia7ib/QuAR4vyCt/73h8K2lxbaw
AYFELFx/7U/22+rZJTknLCCK5m8ISnMwTh/EwRjBY0Iivxc091IQ8Z3yu4QEcPNqcR7/CcVeK5It
u/ZVgLYMQ88ZAB+K7wSD6wp3Ec4VAvq1e690df4J1O28MUHzHdu6LD8jq2x+xlZZB7daqJ+b2Lav
9KTeztKDB4oyIXZJyM07q/hQQfJPWKUVHUp1RgUmw9q2GIf3l+d4bpCX/JTohc+6Rr/FqtPllRbF
B6BpYaBwZINcb6+RdbihViu5EDPpPUFoXf6+/IpXT5MyT1HoTUl8UKkAUrUri+3szjTB3eKaZce5
CSG2DTWYpjHSoqu9kcmGbd3K+JBOqfzbq1xlpxbtVd2ec8NgAwCrFf0YHXu40xl1sWtNnmRGY190
23jA+DW3smsItHU7ni0I75224PJ1qAqt/VySXlSK1qvxIfKqGopERUZnqEuDVP81iJHSrLDRHZPS
3Q24jW/6ca62Lb61f74XKcYBZqLjs1jDce5ff0D6JWaoIGF8iAWi8rELnFfOTv7t8mZcBbovs11e
MQIY4qIXIZDXo3hTWYQjJcFDk6k/B4AKvmfXT1btwh7W0bu9PNqZTwg3iH3CVUWqsUYYSNYcnxo7
PiTSlHuZGoKODvoZl0c5s/WJzNTFYoXq0ssT/XpOIf4qtl606cGYx3CPD2WzaYrpFx6m13q8b+Zj
qgCwgAPDI1h0jVZbsshajfpwWhy6MguBBLF5bkJPaFdujDcfCbFx9DSJhBcxyje6kWARi8x1am6M
uUg2dlRkPwFnILiHj8cTHhzXSmhvpwWsCXYEHwgzWgBtp1tv0uBr0RdIDuGMUyhGuJBqDKBllz/T
21F0GxIv3xzFWiRqllm/uqGaXA6Ni8TlYYQfdTunUAiqOrtGhnh7nmEgEcGBleFIE6mvbqdqcSZs
nbA41IhI+e1ITyzVm/EnPTlvF3foX01z/2S4jfhd9231EOo9gKG5mnZ/Ot1F/GsxZQJ5wu212iuJ
lU+IKJXxwYzNaRtL5WcInXLzx4NwDyMwQH3BYcKrL0f5pJJNwgHzMEjfhmWbbCbHbv4PR1lNpRJR
KHJjig+dnnlBrJujH6GFf2WUN8eYJ2U5XMQdaGIB7jzdH940urmqVcWhUHRzg6Xe9I2mmdwuGl6P
l5ft/FDUi1GpI2Za0yPVyh1cEIQ0LwvN/mAYcR9i9jx0zxmww2t9/OXiPolxEFfh2Yc5srAI3jhc
zQiBTpVTV4eizR9HMAW3zWjqfthNgab2Qd6oM54hwzWD2rfHjWERvuZQL7fIuspvZNPYd7TTDq4G
0s4oEvDNU3bNTuvtSjIK/lZ0f7kQ2e6nH82NkXVRNHTcGgClddDriizeNbMIo2DqkPa+UjE8s5Zk
+Av7j+wb8unyc17dIQ44HtHPWX1whKFhRNPM+XMe2zLcFe7sHiNndn9OirQPY60kwr+8a95eywQj
xNyoA1Nr4Jk+HTyCTFkZo9Mcqq7Tyk1GdzzC5KpNv2LfY3yLcxU8/+Uh3ywvkQ/pHtcZGGOGXS2v
DixKNFEhMCq3gDyqefQ4eylOM8gqXRHLfrNfGGoRjYXuCOAUHsPp7BSVaqVdV91hIVH8NoFJHWuw
6tf8V8/MiPiGKwvcKbDpdelxmCSc3TLvD7PU+nf0SItdIUV0Gylh+OXy4r35XkQeZCeEdJxx2Kmr
xau8DAURq5WH1i3EBn+A/G4YG2C0rtLdmFrnXongzkwNXCfZFwErIvBr1DSwDkgSnpAHRWdCCxdk
U7blEIz16Nxcntqbc7BMbSloERyQJK4Zqmy9dlRhvB2IhrTvg5qngRJRRR8tZziWM1L7uAT20Gwg
I10xtDuzT1hLbhUAPLR01mqa86xncSc0eRiyUt01lJi/lUY8X2H5LmXdk0tzmeCrUVbfzm6SJkK1
Ux6MQv0KLGTc6mbi3RRKFX5M03wI5jAd/jSOfBmTOJtaIgC+NRnFKI161mFwHgY3czZmonxp0riF
QjtdM2I5u1MW6C/9PSpO6zqirc9Lj9+RB68usKAwEsMX8NkC+mLXwpCzQ3E/v0DaF0j56bEuh2rE
tMOWhxnPplutUtUvaqjOd4kwyyvfbN3ugEtDWGdQnEV/jSb7unMpdLsfItw+Dq6CAZ9f2256nKF3
3mmGHR1UOerlzVg7Frwo5GlMv44K/ZfTtOVD02baE/rouX7lAj2zW7HrI52idqwR3S5//urBqCHj
qjyE/WEaKgBB4WDemX0SXnmWzo2CyjyWKuTDlLBXxbk5wS5v7hhl7rHKURo5YqaomdvLh/7MfUZe
T5HkRToIPbPTuSTx2MkJnMJBH3hqE57Avdqmza0DhOiLFOKaNOrbrYOwuEWSj+Ddgnhc/vzV2g2T
FwulU+fDkILRSPlQAcTtJgDAVG/+dGpsGur7JAfkBvztdKhJOGU1A187pGrLtVUIoWt+bVDP2Cgw
rMMgT8fimird20sUTV467RxD6LxAg08HjZwiBNgTeQdTjt50SHG5TfZKV+YtZjhuWG/xMi77xxy7
1eqQU3i5ptH79pIjy6PvxIuBBdobYLKMdbXRZKIcbLd17wbA+A84U4h9ITCt8FMKtph2iTAx//hQ
vIAlvAUe7NBPWX7Xqw9rxVbI01yFh5lu/RZtJWBhFeZ+l7/p20OxvA5UNFAlo8a2vg1UHV8Du3LD
Q5h1824y9XgLRPhaMeofisrJU4E9NVLhkGWIzpDUWj0VVq2YOR9af2h6FuxpdEbF3Ap3sNynyCvb
cbcUS3V/bCC03Edeq5vgdssKV8u09sZil8KD6INCK8AOz+Gs2sh7tAAU1aCAJAJYWhoURgxzUJVb
x7ZbY2Oh9VD5hQG9bmPJPnxW7FKhXDMZqG1ldVjrG7RIKj6khugC/l51IzZyTLRxY6qDm0CUA0jz
rU3nYgrqsJg/56WeZI+ZTDhjelIL+10ZiiRdpI+zuvqgJdKDB19jT79r+0Km35OsH7qd0etm+BhL
YG8PGVSW35ZoNRwOvFyJ78sK7YVbvUQ7/knmUY0EjRUVnW82dq7eGF2hZpvUlOJLVMyOsymwk4/u
XTfMIeaOBnw6G1xo4ce57fb3iZbX96o65s9d57TGFv3QOPloT6A7NWwNje+jMeX6Mc5EnTwgPzZO
yK7P7jdBeemzolPI2s9e1sU7AXEv2s/ZEMrPedZkyv2YjqlzO7ohklRbUFeh9pQOmtVgSAZj9GE2
e2XYQbZwvhvmpLmbuACrdluVYgENjtKdbxqnHma/yZOKFjRiAY6PzrvZ3fZmmhT034bU3YW6Mn5Q
+lHLN7XapF/arqhjVFucotoKk6cqMKSBY3nkhcn3Ol7wWg0gnDjoqOjeKl2UpRtNCFX49VhA9S6y
UPwIB91+3w0jBULCyR4AXWdW8bauTe9X3+XuDB8+75Mg6cgY9mGMSe1mtpXaPChlbw27bHYGjV8h
iBO3MQUL56EwFLsLGiWXzg/eQ5DSGHPIiDZibjXutnZmIwkqxcPzZ3bFD7utaj0AlpzLnSmGKHvK
2kQfgfYVqv5tpCwX/0LvcNBvlAT39n0eqrnY4ueO0kUc2bHczaOJDbpjpTmi+EjhejthZYMGCSpz
4PxStMtmcvC4Ge/oTgn7NusMSJ2+lbsSSwCv7wb6S40BRStTlXwjZkDCgchwkH5nI3uBckPetiib
TFojdt6AftcuyYw22WKdUQ932DA3QmDgZ43lO9caYAY1isV2T3tRJO9aUeYIfNlKp/0cQGSWNfqT
aVwfJH7bQ1AJdC54L5pQv+0QHsWyIg1r5bvdFwj51xiGYoarq1W+70UCVpL+rf1ENyHGxwzSjKb6
dthEeDd4sR7tnLyu2v0swbTfJhn/sT+lGIBt57aTEXiiAfddXkoTX6c+b2J/ImsKt4NU60c7Kgdg
sANNjgfRtl3md32tu1+iPM+K3qf90JbPs4b71M9Z68roy4S48QA8NkfdHCKaWsTyFptChJEw6h0N
8b3OG6t7n3Hap3ulJsvZZ05B/Rtqb9eBlIzHsG43M1qmP5O+7AA8lWmlcmft1LIUdnw3W8ZEY3D4
DXj0xwjvLMi0HInQTtZ3balrvyDhfe1a5yHy4nxj19aHaRjZbyHgatFa6taxRPFbyBGwcalLUIyT
55dgtgslQnsmMVq5F504QpT8XAqTrZREoK5S/aFLFNPxrTlLP02EKH5Cbf1OynqP+7bYevC9FkB8
gRVKVB/DRht23myaftpM1S4F/gyCEi68NsbNUxoqHdyF2fXzpHlIahPs4eAoNy5GDccwoWynTBbq
UO3gW4l9SNsI6F9oKe8LfFVuc917MMqw3PZIBt0gFvVjivthkznKvWF1YguIuN5ZVLT2nUQZxpho
PU2LCXIONeqLbXQ3jpvWuEEmxkc5VPden87bcYIZgPZVekNA2welpj/OZpxuZFdq+6nP3iFN5Sz/
GI6smNu9KybxkMM1JCKOsJeyy/pgasU3o7C0IMJqq3EQHlR6qIgQwpt3FDmiL+GQYuY1Tl+EplNu
09XBn0nM7+w4L/dtg1Izxg84M+3yIQxvzM4Opxj1hGbUBN0JOH83moQbELR2gQO3TwNvqD7UXdQA
oknRnH8citSbb4C6mvkTrD/LCzAB15Q77klP3tk5zkU3bVQYVmC3sVs9oH00lH+PczmPj1NbOtZG
VdrKHYNUTcrh19ROVf87Sya9f+9lVdQd09ScqcJTJTH2davE+q9CByHd8Y5Z8/xxcdHuZ19V4JDf
NdDL27/zalTbR7UqymSjcqLTraixeb4rUITjltTV/L0ijMTZ58NsTHstlQWCGqlGytYvpKxdJ/Ko
+l00Ba6zQcxbm7qY0FElkwFqZMY9Xh3m39rsJN73kEsa+otQGwldAv9UvypdbUjRSko64yYFADih
rZdWVh3UMJzzYAwdAOo6QN0vfY7k8z2vlxP6bpzG2UbRo+xYidFrtxSp6NA7oveei7hweXBBzv30
vLLWfbcDB//OKwRY7bGyC8R4xsEFst4oqInHWu+pdPHnGgeeuHD4bBAXyJZK1fxddmE7+0NhNZhH
EpHmSI6kyTeedKP10XVuyqBWJFYoLUxP2ClGkmx0PMOLXTPkKlQbwHxg1iWw70qiCPTR7OL476YY
wAyoPa/KfaN5Jc+gy0O9cYdOqsfOKnP06sqkFBvWheBtckezJg2I6p/dIEJtUxVyrsGsT/THRiU2
7cdyLGZsglCCBOQ5Kk3W7cI89qZ9G85efN+OsTpEftVqxnifdk5EcbyCOrQp9FZTbt2Rym+gtnBa
grK3oZ3PXYNgkV/koweUP001JPVkk/KA2YVlPTXtmEZBpMnyfe1R8uFlVrPpIUapCIvOxhLme1m6
UfvYNnnKfZngUwe/cZgAkrWdqI4efpvc1u3gkfRbjd3cJNqghfvBqQb9zmnjXnkqjBp1oqJR629E
BfZjnNNv9Ut9wL41jUaZbHOC/G9E+Wpx13AkSeh1I+1+SiA99yaQfqfBPifX5z2PBV4KncyyfvSN
LJFdEM6hVe7HRoepVPVxaO6znhA06PtK1X0eYIkykuYiAGaMgjhdcVO8NU10pu1N7iCgEvui6Wz1
HS0ydOo9hRbJruXm+j31eprc8q8j4miK7lm09dj2fj8usUTcjnUWuHWmoEIxVqO+yRKLXWOZbaG8
L40GsQFnmngXmiiEsoPamOCa4Gmpcb4t8/qntQSat31f4rWUJnFKwwWoN0h6nWM67KEb4XaqqSOO
vPVcGvM+pIsr93qBmbpvAnssgiKlBLhpB7vObr1OiZ8Tp2gXhlvlfCjhvLh+A22h2rsy9H4miYZo
jmiR3WNboInj45wZfads0pQ3EzF9uctTgJW+EXXpNezvm2yNghueJpC2yTYgfKzSb3gziaslfXws
Yzs6pgjNc7do5QMPWbgt9G6aYC4Phn85i3qThL+MCj+b4I/m47qFSlCftRV486PDM3bbWmWyRfXC
WfzHr03wTX1hGQpNRwoMC1RuXSuheK5pdTfHR49D47cKVIcJdFPiF3OoY5ZUJVfwsW8yRAakaGLo
7EfqC2tMkxMh8mFVenwcC8P5ErmW9jXzzGtClWdHoWMLMNDAHnwNwlVxY6pHw4mP2qw34kaxajt8
8KZZjXeXP9W5gZbyr0r9nBbkGhve45CL0F6XHBtYebd6LuYtImvX+PTnNgRptQvQBx1EfW1BXHci
VqZKJEewK9GNBxzBt8e0PDi5fa1Acm5DsB1A0y/taHoQp3WCvJ0I1ochOVo4i3e5xzVRZoh/mPIr
bd4vl1fv7LzYdyjZcbaov54Ollax04L4SI6lyM0HFUHAv2cxtoEx6dcK9Wc/FPUswNnL51q3Osq8
zCujyylOagZ+F13bh+JZWXxvPl6e09mBKL7S/ePaeCPDmptJUhpE5scwLGF52YpjPxtYSP+h3DdQ
sEURx0BNAmSgAz/6dO1yXgWMW9MUPYNMfnYme+w21Vznf6iWzTiLbP4CZ6RcRxtu2TCvCkdzU4b6
LNkQTozg9+JvuJscN/7wp6tGlxVu0uKNtHyl1ShI3Uy8pk12dNtxvM+bXr0v7Cy/QkN7u9/gcVAt
QnUYmCayBKdzyXvaMqrXOwdZ5WoQApgJCILgXZW5vv3TCZ0OtapQqSLv0cKcnIMzSO3QqKX7QHOq
vPJSnNlshB4AwJZSKmXb1QFyo7pozHLwDnWqOLeN7CMf+5ruSqn77bIBM6D/uWjzwCJbt5V7L2cn
5m10rPt4QBWy0En5zUYZ/bzx0uc/XTgksnj4PLApwBrXyg1O7yDrWHjRUckjtX0owQoWB9q75u7y
OGee9pNxVgVRjAcKL1aK+NjpPfzVUtlq4pfioLPkhNa8E27U7S+PeG4ZgYfQNUfBYLkcTndfNnZu
sgTgR7SWchno2VDcIWOnJzcYxsV/Xx7szM5AgR4IMZw/BJ0WdPPrYzvpQ6qglBAfk8LRjo7WZQ5R
Mrqzl4d5OyfKxUDLDAD6tuauqRoUP1FXIVo9iihPv84oye0sWZHr58p8jcR4bayltv/qJkrd3IWB
PGfHPtHnJ7Cl5qYS6rCl2nJNDevt6i1lZUT9UC8ELvJCpnk1lKTaF0bjmBy7wgifKQxoO/qrzp82
j2E8LF26xdOK0dbNiMKuDbNNivTYZ4lwtpqNRfz7FlRbH3jZ7BpXjvHZSfGpgPha4FLWl4UKudSx
pEEUMQxUBGDaB50Gj/vyjlj6XieleRfAF08sL9OC/FJX50pf6v2W5KEN+2QkGQRC0nApWYvwrFvd
S3dI71MlVo6mWY1UP7QCFb7LP+HMRoEyArgNxSVa1t5qo1gipQ40NenREZTMSdlm5DRllVaftWiR
trg82vJ/ezNhmHNL1+PFl+V0W5qRWQ+x0qZHUxpiRxZEk9Ouu2Dh3N7Zqexw7hP6TevR8b088pkP
Ctl7aekQ4S5/nY6c9Eni5ah8H9MpzzdeoyVbOejTlV16bhTEvsG0gWVCDG11k1jumKlF06VH6Or9
Z1tN42LDP0yi4PJslid+vY5IRiE4yxjEuavZhJQ6QmtkHdH0mj/YnVl/SPEbDOyQrKum/utdGfDc
NiGA4uzBIgICufygV4e8cKZhjgYlwZwb4O3kKv0uF4p316EF8+Hy3Jbf/mZuXMIorgHkf5P1lOWc
NqkZJscsEnLHmYjAkB7qXlefK7xJN+ncX2v4nZ3d8sGIqlApXAe8A9X4PFGS9Gj1mrkryCTvHGVU
fFQnxP7y7M6dALqZBPAQZInj9NOFbJMO3MbIPSaTLv9gI43/rumU4m7o8I3sNSu1/DasvTuROf32
8tBnZwmfYJko5ZC1TdFIWdy0UJfF7MAW3wyvS2EOiBl9mskIu2vd8bNbFBUgtOi5X7jhTicax0Uz
oVORHl0JnTOsjRrJwCzblr1WvrPV+Zqp99lt82q8FcagqFsKW9S9jth0YhXv5L8iqSDFh8TnHY0r
ZIizvLiC6Di3omjhgyKEdkSquYqREZCPB09ZKpthiPBLGrsDpDdZfg1jzCSv3J1rL4Mlu6BN/J/R
VluHshPdrVRPj1oranMzlg3iJ70SPqYyHfdlWsb0FCkET50rHV84RvkZ+si1yGKtLvrPz1j4ggBZ
QE+u6zxeGM/Y9KKS1Q8DFc8yd8qfTRZTT+ocg4ptX0V9HpQ2TUNaWNXw1Fp6+CiTOropUF29HfHZ
2cb4TvyLNArpLvpVPf5zRbwmy5zbATq6gTxjXFQYcZ3uOBcxFBsrjPQ4aTKGL5wOYldqGQVicAwy
2w+l84PHvr5SpTm7CVBsA9RGYo4W52rY1g1DKWmES4teD3JTz3Maqtsmt5Urd8e514V8jChrgdmD
sDwdqXGVNnQ77g5jpDnU46W9sade3V2+Js7dUBS3aNu+hCZrvEBXIV4q5JQeK4AzKEHb4kMe9+Je
N4fi/ex03jsjNLsbrQmjKxDLsyuJ9iPfDp04eFyn8zPbTK1FqaXHzMusrSfmZhvpvXEH5qS5Eg6c
i7wAlCC4AAsR8uFqKXnAZEIYnh3nsf1VeGzVTjTzL9EY+ldqf9M+jt3pa+VWxS96nuIKRvDsGYK1
rUMhA9CN4+LpTHM1aviTMDu25AR7lKU7KC1ziuafPtbth6xOus+oNuV07Qft51hYX6eyN3e1K40P
rarQ/Y2tYf765x8eNooFRgSclr3GZ2bT1FI6JkRSK4PiaYvJ0i6s5+67Pkw9pbq8/EZXQbxXNN2+
siDn9hyUHpW31watso7OBiPrvUoFDudU4eAEceqktEBS+mSoq6hDuVEMi8avhp5MtckLz5NXjta5
u8OAJg2SywA0ui61KghtkwyI9KjP6B01QCs+wTNKD9qoIP6uxtbei3vjmt3euTcSLD8cFkqIy5k+
3QaoPY5U3+r0mGMRE/lWZVZL8ypWHnoq5bdGqV3zCDt3xExqyeRShP2wYk9HjKZ4zOhopcfW0JoI
1RpZeZt8VJAWQmwnvxbtnFtWE7EeiEek8kQep8P1c6gWLnp0R+yyXcYZmh/oVIHb8eIk3g3D4P2O
ybSeL2/ks8u6iKaDGkBR5Y37QZ1JO4EseZT9SD91jvKCljk91/1ClJQ7Q2ri0+Uhz60rmSki3yRF
iCSs1nXs0mpCyYghR6N8cOJonDZ1G/UxUHQze/rfGAxhCnDbAEpJ205XNYlwkZjKjuTeavNnS4IO
3FVjkv9onYwG+uXB3qJWCTsYDFNa7BjB4636OqNXigYLjEUVkzxGSVH4U8CxbunIzoGtRUGfm9pT
oopy46R6vJlmh/ZPJNAyVsb4WhPm3MUNKI8XAtQUxYbVjlrKVNJJiozeq8y+hkXXHbMqpjhJvOMe
jWxsHiRiZ7Zv0He9t1yaAFeejrcMqmVBuKsg5PJScYefLn8DjaixFH4CHvJm4GlCHe/n3po2+ArN
D7XrKYsT4/DYaZ15rySOhmevJiElDMO1PPDcvQlCmj4QKRmF2uUkvErL+iiNGyNqsyPa4+6OwhVS
teYcNe9k7U47KWPvb3Ms8kNdoT54ZV8s332dpxGMcnPB3gKkvdoXopVTlCtZfiwL0Kk+t5b5pXNT
+UXB0bUN7EmIvdFLtPnmoe4WgbBmtAD/wqjeXf4p524ZsimqGDBB2KirPZEORZ5leMocNZQJe2zH
6C8FJgYrCPlNVPx3XRaFvxUlV+crsd+5kR0adDppDjfqurHQMa8Ssbp8wfhojh+hXxhvpdKZ73MJ
NMFvQR8FcpFEurL65+4bmMVLyxO5ISQPTj+8OXrVZGLsc8ytKr/XxmYITLVs3vd64lzJO87NES4n
W4zAjKmu0g7FnuMEKAftBsDtu3DsShw2NPsW3K/yThTxc1r26pV1PT+9/4y5Cs+E5QILrMvsqFIZ
ezdM0XuwBOW7sKqL28t759xbQdWSnrVDDw8S7ulCVkD8GhW0wTGsGmf0Bx1l0X1TSukFjl5G/4uz
89qR2+ja9RUVwBxO2WlmpOFYVrDlE8JBZs6ZV7+fmg/4t5psNNGGD2xDgKqrWGGFN/Te2ItmJ9q5
OSakRJcCDoDu9QUSuDr0pLlK/bGgHe8ZGMAIjxMOcyrV3RMujHvP/q17goBSBlcYnJrrGu0k4r5O
dS31pxjcWpBXoOG0IqifNC21Pox2HHW4NOX9UbjNXvPt5v4hoqKsIqNtXf75T3dUNIDeGjT2jwib
lxKLICuZIHVY/ScR40gx53t1jpuJMroR/zfi6oIusPlSnSlJ/UIDP4tYmXJsqzo4AShvXmy0v4+L
XXzPtQkH7W5YLnHUaztX0q1UTbq8Ed1D++Buvp40NVvAsBXbSssL8xIjYu856JTtlBtvflbLRVNb
ohKoOl6Pki2Rjq9Vm/pYjadnk9o+zhOWg3ntEH0cgKyfh27GylPg4PtwexDpjZ+GXn1VK0KgGHwT
zQy6w8JzrSz6WjtgHj3FliDi+6f05nJK9QF5aAAQrL5oGLdDY7RZ5s9iQR/PGQYiq6oep73qxq2L
B6CcRMqDUrDXPRqtoyCvxjIxc1Bd9RLLnDrAv2pOQaFRwMTfn9fN4YjGJdkPfcF156nSqiVOQoed
atFxwC4kq38DBNv+K6ygz/7DniS3k61p2anRV2FjNiWRKBbBVddn1bEFr49b3xTt7MmbU0IESsJ8
aZ+syfIwA9oydOPM7+hpKJhegI296EXUfR5b22kP9xfw1lVKKAgjHg4TAh+rIES0dMndvsn8vtTT
z53Rzd8b3Y1+R57FcA4tJYT/UGUiYUMjQoX4Q666CjaCQi1QuFgy37SFTYyfV5fB7cAiZkDTD2U0
G7/UQTs/3Z/njVVFmRV3BlmAx19jddI7HC8cvSDYMhYdcz/E5jOah+DTPEe02k5+cSvCheD6noyj
rAS19vpe4cYOrEaj+tNkBbwNDDleYiPLnuu5mC9W2GjnTgvyjwnIs8ozG6U+CqO1f8/UttjZTTe+
L/JS71qLUDnJQ65/idUGIuMGRb9+MKbquW8CEIVBroAVbeJF/9IVTfvH/aW+8V6hOyTL87C62Fby
U/z0XuECyrWyjMR01Fn/UssQzkoTK6dcGfQ3KF/BGQC8PezcBDduOMqWkq/K2VSUdU7XRhU68Mga
+kaxzOLYRHYHRnLUnPR0f3q3ak/ccHCZKfJIuZ1VbAUJ0RZl0eB53MxGelIblwYcpknZ16VDOltC
+pOnBMvJZDCTE2FDfozqEHY16iuvQdbWT1YxiV/u/6pb31l2zUxOMTHmmnK1IB9ek0HnPuAn9dTh
j5p5AtnrC0Qa5RkyavX9/oC3ggQsEmXxD/sgTvPqhdaCsRtyJHF9IqAA8erOPSyVNsN0UEbJqkDh
kAYwOvo9qFiFFfuiiLTYmfatvcZVSehJP4ZHYPWu0V8CHuRyrCmrLl/ievnTEdn8JIzB/lyB1z+z
3fb0FuThXeVtqM3Kbr3UaN1YoUxpZoiRrrPv5Pr8ax8q1vKhonzfHFxqCiitZ7+ltKRmkD59OHuo
XOnLt/uLf+trEw5SyoZXSFN/dYdWI8QSExVuOlFzI1WkC8M8mqSHP+ymGLoP7tKb5c5LcWupccRU
pUspaftay6ppEPFHzz7zW5ENX7VkEc+5khiv9jxUuCcp4imCDni+P9Gbg1Kup9RM4xkdpeu7ZJrM
WW+6MPdtbShPELjERZljeMYYJz1BXOi+j6nodjbV+9Zdf2GQjxQzKYdAGV1tbZF1QdYJM8fZPC5/
o9gbAxi3x2/NUo4XRQ/RZo/nE9D9xRNGEB4tlJ0OtHSqZ3XpopPTlMalrCDv3V+MmzcPSpQU9gm5
KeGsbp6gFDF3tpL7hQOFYBCdewSWN+LYCCbgIFR4X3iTWN4Qzyiwo/9KJ2L2YIAGB8RYG8q/UbLz
rt7aiaQlZNKEEAjSrH4SBjTVqEV17tNmtkec8KCisjq9JCHGSsMrM8zFnprqrRMo2w4ym+bf63qF
2pVRgMZq7ou5Us9mU2vP2EPEz1D46/NkghlwHQy2hnwKQg/u3ry3QW5tS1Q/qQITDCK9I//8pycu
i8eoKOg6+7g+odQx9vTpvEHXoRGAZ18umE6Yr2yuQw3DEy0bCt8W5EuPSwX5TXzDXpK2mf/FKYEa
x9RIr+4uxOhX0cbsn/ubRu7V673MqZMZjuw2IpO9eo0RCGqMJAAi2lfK2B9gS6hf9awxlp2Tug2w
YPrKfiY3I0XOdQciTSb0VGRvraup2s38r8kjWPXli5rZ0BUfnhVMQUCCctsx2Grb1UvvQlewAPNm
hhXiilzWy8UI43p8OKxg3RCUwn5RBo9r3AYuMTma8nTFsS+o4ZOVOe4gYbYzinymVh8Jg0epIAuS
V3Ymr/eT0PSW2VJeoAFexsC/nMo5AiOJe6+I9ehbLoocBl0LWMWrFTcd/ry/nNsDxWuGyKhMbQiP
1/gNfJBwYE7i1AdpZf/iwlxaToU2KOHvlWgqapFQj//GvCTmaem6tj2NopwfZqujoEINUuJLkeNF
0fR6EeqIjkQsxtS34zk7ZSlWmzTh4zLlxKgziKfa4bDUmfb9/uS3VxgPGuADCaLmjKxDJzuMw5JQ
hbSumbTggC4avkVT6+TzxcwZ/hgNRvU4IpRBQboa5Fx89jXyoUAWstImvnhjZMs/lAOXgz2Yw8XI
9PojiXn8e+0O7s5nvjFTwO806Gi0SDGsVdggsJau+p6ip2WMLnVewnc0QbIC2qU+uTFUqExxdsKG
G/eCjEeJFFWeVDRJrr9qEmVRni6UWBYFOvaxzwc7fcpqvdY9Jxf9l4e/pWxqSDQlF56xVumvqQZg
PJeTXFqjDlW4gN+EH4z46rTd6FNt78TO0b0xPzqQaB0aJtcr4K7r+ZVAKazKDTJf1TrFel46pR5P
He2X6ht6D83Dz62UhQYrjlAH5dZ1h38xkt6cNb3w9WwpjwoaC/6QN9DTKGVdDLoUXx9eT+mGRj4B
VI769OqhQzItLfBOgQmbWNnT0um6l7va/KOw2nY6dHBZ967C7dOKNpQUA5HoLo34+no9RRapSbz0
hQ+xQhPHagreAoQ7PLy/sicMt9wPboYZ384uvfFKUh7gAqYiAUBn3YuhVhEBnl0KnwtI+yogzP1V
19H8fH81b46CDBZCoCDpN6pKahMafQI83y+nsjxFejscHDHuhYk3TjlrB3WH9ZNwvNWORL21qI16
KoFmkA+fjRi8kTfGZqKdF82JtHOrzWq6cwy2g4J/hRGIRA+JCVyU68+mR2ET961b+FEXm7/a0WJ8
1hEd+LFEgfk5K3vLPD66ljCUyPgAiUqY+5qmlBRSj1bRS7+3LHHqK+jhwdCJnT7KrWkh30rVnS4d
2oGr3ViEhpFEOBv6fW7DTNQyWOB5GcC+bSgVL5p+/g+zkjAOICAy4Fh9u2QO7M5BJcC3xKi/Rh1k
TL2cd56B7RHj7zfk60NeBfRcuf5WnRB02Zq09sesSF6KAFPyIBwG3tkcHz9Eaqbfg9AJ1J0tsr0p
5bCUThDEhRmz7rVWAVjNSXcrHwGV4Q1zShWvqRZBABwgUvH49gBmhE6UDhpGmlpfzzHuyeG0MKr9
xhr+7qu8x1nrcZ0blCTZefKk4eyw2R011PDZHcbGT/q60D1K3/Xvc0vl73R/V9zYhYTWmEigAcWu
WPPk5qAwwoyClq/hyu0NlR2+4Gfxr5ZVhT+Jag/qvR2OG5gaPoY3AGs2EnpzaSC6kS6jH5Xh96l2
7INQ2k+WOTi468x7JMBt7Pt+37/HYNSF13pveYd1CdoWk6+WwgKvFuBXHChJl554vt2PxZBHLkpe
dV6fRiwb99rw28PAZQl9it4eDysVneuN4hRA+4u0njnhCEAXTvNbpy7fQvBUh9oc34pKqc8Pfk0e
NaCOEudCgYHE7HrE3sQrVq9d8Rrhl3dsJuMkNGQtosLhfVvURyOG99Fsjh0oB9Z3dYOpSgsHrVLF
a5xpyhMJmrT+irvliQffwlKC+2FnxM05l34GQOBkIqjRbFqtqHSvLLOajBMpt8U6TlgHd14YaPY/
jRJN5s7Z2LypjMa7LZMmJkcsfb2aNGF1UBSSPTPgbWdMvfhk9PMe4PDWnKRWPuLnHAi8Ya9HmcYm
1LkFYn+cFuQ9HPzbndwRLyIrxkeDBCYkqW+cdymMv35ysshMCrSSE78up+oFJE92mtVR22mhy49w
lXEyCkKbMp8j8NlQVLntcWhEi8nvKa98KQGMouEaJxQTuzwMir/GIk6VDE+HUA0/9HowlR6Ol5q7
p2x3a2GJY2l2sXzI9K0WNhJKEOKgBG7QcIPy1Gt12R6ReTCH18S1+v+wWYBnEs9yj1JWlL/mp7qN
2w5mb+NG6DsFQGtNUcr42JVF1+28PrdmxYsgAXREYrQkrscZmzmfwdkAqMnsBPXdPnb+iR1tOagB
yjX/aTCwIxTgSO3W+OkAIz8YHQwGCHSgauAm4Qm1gObXJc/nPY3a7XHjEsGCGbi2gXLfBnGJs3ke
hRTch7kyTjFiHjgaLO6jXav3tePpBg4o34RVhDKi59NZo6AHmtcujC6z6WIkKPTkb6jp8Ztm5cnD
p46vxXOHTjkVEFxZrr9YXiGZQn0s9+lWSB7QaBfi3OUlGmCP3v4gVrgZIZFwtUKWuR5oSIogMhtq
l03WDbWnVCrmwMg2lfPRHqo49Opa1jnuD7p55FhPzhjfi0SVaa5OmbWQpcZ1HvphaQg/VoRyFmhs
ofzS5E9L1X7X2kjfiTI3UQRNQFJ+eY1Rqd60yRJaJEkM8tc3kik+dU1lfC/devyVlyPBGB7lx51J
bg8dO1J6itBwBQGtrz4hHtbuNI00KNKJ2sfRLe32b6GE85dGYF17ub+i29nRC6ED4wDdA/5urx65
usRF0QI35+eTEOVB0xqlOo7VLGo0eOwISSozr/c8OLafEfkCEDES5k2etRbQSFwjs6y8y3wX7+UX
tJuRCMtmo/tVI3z0umQKEUPrY3XnrdieeQOtXM47jT4ipDX4CRWzHokx2g7uuIBJdRPgmZPdnB9e
URCh4CAJAenardVxrQI43mLTwcTy9EenR/G/WVH03xyjqAGj0kL/fH+81XahR0xKh6qjRAHDOF+f
+AU0ZCu0cnrlTg0OquzfOSgrHaPO3lPZXi2gHIodqdG+AvZqw7C5PvMK4Cmlcqz5tUCd/XMTlxYV
1SXeibtujUIjBi8dfjHlttUh7xZ0oopunl4Vo6VewvtzSgx9121T3r0/RQ5yMvJAUyUGmwIZdPWG
mgEG0GVkzq+Sz5MedDWptVPhNkg5xjVn5egOrT0d7Nqe/w07/OA9oC7Wx5DkUPdHdBm/q2Fp/1oq
XT2d2iLXNc/qsqk8GFYbixNzUIQXggjDgCoHDvs8KkiMvRhlIrrXduCEHMoRL/Iz3WdjvGizXkZn
JQty661vxno4akbk/nDt3Jhpv4ykft5s2GH4MbHsNnpNK6ctTm41N+MhVBqFlTJI3p4UYDfzc+HW
+dc0jezFC5pKnx7b4+9rB5SfqJ8KF0dq9YkWTa0QaXKU17ov2ucgq9yTmmdorblJjaparT1GCJLj
UTQH3kNLhlx/XZVR81QYIh/VV32sjYOqV+ZJghu9ftGTnQvxxu5zVI1wh1ebJvE65KEzMVhzsKiv
Stp1Xh+CeljacO/1lAu02nwOoHG6jWxBxGVXC2jYqNOlzaS/YmEiUFhspuA82q16CtVUHLS5/7dL
VKs8zwMUuvv3xa0JwnciwLIBL23a/roYB8wss+m1Nov8WOBb/knRMntnh6yueL4YZU0wVxTuaIZQ
iry+KnT0M60J4ZNXlLa+WDEiWpOjeHUR/QiRlfHmYC+z2U7L0Dh5tAglgIIW7vWAouhHqymE+pog
G/jUJsXX2aj2KHE3B3kX9KBIIsO660Hcsu27xKq117ADwt+HanTmvliO97/Q9kanNo7vNLLA767D
q6ixy6pOF/TOXwFBBOV5qJbW9ABXUx9HjXaXTXjjU1FEgxSP+jDA3PWkbLurgzkYjNcpctXvPcqF
zzq0+BcQC+FrDTX/PKVzsvMW35gjeFiGhboCyGot1yVMtZ0R6jNeSYrFP4bTBF+XMYbghX9K/VgU
zl4E1M1pwx2VJquxbrOb46zGTeIYr4iEoW0uzPRoVBHsMiQAjwFNuZ0Ttoqp/jeebMBJLQXqInIX
/ZSdpbk1hgEFmdckSMfjFJj5wZ5aNCTLofeQlpw+3d8v2w8oI+J3vw9ajzQer8eLyxjiIFoZr8TC
9nAIZr3qnm3hFM2z6rZ2/aGFpwNYP8tTcydW3d5jpk5zDU4DdhiyMHM9dKcQ4o2Lar7GSJIegkkJ
/gIIDVgKnNRlasL5VwM242FShz0RsRuLLFGlQHOpAMAS1a9HTuhoh7ODVhD91PFYJUGHoOQcoCaL
FF5RTNbDH5WqCTe1SSNCvg6rniOE7LqCCEu1yw4LDwp5ekmXODrocZYOXj3Mw7/3v+r2rmE8NM9J
hAHQkgpcT3B2l8jI4k68svqG13UFuiBOvdd+WEM82awMA4VKToy+x0anaFqM1E4t8WoK0y+MdDm2
A3bqpvKv2emh58Td5zhy2qOtzG+jaj45yTTtbKJVDed/PwHqCoeU2XLvXc8U3DiATyIbvzesPjpa
E0bCn9OSZADpSNfp0INFVyC/oO0dBT96VUU10lYQU9y5d7fniOyORgw5F2ktXfTr37EYWh2lcRr6
bh243tz0lUqfvq3+tCoIuFUCc9GIpnqvyLKdPom6TL6oVJIUrRVtBtudaJTmsV9as/UEOaCdT0aV
V4rXRpo1o26pWH/q2myaXrXo3ddCrY0fj+41WhkUVnXZiOKxXh1j224UOx6Bp0WITL22qZqczKIe
d3b09shSS5Klf2yW2HBrjFUy2UGagRf2C6Ep3piML/SOHM8dxAs4gr1awfb8MBr1MeAQGOgQNV5/
TS6rrk7CLvex0im+p3phnBw3GZ/ur9x7NnIdyclhWDxE8lD5WtfdI7TEjUUTpR8nzmJpXs3qpV7T
UBi99L0a/ygLQ1mObjFWyI8KRNHHlxBFjPHoFKhVWpUy2AcrxzHpMzJv7j8hXRLVU13gx4ekVery
OKtuqD9z49jJDnfj1hJRbeb1pW0gWwfXS5QnvV0WvZv7idpbB5r/4mCXKPzeX6LtUw/ASTopQjgC
b7wpVk441MxuUPg2fmX4ejrWcQwy61ABgz7fH2ozIYp6oLeA8RJyktqt4rM+WKyqsIPS71Q3PoxD
JA4OQrE7zdTNPcEonBX2FDkQ/b/VfVUGSV+o2VhxYPP4XDc6oUQzW8ILAsx2PMDww7m3tGhnq92Y
nNSzIF6Crs00Vxta18fMQskE52yrWw6t6GHdGup0engJya/Ih/HHpWq5Lllm+RSnMyYI/hiow6Fr
u5C0s4qP90fZ7AlE6uQtSyeQ9xTflOudh7q7GdfxyFyQAH5aZit5zQhtjlR+9pqO26EQSHqPNeHp
QntbLdu0YAUzuEvlL2NrXdresI9DaEFbFNHDDwgBENQT6BlU7yQC7npWVGJSHXXf2u/VSfuNb5Oi
goL14Cmp5yn26rEPkL1ZtEfjWzks/l34Ob4jCVczVLqk0KKqqf1E0yHUdXOCjHuwfA/SKD+7eSYe
ZCvB6mRAQAuE0uRam+J53NWyElHUvuJk1ZMDSvsSpWl36lP7wbbf+1AspsR+0jGmani9pJOp9kbW
qAwVq9WTkiDV2cZGf0qpDX1IkHL9dH9jbg8ZmioEQ1TuyPCwf7kez7CrxBWBXvvAk61TmZvFOVfF
gyDT/82KCiFHAMg/JZTrUcy6N+JscGsfCVLlGDpq7mWjtZxNba524tabE6IMSZsMG1vIbNdD2Wpq
jd3i1P5iqsGfIK3GX9puXnbu+O2VyLL9NMrqM9HywjsB6SUfmoh5iC27mw56ojX4YoBr/UeY49+9
NSRf/8PHQpVe3lV8snViV9uFqULsbvwldMKXUSqu6xhaPL6CbHdALOSRaCysbZxNowtE1FiN3yPt
y1FOsFOJ4vnhG5GIREKbpfQYtMPVWxwgxl83Dhu9DZL0YCAf6zt1OL3Y2BP8cn/ZbtyIOInTQJO8
Y56I1R4HuBhCXFtqPxzc8HPWLMrzrEYfwjkedp6smyNRUwAOK7G361JuTNnOLDq7Rr1T6Y9O68Se
GiXOYY7pL9yf1I19Lj2xuHdBy0j49vU+J4zp9CFPGr+bQnHIK604a6H+638YhEqkrCbQfV1HsLli
9VYbFY2vysy+y5fR62Z17zBt4uT3nUDoK9kiFCFX93kzoLNf9QMbjpP6XFfo/NczFiYEa/VzmBd7
7tO3vpImgTIyisUIWB7un+oVdkxVy+1nZhUHU0IcOPfiXIi4e+sHs+x39sStDwVyEDSaFBGhYHc9
mg7VNMjnpYH+rVeXOFQwHzbx/rn/pW7P6f9GWWPDAhdqGhqrjd/GcXOkzF8c6gRvmjIKf9wf6dZ8
6CAQxBCY6WAArucDB7FbKEw2fiPi4TkZF+MQtlNw+g+jkCHykdh+G8hzqBUlQoRu41dI2x0bdf5b
zXGV+A+DSLEcuiFE7OtIPW7qUYRj2vqBFuEsPHbjJZrNx4N0gmdePj4OCMEN9hflQcftnbL1AUw4
f6j6YLrPBkad2uU/zAYCrOS48Zavk1qsqDprCfIWpdhmWTw3nRTLa4qi3pNOvbkDgNW+c8pohsi9
+NP56Vyzg9AVs2z5PB9JDWwPg7KH81nubAlZAGSPOBZv3vUoWW9O8WAgLYfXlX4KqhbzKBsoxsOL
Ro4mRXWQooLHoK1GGcBGm42FgF02qIckicVRr/rHbziCEfAk3DjsgQ2uJBwSCwtRE9YAVhS/aHGs
/A0TTv8ULl36PHEJ/Xl/VjKeukrSKSsxH/p8lLuoqq8eV6cYSntyAGMvdqX0T2XU1eLzGM398hqM
c1m/FlMQWOfYxq37iUZ0Fz4colM5pBKMthkpCNDp62Udc5Z8MobKT5uWEm0UhuqPKsNV8gA7TPyO
wFC/dwNuXxGyHkaUesnsmXVAYbgJXlmzwTEjgukPRSGM/AyOYbnoJmYonq3l+V45eDum1L2SoG0q
N0RKq5Og9BBFE2ByfjgrY3R0lay2fssWfQi/CqMR+p9VmoQ7RQz5d15/2+sx5W/66fSF7ThM1Hw7
v+sV7WNKcexoRXn3+5wSg97fRtuDLq8Trno67tKaefUVHWdpDYHGow9jSxynBhR1VofVzgN5axHZ
qmi5Uyuj5rOaUDyo3aC0de/PevotN9rew0LrY79oz31S7gW3t1ZPut3S44Z+jDvk9eqVpbqklHR7
H6O59gVBsb9ANs8XZ8GY/P7ibUaStxc7Gg4CbS2emOuRhE7lr+qmznfKShwT1EIhJOmtFy9zszPU
5jtxb/Eig5Y2CGc23It8rsvYwufZDwpUv9LE7Y9JV+0dsBsTIgoEAA7MSqKnVxdyW0+DGmNshvJJ
XGte2MX/TGmQY3huYj/+8OJRHbcALHCWaXSu9oSBY3Y9OtoACMkqYalXcFWxQHLV6lDjXLk3tc19
+Y6oBx1HNiLvj9WuIG4ymzY3Rl9zRp6BHqhhccAtw2qecCMzaRvPLT5atOqGbzUpX78TiGyXlkBU
qnHyDlHs2mBHZ9w7+MSKb2VZfBootRxaNegv42Lu6S1sMlcqxGxMiHqcbfquq2AbcNMS1WOug/LF
ZBQvupLsxEnOWDMbvpY19l+ZHsSPdj9pmHE38yZJ6WdS5+uz4IRTTSe3sf3egRtxoQMUmhc02VVs
fAcx7ykvbc8DVVfkl9k7dMvogV4PN439kIZd6UBuHpRDF6mWp2i7t+P2o6ECR3xCixX8K2Hq9ShC
R9/M1ZPFzyKo5cfG6diddtc6Bc6PCIftHHJ5vK7ufYRh6VvRjINSIDHa18NVaiINGmbdx4rcOEYl
kCdrdpqzZk4KrtK1dmj7mH4yReCnttb23oLNvoGf966fTTOQW2Ytb2NFYDjy3l58RN6a8OyMDUO0
ettlH2hzNSbGojhSYjuJ38z5/mWwOZ0MDWgEbAq1Z9Io/XrmhhrhrxmUKirlTlWdk0GP1LNbRZF2
4qQO05Fn13QOZjRly6kSrfGg2I5ETIGkY/XBXUtnmFXCWFtEUaU6GH6y4D5npq7zixoRS0Vjq37G
i3WvybL51MDOwOSQK/APndDVTdv1uRsvi2XCkRLNkyaC1Ho2SzOjTckbeUqLGOO+sbaBRhidhvOZ
Qaasn+6v+uYQyR8hTcUlW8smNL5edQFKIp+z1KTAgPAOV1L2shSmttNb2BwiKADIR5OvUGPVgGVe
j5K31eIMDuJoY6SWL+Nsp8eKuv+xN3dt6G8OJdutQOe5ZN3VAaJTQtKiOoFvup0xnzs8ZPJDiPXg
cjB69GC9R9cPSWGq1PxDGEwJ+Xpmtl7b+TR0tj+5VehZIVLLdRxXO0nfJniS4nYkeyBLqaJspLEr
zaXZlDq2P1Cne7OdRvvbBsjyXI14k7t5ofxxf1bbRWRTkC2Du2Qh+XDXs8oGoS9d77h+NDspNBTk
EA40dLNPFrJrj954vE4U3WW3XnL5114kjWZm2Hy2gQ+XvkBlXczNUVRNdVJaw8QuFItfoJLCybWT
KiIrQ/zeWHbW98Z8aT7R8ZSy77J5cz3fpDId+ilsmhLN96dS7ftjnJfOabD7+dP9pX3njl/d8DrR
LzVrXmfazmCir8ey9EyyLcb0rQnUuvMi/I+rS8KH199Spe6bkxVz4R6xU8QzpSFS6M5K0zTGpRrm
WTxxI2bkAmbYwsQYpT9ookfJ/BWNl6I5iyQeA08rOiv90Cx6Mxyd2DX/bdraLL3SHNQZI9ksHwbP
qitEqKPU1ftvzRwbjIIgenNM+qzvjnOWlAg0zZwmw0vDBlolLK8i+JIaRjA+KWnphF7DhSK8UbXa
y0yBOjggK2Tol9Topjc176zxU+BaQfCc9MDlPqqjqJtXNayb5ti6FXoaUxEb+nOhmWWCy6jR5QDo
MiP/DX7bvJwbowmmw5wsU/6ltyHnXppQCcNTonXtclRM8iLPyazpT/RdiuSg6ByIU5znCARWCcTd
k5OHk+ONzqLXn9JWG7B5bixTPKEqHAwHztkYnllXxTgtKXI9n/qC1l3rqfM8umclttvmt6hPke32
MrIxHQmRuu6Mt0aM9fee7zV8TYbGyf+YtL7PfxFxQx04rMI0+DLVOKRhKh9MUfDi6HHR/xJMmjL/
6uplO4NJidXweRkbtfIq5KmqCwAnk/iXyNP6BHDWKZ/ub7rt/UFtl1oeuG0ak8Qy13sO7GmLU2Ce
vhFu6n+Mdb18i3RMFvTKyc9CqYqdSHD7lpO90uDCc5HeDBqg1+MVk7ogxDRUb+WYmR9UXuzhGCBv
/hvF5+hlpFP7CvRq+NFO6rSTOG8jGJpPpGTYh/NaQau4HjrQjXYehLz/rUw74nRUfmkUxHlPRS+w
3THawjWpOSfD7/eXePuQUjpnuihusXX0Na8OiYi4wQcpeRN1MmKLPI+GFzm1VewkEdtPSeMBNVcU
7Gnk0QG+nl9dpobS86i9jWnHGRxKLfs3gy/8jcMBzKjJVLM63Z/a9nZkSGbE9KhsAl6/HlKPNAze
aj19E+lSamcNu/XsVMAYHj4iG7E4O5t1u5JkQShGSp00CeddPT5xSQ3HUdBOyFG3PmXDrJ6D/FFK
PNEeMABANDLi5D/c1ZEopjFcIEMGfqob3aUCOvlr2S/Dk4Ik3ikFItE/HCkwIB9MCorIRsEqvNSM
xEgwjQl8WHXaxU2wt8As6kGPRjkt2JaAOHjM3pW5rr9VToWqsKw4eXM5ZW/6ElkHW4T2zieS5/f6
DXPI26VSKSwz6a51PUqahTlGwkb9VsBgHZ6qIkOEFhGPBZOfWbfLy4zQR/cyqpDPLgvdpR3k/HaL
MD45gsRA0G1ZC1MPdkzAVOrVW4TJxanFFtOrtLDd2ffbUVAOgX1MbZO9SKp5PcvcbPMq67PxjcJi
/6nKjeGURNpe1/zGKHISrCdwPyBX8s9/qvRlobZQNbDGN0Mr5he0rgMvpzCz88VujYK4vUyv5CBr
SGuQUsS3zGx6e4d31rmIf0xVtezpg2yvCmoO3BWEjOxx5MqvJ1MAGYMRNExvSVN8iAJhH9IuTLDO
gVRz/1J6d3+83oMS2k1GTuoCOnhdzVlio9YbPZnfcHFdCpD4YfRrbc0YatvZohXHQRsX55eqDRvl
RPxh1r9MqdWp3ghVZfwzzAX1s3pcitBLzF44JzOwx4/mGArzHzfCDGZnM91YGckxIuaDNszvXd1q
ws5ClahnfiMAkpXITHma1K5/c2yimftLs30i0P8jvuRgcEJpRFx/hFBXhn6BVvdGRDs0Xgtv+KmI
xuGfkvbrF2GNTXu+P+KtyRHxkN4hIcQjscqC9CBtxtRMlrch7YcX6Ir5Yaa+eHQWW91Zxxsb2SWL
lNx8ZHZA0FxPLmhSERpdmr8ps6I+deESHSC8pjtLuI0iiCC4Q1G+pxJK6nU9ih0r+iIg07719dA/
aYlRfYMxaZ4EdUHPRc3ymPX9vNNOuTU1INhSMh25ok3qKhXhw8ntGLSCiF/FRX7QqJHuHZwbHwsk
BhUthFN4zNeRStgMfSKSoniLK8oJLo2MC1ik4jAqevqLMS/VHz1CALkHaWy8BM34MinG+IeRhNlL
hk/jB7rnzSksgblZRr6nbrFZA4qVUlxZYkYg472LLP50GyKtPGuz3atvQ15QJDCd1lOErT3f36/b
UWQJHWgo6B5qlusTQlcOglmIEW80g9ld4lQ9OeDud7bqWqmSo0cJnTBU8pEkEnW1ixJy3jLVut7P
tHy2PNcgMv2BxEPffgwXs1Zei56U9omW9Awlb7Gd6pIJZ3Fe6rAItUPQJ0l3wol9mbzJGgfKJ8uc
7wm7bbaDVFUi7maXU3QE/Xm91S2VJmHfNL2vCa32klgHZ4eojye0VNvZettllzQDSmxg/6kVr4sl
oAhIwOBx+3RSmsNgR+VFT1L3+OjHlUeWEeQgUszmekIZYsP4lteDPxktGBNXiy5UT/NHwznJMJa4
HJDGlAvX5sSKkbYqWHrFX4SlvpRDmh+VfhY7W2hzlb+PAhuEOiHulGsscw2nDZx8wygkMV6fmH/1
+vJU1hjPWEG4Z9i63QoUsdgI9Cdkk25dpjPHhOQz01Vq3W4Qe3oKHcRs65BKd6b/dv8r3RxL9sql
LxW2JquzUQYtFE7kLn1RJKiLN5FxKAXvhmtR8L0/1HbbMS1pqYNqGTDWdUKBX17WI8Kg+mMXWgdV
CYNjvNR7XeLNk8GnAvsLgRgFEi7x1au7pNnYaQuLh6dceRz7YqY+04vPnQ51p9HL6qxa8R4J7ObU
qNwqMhPcZruT5UQtpUPVX+a5PesFNcEo7fdKdDdHIaSAQwK+mXf++kSpfRe2UWmofqRb+aFvi/qD
3od7xha3RwFCgzi5JG2s6uFWN81TDZ4TX6vOPARJUj8L0e4xrG6OAs+bWwgCxQZdmZoREp2zw75r
bPT7E+7luhN7UJCbmwH+lqS+kDKvwYj5nBbWQOLk4yK1HLQ8frOU4EtW6l+SsnodiuAxq05eGjbf
/x9vXcaPlMTEH4cvlFTdH0WI1UnvhtXRLPo9NPimayFHIvGi500laWPN0yKf3BuzUH19xIxz0Jyn
OCye7AghEL1evtZL+UfQB5/we3hQQeJ9jqwmTFjqA3Q15Zf9KTRos8bskpj9gRBCcNH6YQZj7BZP
GTWmR+NZJinhVYBrSC8ogF8PlXZsi2Vhk0S9qx0wyna80tWpRo7dXh7z/5g7ky23kSxpv0qf2iMb
89CnqxYASMZMRkhBDRscSSlhnmc8/f8hKqtaBPkTHbveVR2l5HSH+/Xrds3sXtqPBFyI4FwjZCSL
OCgCONeUa2Xaelp0JbRS4U5HRb27HgIvRVsdKG6mwQH/LfXf4aC22liV8lPlGeaGNjw/PegRrunH
a0X2ZUM1PhOMIIBt6rpQSihanK4dYo668Np8esqUOMC/dIB7NBayk+RGtutpZ7Fvp2B4bDup2xZS
423BO4ubrPF7YFBjzUnpfHkhiZNHYsdBNoZI6/TXpJkyauqkTk+D5o9OlliYbU+Z8u7EhocoHKyZ
s0P9duk4Te2n8rEZlZ8yltX1m+6rNpRr9gTnUyEssh8x3aGAcOaCSck3BsVVxidfKISt5Hf0QTMb
dWWnnGUcWJfAxaDcPQvOuZxPF8zzglYKrMB4Ckv9YTS1xw4ppx1g30X5eW2znE1Jo9qCLTUKSThB
UDJOB7MG7ES7qNaesNRS3T5VaXuTKmuWm5dGQVY5Uwyp7vCNTkeB+NtF1tBpT1qllbYud9ZWjds1
ffTFUUBl0a1CR4DhcTqKaVaQcdAJPCFzDxENCwod7n3vw/WDfGGU2ZtiviSxBaBgdjpKAe1CnRCJ
PvlKPrk0gpc2XSMM7vVRzsIFJTm0MNj0znztsxR6GK2mHoTIxCGrbj6UCVWjUImbH/iitCtH59JQ
eDsh0OTzzBTN0wmZIYbOFT/kKW27zM4nudsZKkXG0Iqq91ahmRWEprkDKjkRr9/TocBFE5ykUiqN
Qhy49F/Fe0TEn7xOpzVa2IXPRMOjWRVKfZ1ttxgqzPMmFWqKmr5Iw9fWk9pHyWzG997684RQDwGS
89ChUns6oSoA7wuVkAlZ6peQttC3SmthO2AO70UPZ+MGmEm0kCPXxODgdKCswccl9FN/r+A2tDEL
+UeOKd3KiwohHv/MCaTHSwAknrcbeN65AkvMyKVkvTWf+qoac7eQTf9Q0qducFpqZSo0Zzk39lym
ZeIGY9z7x3DMB/PZoEekfOdTSug/JaEYZ5sxKzFX00kfC4cio/xUVHHnfZL6vpjsQGkogOaS0Gm2
HHW6cltoglnZNApAqmI3ej3QMBnP4WxH49O4dlNrHBM7N0VfcGV65AxOrJMRb70mqXVbkqNe3eTi
0Cvb1OqbcmtJdZ/ufLojDndtZ+rlzjK8dBtiJ2aMNvWTQX4Z03zqP0N2o8Cql4N558eBWt5gwmoF
t70V578SzuBPElhF2k59ZPoPVhao4XY2mG8be1AnMXT7Aj7LyzCQtz97sRoEu7GXKjAaIRyrB7k3
NdodgMrSJlbKksFWas/6mqctG54E1RKR/NMBwg7zLP2gBxBAnaFQ5djOMQvOHrjKh2pbqtH0Iia1
8SWW+iTn1yZF4A6ToH41VcCDjTlmk/xB7xStuQlpiCs7SL8E2cYdosTc2PAKXd7oMBiKP+u0jZ9h
ikgSNiCkXtus0WiVm1Z00NpHEj5nd2NV9P1uqGm3tI0jZOE3Hq9DDCAwRuue+1DqvgigvHBluAu1
xLECwVN/Aj/6oqNPQzL+olGbITsRrUgaJxvSonYSPfKMl4kUy9qWnVp0TpZ2U7fTpEyLbhrdGJDj
p/nYC49ciegZ1Ur1DzlLFH63jN6LNyKoWbAtzVj5HGiZqjiI+5JiY/VxajyL8Zig9u684MXvBStx
Cr0uBGyXxLJ0OyPqRTZG28luPwQBvUTRbqv3cdzF0l3ae2PIQ3G0okODSnm8Uassnmw+hkAZvjZK
00kR+I8Oxf4o+DWNfmM6ll+lPzy/zl50n65jtkauVTuF30cv7agM4sdkapXHURwSOh+z0yQLPzJd
jJwx04TcpZ1qPt02jZg2rl4DkDxrk5pEbhOoQriX1ESIdhFvS38HS0QPNpOQm/JmDJoWVsb8GT6V
hVTLWwACWXPEKOqL7ZBHhbiDI9LKjhQbQWlT8LaGHfWhaLSDMJm+YuKnd3PLD86TrZaemrghPjNf
O4luRW4NJ6KwEe0PsmsqpaS5BS3htU3V1KL+U5LKVHQCpZJj+BmWfCgVMdQPkpjXeWyjyKo/x5xb
ydG12JdhjyVSs81rVfxx/WY8D+yEF5hilJZRz53hk23ph4CrEpX0Pnuh22vwKuC8+fLOQbjFAdEl
ACaDstOSEkN9uQ27eMr2nUgpuapxWjdkoXeuj3J28+ogSrMrPlJluKJLwELqxb5PhLza+0BY28Yq
whstFORj1WDpe32os1WbkxVaWEBiIk3m/Xh6f9B5RAvkuq72WtHoN0HXp47SSYr7zlEo1lH8RNPI
023mUJ6OguzfoxzQNfvY6kzNTftevNcGa3hn228URCihQan5SNAqgExPx5FrZRgLdF6YRCJlLOKg
S20IitErdQR1M8DG2fp6m/kr05sfTqe3I/UuzHegC86tfJZqiyQMBq/pycxLo/NuDeN7JPV0EPNr
BLBxRkU+aHRbrlrh3Rod+IFIsSleY1SMF89ivr6IZdJU6PpTVkjDTp1bpuE79OH6xzufHVkZD9O3
FF2DJXi6qJUyKens2PWkmJ6w1QVVuY+oxblaYarbJJbvkxDjFqvulXfnNuSDPA1xnSRBIM85HVhp
S24WpbGe+pL182Fc3dc0RFvJPc+fVVDOeenw2uFdddbpjzdIWfa6YD1VrRc9W7ERbSW1ED41AWVr
PAKm1+vLeTbefOLmei+eB2RTy6py1lACphl8tS/BBO5Qd1Sob3nxI8PY0gTgz+ujnZ9vCHzg+UQR
3qa8fk7XsBQsT0z6qN1beT/izafntuiL5eb6KOf1lBnpxG8W5e1sfrJk6CKoNFqfsLUfhTTrbUnI
aKBVFj5Ccy+S5NaOTcUMNnWctumfkjXOPq6x4EGpi/u8fsiSOB+2SYlw/DE2Eq216ejurVXxzsMq
PxIYnZtxplotNZpSwT8ceFa/J/qKZC1V5EakwnbQDmt9Yy8MxQOP6hLZP2u/LLv6Pjs2GMR2n2pj
5+JLF7/imqncF7nQrtQmLw4FwgxrkYohUv/TLywE5Wj1gdruq9AfDIdAB6Sj+X5LrihWpb5d+dRz
TDkJdoAoc3FubhTD40Odf89vYN9YJI0oj0a/b/iK6R7ppkB7rCnRcIQ0ae3m1C1/7TbTKkO2c6UT
y1dTpWcv7MYiMrD/lkL/ho7oVEx6KQjXsJizlwo/D9I29wDbcG43e/rzzF5oGnj53d4QpNBR+oi8
lTLaQyhblJy0EnnmIKxVGC6cMgBJVEBIzgHW5PlH/bYmgYLLx0jhdc8F0QY2HW+0g8earKz9+aee
zzI7apYxnr/IxwTfzTidhr3cUhJ2FCGf9rRhtUK3HSfVX0kNLoz2T9WLMdONz+DCMQ0nCexs2iOQ
HG/CsIXE6oXhA1qg79f31Pk3m5WSwKzzaxlTqsUNY+U0tk1Hb9gTrYRnvBp97RbMXHaz1FTSLXYw
5egkcV8FzrsHptgOikzoevOzPf1uieFDOYGpugd+KFwgdcEOJKF3W9HK91JZJjf9nM9fH/T8AoBm
RtIFWD7f3sYiJBsTptx554/7LBmtl7Cb/PtM0Czs+sLuoU5jHOWvD3jhQwJO8kAnRNDndemeKqlt
zcswY0AW/9E3IjxN8AR/9bwm3F0f6vwgcGGDU/IhwfqtZZ1SzzxJmYx03NeiGdzLUYwLYRqudUq4
tIJkBOiFcTM9h9pyVfElXmfjXvWC8WhoYe36kpbsxDby3BaH7BVS24UFpH0kHmIyJ4GdukhEmkmv
sZHIxL2UWDo9WYuWm5pmdlE1rDXOubCADIXNzeynPlMGT3ckrXi6PKxLca/4vbfB0ly9UZXo3Ygo
QA6nDaiSmiGxcjEhJU2SIMPweq/1jXob99b4CJaz5vNwYS54/IG3EohhBi2ru31W15SnK2lfG7Al
4qQZUJYOqXt9y711Qju9kJgB6C4GsAR+ioenS9YboS+YhifuO2qGiusVCuS5HOAFE8F8EL8Lgwml
vYF1/DxWQWltof7Xvg9qVAjWzViJcuzInjUcR2MYp29ynyXGJhONVnNoD9qb+0rOxMQRdSiGd7FX
VT8ML9Sbu7wMO/OVt2gh4i0WUqlUtCCItmPQCe9sD8/zjOrF3KYZNh3LuWRONLizJV1WSns1DY0n
8jl8/eMinFmJkvTp+oJeOF2z2JEjzLsQVG+xOYYqJYhEorRPchHdtqTBirXR1ikHgOKq3lRJJOsr
Sfj5VuFOpLAMGjb3oFtWSc0G+7JhyOgbI8TyTjZDeEyTWq9slfmXn+4U0Gxk1CzjLNeVFzOLZanL
Ykwa9paed98Tre62bFzlJZvAtcah0j+p9PW+lUZRXeG+n0cQXqYQSXlo40NBHDndo62nQBkK2KOY
aBQPSTVKxzaG4d+PgJjXP9+FpWQo6sBgFMiflnRGLpxGqHOG8pSkf1TYKneh3Bq310c5v7LJCEAm
UJQSQPABO52Q0eBZTRt4ZQ/wW7mZ1mvbdMjMx0Gu/A9xqCd/WvSO314f9HxqOHLjqgaHFeUn1N/T
QXFaTqo8k5U9VRjL0as4PJpWoL07oZ6ZUHwlLOEpoy87pI1FpI45raP2NHUMH+jMy1E3e/1RL401
7u/5tgB2gXRKkCSp5n+fTigdDKsQKILuLTH4Xk1Wcyu2xbjtg3qtnnchSuJGB2Ga+hR2hQTM06EC
HYBZLRVtDz09FuhpjMAv2sQRxk+3kkq/RzdU+wL1EU2VpDs9mKbaLfUy34tWaVYbORyK8VMYDhZO
pZ06V7gGVYxufKMLD+UY+6M7VkL5Jz2f/fDZgCfi38hYbKQbPRPDAImSScNnqU1Dy4azUnrIn5J6
XEt15gU7PeEccHR4eMSxB3hgn84Sf/bM681c2Vd1+CtvSsUx1Pa28BAAyWH9beyC2zGu6GkmrKSw
F7bmrOIBRCAlmQlhpwPrST31oN7yXrFy/WFSBeFbolXSygF44+Et5kelnUsATxbGWcJ1HY4s1WRW
2h5JlOmA/2tPiam3rh81zbNk1PVexMV3N2pt7gxjXxxoOxC6ud6s9Yk737lz22LudJJKypHSHB9+
e/HwiGtDbAjMvUHbCRu0UnCqocxB76d4895TPyv/5sPIBTi7bZ0O1ei5n3rU0vaqYIYbheYWVEUo
jVwf5cKEoBTzZgQ6pGHHkns7TnFRCGaikRKBgada6O86eaIjdsDeuT7U+TVkzFV8EtcZET2rR2Pu
FlttUWt7yTcEd/Tb5lWX4s7xKxPkQzIDFIGDNEbuoCTFiv7rfJ8yNiA5gZvdChR1uph9IhahKDN2
FIaWO4VKwmNHDt3rM7y4mPQzQHgLJI5X9ekoRpfQsabutH04Fe3Op2nvQ8BDbEsz+rW3wPmJZ0LG
TASfWzXAHDsdqqyEgZaqorYfoWTiHcod8WKFaf0pYNu6saKkfyZV1H72wDh92/d1a83B9NJk5wa9
7BrKDmf3hRqqQcfe0fYFSocPgxB0j3gt+p/0VFvDKi+cf65czPrYoDCxz3qV5JWKVYUn63sMfTrj
xps6wbDjUrdQRxpRZDi5FfTHvA6rlOR1SLqdaNVh+ahXEh2nSghZ2cqL79L6kzBzi/GCJ09dbCg1
Hg0cQCt9r/r1CLaYpJRdx49FXW7UXNfs2pO+15a/lfLk3Ua/cOXRTUIbkYChYOaffvqJlif93KFm
T+psOl0oejDS/WoXVk27MstL33j2XeEOZflRAZwOVVM4AR4OjH2XDbINp0nfC42OR0nsqS/Xz845
TYtpYVzDhiIDAe1ZjNX09GQv/d5gPzWd4CJ9639GSYlLYyqk03Mv1eNoG1Ob7Mc+DgcXla0Xb5u8
aV/qKNWHnRLLwRpSMg96evHMT3oSL1AEIMQlj6rL/KYu88Dc92KlPuVd2j0OsMk+Xp/7hVF442Dg
iB/q3CJq8UX10C/QkLTW3ujbAc5JVudfO00fVwLwha856xgQQvHK5mMtaEd6HhjtJKQmN0oaQzsa
x5dek/qtFOjqyozmhGOxboTBecnIkTFSXtyTRqRORtuJ5j4xm+610wLvHnod5VsjEW1R9drju1cQ
IxvowMhHqHaqi8ibCXkpg2mZe93wErtoEpS9ZrPWEP3SAr4VMGabTe7lxQK2Xa34lhlb+zjN2o1n
tq0j5UaKIa+41t7qwpZ4U6xBCpqtxZaeq5rmG75RJta+HsrR7ZuicHC8W7MZuDTK3G0BHh+rhhfW
6fkOqmoYWtCfvdbQ+6TBXM+NgHlu3v1xqDRhdz1zZKlDLGLlIAUZ1ZrYP3Ararss71tbVLw1ccuF
uUCmYhew34gfy9RMx08Ymw0soYpeSZw2NOLbmAi5homdZTGc0zeTX8rGJGfLBqlm1EtGSkvdg5qa
7eSOBK3pVYrrDFysGQTztuWuzdwIzybZKWtZRLyrNzC7k8FU62dczOXhhaaZkC8ABqrEITmn+/Zs
MyFEtkaY+xKKmK7YJT1sLZd2Txb/O24z4SbxAKseTbPPIXSIRkZdJdS09LXCyOTQEFtCGu7qjWhb
bY8NF+4KY/I9p2Nn9ZgbWCrYku8nL1kbt+PHPsMjP7ZlPVJVhyko9X1ReXCCFF8IcVign6dlx7IW
/ehj+ou+hJHW5DeVnMvaRsXZqL8f8LQybFECKf7SV2I44Vkljfq9oIaSsQ+tJC9vQxopeMhQepyl
Mnm0KJpO9TTadMPoClvAojSuXB++oPpdaujF8/OdG8+AWvwGsBP0zv21OlIA3EJGc9+SALi6kvpu
k2Ijf32Us1g3j4KwB4XcnKAsU7FaECQZSZS5N/M2Oui0K7LTzlfvE2UYNl6f1J+vj3e20WfPfY3a
N8AKep9lGLfU0sr5U2kftWG+LWUsa4NK1d49q1lvSJIJ7gC0rS9Cg4ZoQ8R4Qt5XvlG5uREVWxRp
wr1WDMKtJpdrquPzVeQNOaubYUdLXLrzufv9ZRWJQqtXtbKn/5J6oP+dFdgBXO2j7ymCb4stDZ2v
r+M8g5M7CjgM0vJsWzATcZfg1FhbTRErHSlclaaGqxlF+VPtx6DY6Rnhd1dqwqBtabow6CtQy5vd
32JoZDkwWuE1z9D64rqCTTj3pLOsfVoP7fhUDFbyIzay+HNl9LG/NWK5/Uq7ISp5STz4Aw6PFu4q
reW1P4smrYVbK6F1lK3oiWC57EkT3qBC9fk10M1a3vFgrCY3DFUDEWU5NMUXxUh9jOTaaNScIq7a
cJOD9lRuG2p588HydP2XJ3fGJ8SlSmeHIw6FtggT8VtXU7rdXl/4s9yZSqWOpwyC/fk1tjRC9pOG
6u2EG0BVRP1LFfvtU2T1GlFHF4Tv+iS+Zmbnjtjq/6jyrv5yffSzS3yG7sjmQHqgeJPTnW60KoDK
haeCtReiONz1TSVVVIxlP3bGJo5XANCz28IkBwKxm43hZw304kN7vdJkdVVbe8uHxNjzXLLRrX7V
h1S1M6HcZZn87JuE/+tzPAsRvAlRWsPKgbeCBGw+bL8dpk6pkKAATO1lOW22TY3KLPWRi7x3FIAQ
mA8goTzr9bOVrIxU1OIwOvRh3n7uhTyx8TGWj9dHOf9ejIJaQoJowUyWwK5WTjT0irPoUHdCvDNS
SXzIhineAm6tvazOYhBPdgYCJAAsAEhbxiCrr1MM1oBcEos+EvrwZYh9w/EQ4zdtF6zEn/OJoW+d
YS1uKBm7hcVofpANuV8U/qHqu8IBO6DGnBTKk5S2725GCPABMxtonEmBJ8mn+yEdBvzx6F5xiIac
8k5ZpdsuwQ/m+pc633XMAvtEYAlwSN6Lp6MIwHS5nJXcgZWXOGQcwW0e+dbu+igXlm1+K3E5UcEG
qJ6jy297uwyM3Ij7IGbZYsV3i9wqvpoTQl47qrNAdK+PdnZJUC7hjmVGBu7A1DJOR9O8sNfTnntd
1PzJ1lI81axS+FEV3b0QdfkOLuma4+KFCXIHwjfHcWa+exdDtkQkfYqb+ADBvbj1tIai19gICaer
8bqVaHjhm1lz3YSLftYgvjHgf1vNwBh8VfQL7KLy2n+0sKX+GKlpvrm+ipdGoewqc7/Phk/LVezk
ETAqMdMDJrGYatWNtemsce1bXRplLrziWMmxAo0+/VaBH0kZlgXpQW5Nb4syRf/mB1r09b1zwUZK
hSA1W5ADAi9G0WvaYSi9lx50b4hpJUL3tLjBmvL6KOcXB6NofBRkYhhZLk/sZIiTnNdZdsgTZdql
6Lk21hhPW7ykmltVkAe7xDn8vilTfY0Ac77lldmJgIDEW2SWcpwuo9dLBczpID3kktH1L3KV6tET
qhh5OFQ8IrOPo1y03/XC06J3W7y/9WJQ8E+hXgi2Nf+033ZjXSS1FPV1fkgCvTedvLBoQUd73fcf
MermlINIiviCeBOdjpOEo2dMpp8fvA6nFnQCqaOl2J5ZiW68OyjOZgvcX9xcOLYus0wlSnO4501+
yIqp3YKL6Ic8avKVjPIcIZ09HRBHYXJD9gLD5nRGYR0prSAk+aGL4v5Gj9V4GxiCt+MVFm7kvtDd
NIULDDJuOgMtpzad2atPGTFvJTyf36Ho9TnqVLTn2sVy93C2ExBKIz8UNNnZ9WWm22kfZBtFqDxX
iqmgXT8o54ee8VDrAxgCup/x3/Ny1ErNj4qDl4cRIq1ypJtwtpayXpoVz1ku7NkM5KwEm8mJSvhq
iwO6Ht+ZFCtyMstDTSp7xSadxPrm+qwunEEEgpC5eaBAb1y+hni0TNVYGcWBo6I4XE/KJqSwvbUS
+I3mBKgAOdj/dn3QC0tJfjCjnbPiCfzudA8Rtz38FWdfIk+2HA8fTM2RyWDNlU92YTEBtQCv0W/R
nGnJtJDgag/aKJaHvMnEX6Ge5S9prGfHmt5+G7kI381KRSSGUIu7FC4TnniLvMSUq56IbRYH2LnK
3eymvZUHVXciRf18fQXnuHHyrmMk4gpIJOGLjHWR7ldVCeXTZ2YAMMqm9pOyczALQ2NVyjEWJmGS
iq/6iGbb6oLmtoqKfOUXXNg44MhI1WChEUGXiF7dymU3TVF9IMblyoZ4XckbRerb9M7KpaK8xdVA
eMlyUctXXgNvyuXTycOaoTbK5TGngEvz9CAII+hArXZISlpoGFxQWoF/Kr4HhX+H9WcZ3loFnKiH
AG/z6ldhDJOxE/s0qj9kxoR4zo5zfdJ/SXqdl/fCoFjjrhnksp6VSWJ2e/1TLTchegy2At9oplbM
T7TTzd72MK27SUoOnZHVbjfFd77gHTLV/0TZ+L0vpXkwuDegRPNr8MxiVZbyVjKmKDsEeS3R7DXp
aL8qvvf5wii4NhOkZhYTb6XFlOqkkJs0a6oDjQt1R9MEa8dWe9WsIncgSTQrd85ys8/DQdbjCc/L
gvLcvMK/XdaFCmnTNMf6EBaCsWtU7pjE6qQNurDO6c0h2dVjb26qSvcdeSyDlSiyjFYMjyqPJIn0
iHt86XeTNEXdkHg1B0Wg7YySSP5W0BHYXd8m56Nwjt9MHoiKhORF7NBrnH+VyW8PGNSYjyWSt/Rm
SMt+LUN+q4j8fnpkVO4SYAh2CEDl+jJP0OtEyKy27Q8AQzTQkZVoMHe1NYl3WM1O2TYxp+iLqgml
9BxUeE1MLsolnGMhBTTYJJliW5cgGDLq3qTww49Rp4jTDnVeNDhm1+MuM3YYzSAUtaLIbmPdnHa+
l+rfY0NMP4Ye2ISdVkFEk2XTtz6P2MCiahCFV0Wv9eidSRGTBTbg3QtXa245uCikKDGCxaHMhkNu
CV/lTg12QR7pKyf8TJ0xj2ISBXEPYCiO+ekGVUpfNtOwGMFkO0naVIPWqHYJ3210JyHD8MkaBvAw
YWgsjHr9wc8OicLp30Wab9ZbWlxHeLFUwIj2gK2N4FJjUvp3Po3mtgvsZI4tNV1QlMVrryjNHrhv
Kg6dZZJsp5LxJKQtNfu3ffyfP4b/8n/mvALg2Wf1P/6b//8jL0ZED0Gz+L//2Bc/sw9N9fNn8/it
+O/5r/77Pz39i/94DEHW6vxXs/yvTv4S//5f47vfmm8n/2eTNWEzPrc/q/HlZ90mzdsA/NL5v/zf
/uF//Hz7Vz6Oxc+//+1H3hK6+Nd8tL9/++uPbv/8+9/emqn85+///l9/+PQt5e99zOOfybf27G/8
/FY3f/+bgOnXHxw7yulQ36g9z8KJ/udffyT/ATbLk9Vkt3L8+TRZjtiQv2b+8U/iJvkyntm8OQmO
dd6+/Zn1ByALQBVxA9RPhAz+rx938pn+57P9R4Ydcx5mTf33v72V2P8nLlC04SalnRISd6pOM155
uoll8KORdrviB1l6VvA39V1vG2XPo3yfy/e9f6uIL4X/MGaKjTl1qj8V6aaOttOdatnVJyt2puAh
se7abJcXd75eb7zB9n/lbkpDgY/Vts/dUnK66GAMT37ttInrq/s0cAaelvqhax+tfuePm0F5KDkF
snqrT9xfkROPttDakfcaVF/EkD6ATrnLB6fpTOwcC7cpQ0eK7rTsEIZfBemLnu0HEXQBAv4+kfdZ
gIke2lpTf5TwCVbhLVuTPao3o/+Q+B+6wQb7t8t9Xd5BilyJPQuiwV8rCluOT85lfMbh7EWZHh1B
Kn6oQ+2z1vkh7XBV4x4C/1djQLLVWG5eCtv+E4FBezQUlExR3xZrP+P0Zpl/Bio/arzwm2cZ6hIT
ybLaLJRanT7EgXyUWsl8QTAe3ufKvRZGn2Hz0Q9dfU3FQXBks9rJ4qxvUpLxA3Vud+qk1+sX3XyR
newznk5sr1lfM/+eZfaWI6j2R8XsP1RyJW7bIrS29aR+bpRxl0b63VxeuCWp/8s9811x6f8bbU4i
1NXo9X8yLhFKrsWlbH6f/TPE/TOO8d//Oyopf1AgmjEY4g8BgKvr31GJ+IKnN/Y+xB6cjvmQ/4pK
kvbH/F8TyGB5ABzOSca/opKs/kEeoyHWRQT4z4j1jrC0uFuJk6SYGjt3BvX4fUtijAHsr6Fi014H
M7ce1Cavb60oFdws0v0XbH27GzkWs49qiObAxpojv1EzebilJlE5pdhReWqQWSE7qqbNb8v4VwT9
PWKeJvb8MlyCSAhnHTkPZ23JaEyHAlP+UGhePTGoXK/pWpD8UjqUehdvK0FdU6ctz/HbePPlMbeK
YPhFLhN0at+RZnWvuB+0G/qVdzZPGmktXMz/zO/ncx4GhgZvulnteGZkHHhFLHlZ0L0WRhxvMsGi
HUIVmMLOC6z+BSqC6dDytXlIwQrcxqg7h+4G7eH62p6m/EwOc1KoUCiT0XvP2rHTyyiMIxW/DjM/
Cpow3tSyLHweyzFB3Wi2n5CUNJsclOQgl7n4XKme4l4f/i0vPFmE2Vub5xOPDS5lmCun49Pmtp6k
XBqOWYOs0ctTzP/kwTwoIr6NuWZ0bqtF8r1S1sNTNKif27h6X+o6LwGSKAxBgGV55fIEOv0JWRML
U534zbGSZc+xUrl2m8p4n/HlX6PMNpTzUw5l4GKiwxD1pRQMzbHUcVCUQzqciwHkmSpaFdO/cV9P
FxXKDAaqnGIVEedSOjoVXS9RDR6Po1Rrbh018ZOQe8qtGJvWXScj7rHzIpA+Ww0dFPtK3yWZgK+K
kIWfPN+TUwc27VqF/BTGmOcPSZjrBGsxHVeIJWVINXCgS9uqP+qK8LWlhL6pvOwmGrTnIUGsGBZr
hmnzgi4XAZUq33V2EaRDxOlnlU0YKXqRjMd8QLQFZ8Zyfd5StJcK1wwLz4aaKaMS25eMHyjxTNRU
amOtJXl3TNq0sFOq9O4EHLQZ1HrN33Z5qXNJ8FHJbhmPVHZZO82KMioCr2+PrZClW2QXAsp7vXK8
StNe8lEXN5JRGRBx0rU2TpcmCVGfxAa9NPt48W6OmjYo1Lgajin2ZDf4igsusE6yVbVxrY56FvCZ
5ExQgcaGbAk96+mnw2Y9C61JHo6e6j0YdfwZomFiD1jy20GtfL8egs42JoNxf6K7g0OJWlE+Hcwo
ZCPpOviL8VBQIybNy5w4MuqbYkyLhykU0vs2M/OVwHdhVCyIZstYojdPxcVLlr668ZgZgXic4tT7
HvfZDwUZwk4JZeFGaGvFNUZB+XV9pvOynZwIEgyARMq4lKd5mi5OBL9C7TqrFI+d73eOheeQM/EP
3Lx7lDe8SqWSC6NpaZqfdT3incabjjT8tjaBVje2qQxrCqo3MGgxGdYNe22yFVhTy/aDHlhoV2id
fowK85GGcQhzREdsCmDS9qGrNpLypTE024puguQ4AK9j1nQzNCMNtEgfhuP1SV84HHOmgFCHfIyy
xeJwlApeSkme6kezoqcRNAaadbsyIM/1YS7OGuYJV6U8KxKWcPQYG/3UAQEeg8CVw9s+sZX78NH8
gDuY8swiyLflD9h4/p9WZnvWCnJ2aZK/D744KRQPE4uGKfoxsx7V9sHAITBYkU+eD0EbDN5xvFxg
34Gvnh7GDlGMiDVU80kZxGSXTNAa0hjtZpRo8bv3KTcxB5+8UqLStCT5CVhBqhgZW0dMU/pNLBsD
tmP5mhW+Qsq/OHQ86KnEzzuDDH5JqUHMUIUQ/62jaXbYSAVJ3vz0IS962A8bUe56uVzjtJ1P5V2f
JOmuaJrgV5klYmP70jALIUpV/QJZDtKo5OlB7OaCmv2Zahla4KyRJoxJ1KD0ncGMw2YX0KLYs6cS
q2jHVJrxXi3K7lC1OjYmpt64eLaps3W0QBMyPyzZK7XaeKKtdIH1y8xpSbYS6M6DDvNXSDLnUinX
5Pznv2HKmhSX/qT0xjGrk3xTIIByqqJew9zO0lgLuJoVRvjEQwb88XSUjMpAJZu1dcRzQXFjT8o6
22to83MnW2F/G5Tq2DzgNTEdIi+Oy41UJ+mKU+IcsU8DEhooql8YMgP3gu2c/oQJ6XY9hIJ/1HrZ
uoWFXbuyGMc3Qp9nmziI3/1KwQMBDTUyBq7juX3L6Xi5OpWpVDXxUaz82DUmFW86PBdWPt/5wjLK
DJmBiMF2W3omyYNEU3G5jo8BNzWyI6XQtjChvZu477RD5nfVvZ9l3q1SIicZfb9YCQgXx5+fpVAX
ZqHDYpYV1rrJBI/ySO+D8KlocOYrM/k+zElydBqs4Hc3GIGt5MLnMpDWPDYXRXgi+rzI0CZmt3pY
NUu/ryHpTSEI9OiYBKrdi8KO67W6NygIgqCNxcco8ENbHz3aTCvkDTpWKTflKKkre+v8EAE8Iiuf
0RysIpbcEUrSqkY/0vhIY49pN4RNbcv/j70zaZITydr1X7n27ZExOrCFGHNSZiozlaUNlppwcOYZ
fv19UFV3K0J1Fbe+dZv1oszalB6A45zznnfoy0umY3+7CtZHJGKhRKJeP91R4xL7de2yo8q6A3PM
JpzH9NS8QKD821U4b7FiIbkNG67TVbIxh27jKfWClpOonFFWmzR3LyWtmn+3zMq2YUIMH4/35HSZ
HgOKaBj09GXWFMabqmxvNacxghYRH1qC/H6R1WgG/mz7HwkakbdZ7ufPMMP0L6vSLCyjaEKjGX13
3Wn47uq9VgfTiMw50JZi/m4ozdzbk7WowAHk3maJcj61kTLCaDDqS9Di37wFFKYwj9arWdv104sx
J0Qqq/D+JV/qbN8TG7FSPuKg1Qwj6GfTDrWo/JxDPa2G+VKm9C/wKi8BpCXI3BSOPLXz1q3M2yyB
Ypy+oFp3ttw70pa0yjg2Ok5fijzhPYaQ7mGse31XI6BHVRXNj1OkJzuiCuX/4l3AUmQNkwXAx/7g
9F4IkB9/zIv0xc9099jqMOZxjbqkBlz/yulpzjVTG/xYB4jtrFYefHdqumFJXhZvVGGkJrlL/Dg/
kv64HJfSmfYXKru1sjldcE145xYzWMba5rxsJvShYbs27Ys/Dn9UrgOFWZpOQPTlfFwmS7wSbv86
2G28GcoxPRq9rgeTPrTXVlNeEir/gsqAwzDBWvkGGNZBaT+7epnkbpbORQeSb2JXq0dde0WjlG9j
v5V7dn37kRtX7ERs53FQyfhFJrUeXLgl56/w+iv4lkOZAZ2h3z170li+jbmy3G6FDDwmGXX3kfI0
Po562W9Hva+DvIhJLm7yYjc7Kvvc9db8FGnmt8JnPDN3j7PT+BcAsx90p58eFN+CFcsgY50IGMgG
/hmZzihHDzenaHh1+drfxH2Vvoq27cYgwrDADBrXy4cAhrhRBPM4O7exl9Wvop7tLjDSRchgzqzs
ri766JM0Oh1nVXziboUrrTYYxqG1g1xkogqWeDCecnuau0CbZfkeuw+ccSnB9Vcz9nssaLqxeEI5
YuiBZjnZfTu2xgNwWw5pykrsJ7OtLOx4CQFC0l7G9ac4yeSXki/qU5aXqRXUS1ukWOhKdOJ6taRd
YDpR/TiMWvGpyBvjZfb8yQmQ4MsksK1IpqGBd8ybqXcLcaoEu16Xkyhum7KJvwy5VfBVcszys7XM
5VNpSOtr52qWFaR4uH62BiQMoSkmhEF+XD/gLdw1AeSkWA+qCjF3sLCXbhJMkb9UvpvnQTFSnFsO
stEAYQWpYm05TyCxOHkR0b1oMixllf6hF3n0Z2vw3xEGo1Veot+MMPrhLetPZxj8g3/PMPx360QV
JinURL6tfFP/nGFQ3r/DzodWnGIJ34EVcfzXCMN5t+ZschyscBUfsBUd+9cIw9DfoVRc6wA42Xyn
rX8yWP0Bof70ZlK0wJLi5MRGnBocyO/0y9BiYNQ5ldM99xls9XzuxfVkRdMHJ+/tQ9K33rFop3wv
4qa8NwerurKrqNpl5HDct9Y0XPdKZSF+Uvs4RnbslbW68f2ufjKMqbhxC2o+YUzxwW7a5ToxyCUl
PKyNbmp5IIHLiZp/1G6vLT71LuwfgHHgeb4Lp5ej240jIsbHH1BuxZs4L7xt6nlf9DHVjj895Ps/
b9HPA5a1FvrPjftrJVpUEDAfxO3cfbXPWx9/5d75YOaZs5Vy8vjkDMm+cKr8uvaluK36inPIz4xL
KTanDf+PpVmRvmnlHDG6PSvTpFfhrp7r0Qcn8YdtsbTxdRbZ9k3siHn7+6v8ZSk22WqmyDXSj0NU
Ob2fKftm8Ie8ftJGgUPpLN5yIXXIIsYlpd0PyejJDWVWBXOXbSgopiFUnS7llnj+52Kun6Di7PK4
PYIb77yluylqfVtP+Q6aH+aKxwKN0mB/5IR+MEr8xNPrOHrL3W9ga2GjtQc5dldzfq83cjMM9jG3
gUOyDzgzPpOeF1q5e8iq9jrNk+tmiO87aSZBbxoXvnjrjz29GOgKa9DyatdAI3ZWsHvTnBKYlakn
Q43aztVbHFmiwgzyuStxvtcugVy/7EYchPAtWgEgpiXsjNObV42Tq1JgiifSUMR+iabl4OMAcT3m
UXGsptF/UJoLj7W5uENOCw42IyuvM1DePBiEgOynK+M7MQk/5tPZu0BCcVVEm9aM8gtv2y+0yh9d
HPpoBm6I95EMni5jVAYDf20ynwhtKA/Mf9TBZga1x+c9nBE8b0xHtUEU+w5ewSLZtpEUQWPDBkvz
hia4L6ytNhNPVL/9/g355c7DEUY3ApMCBBNN6tkBWk111pdpFD8nUVyGUdb1711Ds8OoIuPTsCZz
OxjyUXM19+H3C591a9z5tSHED26NTGRa80Ne+RNKZEBvJNPMaZ47otIb6JvMqGTgjsVD3c4fG2t4
SrN5Dt3Y19f66XOnx5vRajZubkckovf3cqR8mmfjrYT0r3rzW2xYXQBW+xkG6sZeu+aKnl0fdr//
5WelMr+cSpn2gJ5sNQYnEfX0YWoVA94YTPa5dszbaBH7Mas2pefftf54nRZ26HSEH2j2R6P/cx/9
t0r5H47Nn57CSjA7IYB9fMuypP0/b8XX/7Pru75gl/9Eulj/7b8LFgFFYkWUUWrwcFb45t+kC29l
ia1EjLWO+FexYljv1rqGeTCML6iM66fw38WK/Q59CVmeqLRXnxZGDv+Eb3H6OQJaohtYJXXYJtFT
/NLwxaPbJ4mhd89pT1B30OBleTcVCb4CDuDh3sefJEinOFbbZTaHz3XfYMjr6eRNdpZQz1Hd1XfZ
ZOWPuPwt+5b+8cL3cj1n/3Pu//iBsEoI51ldZ2xgsNOdPU789AbM+LlOu/sK7+srnFsw31F5bV84
Ek8P3r+WYnzCZAPwn+d1ulQ3EIARO0v3PGtzGfZjE29jXaYX6M2/FIjr1x/W3Tr74nVlQn66zLjU
Qmu6XL7QQvd7Q9T0WnK8x+4LM4e2rXc6rLAx6LqIj102e3dLrd2qJrtuZOQEwogL+m61bJdFOh9w
9G22muErnCFmtXOjR+XW1bUa0uqQxoyzq1ZGe9nXzsYnBuUSXrC24KdPB5UTlTWnJQoWwNHTa5mp
DJs5b+WL62ryq8s34R4orQ0psujLk8oPkt64mmx08L2NbmfIljCelb7JOycommrZZ23ehEX/5NgD
eawqTv57PsGAXYlda+Pz/26i9t/od5OTQ2n9B3+eSbZ4B78TRAXXWjB1ZqT/OpJs/R0yr5/YXPw/
fx1LtvXOWaXfPHAQL/gq/Lm/TiXbeEdBS2vFkIlsUIeh7j84lPgpJ9uKcosaiJqLymr9oqH6Pd1W
kDR8d7D6Zrt4Xa322ZzyyRzdSrwkDpOincREog3reLDETtjN9GwOmffGL56OkVemZjAAcchAyR4L
alMsnBr0iymBB8ryX52oTzLerxwaq5f4Cu+YWI1N4CzD8H4y3bbG2MysioCa2fuE9YnVB62vz85u
8evotvB8psnN2EkSltxSK0OGg5UVKDJMbrrOsKLAMwiHiV1jUO9JM04PyaD7N53IiLSDw/RmO2n9
vayKEVccqb8ty8xQgwGd+qP0iwxp4pyNBSCL1O+SRE1/dPXgPvtFPiZ7Cf5RBkMq0buKOU6SIBpt
t8UyMF+gk8d5+yZUbXyVRW7YgMRJ/tHsmD8G+hxboEPdkhe44Q2rY6RElR4YXaNeHSmWa6xZhDhq
QG37xMjem3bj1ZyCfnNlSpuA3LwtNJJAnLEM/DJNv8pUaQyybXu+akRFSaQPnSu2cpxbwooUWBoC
s27MQrvRhmHDyLrFNzgqLGAcDf7KNs0sK9pGRV9xVhRWdVtWSTwEldabn+y2MNKgFFnzAJ0x1rZW
q5evaUdrttGVnTlBbXbe+0ZZQguz2JNLWGN60QScNbq51TS7+WiVjv8ZyqDSg9pSIDxtPhpvA2h1
E8YS9Gyj1tZmkHxfDriSjAwgqxSWMmLUrg+y2q69wCVD6l60CPyBgrCAPHipnbZB7KI12GljYR6G
qRzNjdDHDGWpsXjPRDYkOVh46sahb6sUZV1nEH5UuEWi7fvJx6YQb3S3vqrbamYhR1fYAhRlnYfI
zts+hAhSmYeuzurdZOPnHtAaecOWuMJOsVEaD7V42pgfvLFzH4upk8eChQG7J+kFiUkWZCgs9hiE
xbkN8bEcnifVLEPouunMM/f7XFwtskh70qNc+y2LZ9jWEYXCde315EjMwisJZfeiNgvA4vGiQqJu
JSGAl3frLqVQoT26HhlfVQT4H2Wa8ALltstySOs5igM7aRznUHqrSAcSeeHBeFIy2c62MX0qusn/
o9JMrQ7tzsPIzmtt8sUifx7472ycd8SW+zi4dvyluu+JZZyr5hY3UprkxEh1XNCHTG3HtOS1tcS0
jlCEdOWWFm3+riYj+QNLsjoJ3KHrgP7SxpmPUviJE/o6J0Sw6HXz3QAUtcKUSbbaGI4yVlCbriTI
SAJYnZ4i56Obl4UKLXtC29LhkMPNtO3mpS2S7HsGREnUU1dbwdhU0Te8tIgD4Q0c7xy8LtNNVq0i
y74tcyNkcFHngcKYqQ/wk5Ifsfsyx3C0amGE7iT1OGTkjvGXSgwMAfwszcjrW3AkDTO8BnVasqJc
ArVunpAsr9a9KuyuNgObLCsZWmqY8Cezgar3jq8t9/TLY0JAg8yJ6/a6XA94R/smcD2NfhKivKsf
ReuN6b4juCMKq4zia1cupTnuZi3maBLAxNZh9hU2kKDYHIdWbDfZtqEzsum4K8j5SzVqzU4uqTvs
onrK/J0+KPu1dBAshqTzYSjclf5X7JP7VzQZtrYZ9aQd9kTvkV2F7qF78qeZMLY0G5Q49FVnouid
+9bYRVrqjrtiJjOBk0e30i/8nKk/JoKo8J0uWvvT5Nv9GHDh/SNS7lhu80obxkNT4lu7j7PF6B7t
RrJDNG12xD2IuB1tnW5JyISDIqB249iOFd1bm33VUtGGqYudOZ5/+Qb7jAc/tTDNc+sev3iJHZsK
BkV+K0OhwIl0J2yWhOdKocfzc3AVilfdunDyfTKV9s1SFrfpaCIMyqOjw7P3kuLaK+d7gK+tH6Pc
TAySXfL+TsXWRvAe59Xw3q71L22VPOB/MgQY1V+ppt9bvUw2UTQGUuTdYVDjxvKKawFYDTU6pb1c
3rdV7SE1qq7bxnm1dfvr3BYfJmXxlla7wTDfjPh+6OrbnAA3bHgOViuPbZceq9jfzqQ6LXoRGnH2
fkrmbV7L12bwtE3n1PXBbcannhyCJEiT6YAzUB8WxeOQa5xttRNkkXdbSIvU29rZ6shS3f4L4qgi
HAYIHj6rZXq8T5sRtXbkXflW+tGZLbnrMh0+TQrKgDeYtogA0w17Q7b4prXmK3xO1ZXdWtoVtN+n
WNl54GBfXpVjeRjVwSxzXtW5OeKTDNe78A5NnKNkGx5b+ttB+Fe+UXH4pHFoT5+XQSceb3TnI//+
Y9TEH9vUBtko7A+ZSq4GV16TdnejhnkIdI8cP12f90M9MdDQ+bNVbD9gGPXF0dJimw+y9cPRMdCh
OozJCj0OCuy/2qbbara5g7XNO7pcp5V+lRXG9WhoRpgXRlA59vtejuwajhxSrI5x1DJe8bz6tSGo
Lk/Vt1L421rPDn1qHvTZe0HTChlokU045556WXQ71EX1vjWTrZEw0Fi8/JbDyApw/Um2ckrLrVwY
E8rCeHGRQGMyv1YyWfclKc3Hps6ZXvE2hv2ib1wt29Vl/TSY6SvnaQikLo84uTwMa8PXdSWHQOLw
oa6hLu2ofT7UbnlNgsebmcmPxHN5CL0M42kq5K538ixA6ujTxhh9oHnTbctcbJP6MuydcnoYJH+z
4gXaln09JryOpn0NC/eLZ2tpWLqDcTsaxhx006tdZQW7WnxjObK31J1MmsLddIODZR3gNk4pxm1q
wDOTUb33qDc2ZqV9XcjPKqpxu2RLdGVWTfWhtRFHC3MJiae50tS9nY4yKKzHVK+CNvP7JChNMZPe
NNh/9M2w3Cwq3qgaulJWo9Up5gfTHnd5KjdGYTZB4fEMwVHu86LaN81dEw/xEQTprlhUSIDhsckK
nzuffF4SebvkxFDCa7Sm+E4TzrGbxb3bEUrI6UfupE4Qi/XBdIo5lOO4MUW8lbbbb2W1VDAIcSWb
lScDve7MDQmxpAWo/ND1emBq6nZuYnTL4t408scCklXrqi3O+/tY9+9R+YUO4drKMNBcRerg49iN
4ThSq430FGLWT1KZO61pn6kyXpOCMkJ+KSrvxs4ekvlO6xu2c/mBaMUrEfH4neGNKlDD/qDlHycH
K17G+z5+ARkJXaPZRU23I4hVK7ubWaTbvouiW6bz13qX7rQMFr03R2DB30bDCrPCNra1VHXQyqkK
+MhU+3YxF9rA/mAQDpYWg74Z1qXapPgU+eW9DZvS2EfoZAMYL5tYCX83jOq9M/CR9sUuayNOZnP5
ouo5wX/MWTYYRRN221CN6Ev3FYfBXYlyYpMuPTVyYR98kd+NTntdTE2xURnHSZu8YiSBXeBCYVuO
qz2hU79RWw8Hv3ybTK2qQ6HPkHIFTfsnt+MBHeNFd79aWUc6YlRL+oKu87aSZIeWSaanF7tS9c18
aOBCffJ15XthKjIv3TUlfslJ2+lyI0sxgqJEvQa5kIS7oK365M4e8IrCfDexC+Qluf2lcdL8zbDz
edgywcAVAidS0QQR+b5TGDlORq1VFEmzGfrMODhi0DEBmASfxA6lWMBwCQdGUqLKAGdn64oOpv/G
vVXD0RSRm2wEEt2UTemJhzTO8++ZY6CZi/SmekRTs1B6ejUS+gkV64ueuXK40Sbqq/ciSrp7F345
MWTZYH+ozNggPL7yCbuU2JCZQTpP1VdeLX0JpiZD/JUP7oKwouhnFUy4rqebyu2YkRl8Gh7G0Wzb
0Oi6+X2mVUO3hVbmO5upy6fxwKdH9zbzFDNtH+2UH5gXVEhXeiVsPoueuVaWfmaKq1Il2sdxKbU7
KpO5vlazUNu8nd2vBqNrwZC37/KAyOfl84/u+r846P8gRvkd0PDYt+0pzvDjH/wL/BTeOxzqACv/
M5P9a1rrv+OjwKwNntfK53Vo8v9CGjzjHSgcEXsgS0QPgMv/jDTAYV3l+aAMOL7Dzf0HSMMPz6v/
4Fek9mDRqEPfYTaMuQb8jlOgIbJKqc/sJ45d3Y53PeEKIoz7tOlfJ7urMoCEtFIErNawgO91KAfi
MfK8ND3Qf/nzfWMQ2gGfltmylzMLUPlwYDzSlUE2d9D1q6jRH1Tply9Q9DyCnfFdnWkkVeJsSyki
8WBLJ4p2KCU0WQVGgXzcpr7HwrTdtQp3g5zYWdQx27o2+0cQCp1WB1vQe69o2i++jr3rPbk7KV+9
yeBrR5dMr1Amwt7DbxjJ5bN759XorZWsl8Id2ugjpkIUKVV264zEGQQqSeCDjHZHKVH0RaoHInFl
u0sTRz3iH222/IShyna6ORjiqMMfyeydaGduFT6RNV9GhO4xjexP2+j+z6fw8zz4FJr+89mAKa5k
Qx70L673tVYMJvfMTdGRxGkDj6VpIKcslX+dK6O5ZLJ/xrJc11uZegzsf/wPavvZXkjg5NlGZ6dB
yvGAKnmIEWGhO7THz7qZUwUsXVLL67Io5+zL4rfG01CN7es8tmyBOWmn8cIdOIXB+EWctSvdlZkU
/4E13ekvamNtSeO4oPZuUx3lkK2V5qYvFw3FbmqNy57EZdluvcxvqYPwPSi3Re7Gl36Guc5Wf35L
cCT2Vy9TtM2w/3g1T3+HEAX+3lkEciBJAhebMoEv/l4VivQRJTtSn+1IiwhCxodCXU+xsL7pRlZv
jEkzRaBUZS5vVjxAjGbLM6jaA8rIuiDFsq8WDmaLzGq7s0b5YYyWOfriDJihk7cMeuQU4e931SnI
T7QVF2KAVDKIAWNEvHB6LXrqSeKynUoGSeKVnxaYZ4SqSItU6N8vdDq4WBdCFsI9Q6SEpAWZxOlC
JFVH7I4IiE2Sui3CWhmze5eW+epZnNNo0UbkdFO/X/X8pWHV1ZUIIRiiToh8zJp+Jrrn3lhXhZDg
Juiu6Y0U+TeWKKNNk/rN4fdr/XKFOB8xpeJ1Ia9hnZierhXDPs9MlTEQikQ2VRsDp/zo0M3F4F3N
deeY110PMfpSxvLpzIEbC3uHqTV29gQIrK5Sp8tCqCXFEOtRCp8YP5rJaNV9HqWU7VhntS/G3OCx
kYsKbPzf8Pn/x3G0LisEHGwwadQa52P5xczHucSvlGX1ZalDwxmn297zKvJT0Dl++f1q6yt18sqB
ycIBAKRnWb53ZxcJ/9nEb8lN42DRVH9omsrdR71l7bUo8+9bFKTbHDOvK8kNvrCFzB909tPFsYUA
6Ddc2O7MAs4WjyJVm0ltsX/aaKqKOFQ+eOxj29DtkMPj2a2PgInfvfecxe3YZTHzqcAYtKzoAlUh
AIsCu+2EATtOwZDABiIditt5sFoR6kWPV0M9aYKCm8DjLp1wFl/K5YHs2qncRzzg/KFcCpoLMRoz
QH4fjfX8WHW6WAIzEpp4WKIhWb5bSV0540FvhZoNeIu4Gz4TI6cN3+DGL/HziIaavjSdvVTd2mNi
2ncJ0E/9ADVTTGFsxqVIwzGzYvda6e48m+FojF5Ep5aV810bl3a+nbypbki6XhJz6cPeKBLzY0rL
I4ajb8e5XQV96vrZs1wyoG1CSxZjorKVNpNTa5mW194z8R6LB6fApVdVsaCRd3uJp3uVESZ83cW6
Je+AXIp0T0+a2wf+RuwvOyJHymgIFSunnzNir6Mbc8XgNopZM0dHqwvNK++km3ppfmTnutO4qSai
wDfdMhBFHoxS01QZ9K4ZOdusNvPJus+NCR7o98ISxdgc6irPNDKNrIIYYfTfNkaoYW9FMxV8PA8z
SEWSa943X8v9/tnEHBWAVTg41QcTwQ/VZ82pcJBIZFHXMD7hcXZb3xi19huVjdtt3HmR6Tffz7Li
SrMiahIAk7Q2aSOKStRBQpJ5uXENfUL+ZHepUoE9tuQtmalXZB9tc6E1agSE1yuzF7lPhOiYA1jE
qDCOshg07Y7uLObrg8+RbD/Qg8/FPbVL9R2Spuc/xo02ShH2FSKgV2CBWPJNB30Cs1DTrN9SFSbm
41xgnHo9THNb7qzenIHylUicK69zKI82CQzR6RkQejrEvks+SIWymd9lqMwNkypPR+dKukXzlOi5
4W9LSLG0zZkW92L57BUa8pWg4pGVaMi80lb70Witortpa1MaYl8VTFyqjT8quaCQih1ju2hdS/Pe
Fsv1KLzB2k/YYmXHseK7MoWZ2yW9F195JIe79dZNfTt9wt4271+A9ZeZCOEm1eVxslpNsnU9I592
yrSyyg5aHVN9N+gcwGeGQ72tX5GfOgiy3THsXgDHp8wpx6DHWcG1gn7sBL032R7jprFmOz3CUqy0
cIW7AfcnTenmvSdm7iztH/7bn8msM5IjD1dWWzuCXbzJY/wNr0zlUJDq4zilnyYiEb2dAwbV31Um
s7CbZfaM+VbkPbg1+JY21LggjjWM/kgfppu5dA25x9TIiG9xyYuTFzdLYtXfDmleee0WCQfBOSGb
w56OhDJ1kfc5a0DZnmlUVWIGC06x08zHeOyQZXlT5MvndrCT5CDsthr7K3IamX8NysX+d+dNuAZh
Uj9nxGoHet655UMJoo1bU9ZanBQAPIad/THTt3Yfey0n1ipZNEN/yd1e768xvyqno9aQU3CrRRIk
ehpt+8vcwbO+9EFcj+P/HNd0UPBEOGzpX2CdUieelWdR4UileZG7q2cmKgws2mObl/VmcmHDV5N7
KT3z1/VWKR3aHL4O1N/nVLx0lYb3w+zvVDTKQ4H33KF09RKBLYf0sliXiIyn38L1+sy1JNdR1bHh
ELaefvC1SAxDN3r+rlKlF7Ibp90kh4XZUdTeeL1nBGUeeRtNWJdkg2c9wY+l0TzAozQ5PBlLn30J
+5K6IjMXGrRetvJKcVRM4Txl0bWuy/qjLob5mME4xv2+aZwwTvMx36V12qqNKAvjAnXkl9qVopIs
CIgwxJytfoinN8KILS1hZBN9lwxzr9LeMI/OKkf/felx+nipr1z+NvEwCN9x4mCsf7qKi9+x5SxR
/b0p88wgDquV86bMqCv3tZX1zGqjNLoUdnHe6vxwdiSQhuwxTG3hN50uKiLAohI06HvNWzaEGZiW
2jemnk47evRxOKpEdVGIL99CfxrN3dGL0FK//tNLx8/cwg8Lfg7l5bn7zOSIOvIsuRY+kmmota8m
YkiYeGTQbG5r+sM4D6zasuoLNdf5FsfvEFsv3109YFfW1/rkf2IemlY8myYS24M1JLjiRRLBxd4z
e+Ox4HSU+7IlxA6wdBBhBy5vHX5/3addw7rNdVvQp+CtC8cbL4DT5TUzFj3KRnc346l3yCyzvorN
Ud5FBYXShe31N2sB7JDgtOI4MEXOnnRmdouV0qbuqLH9m5hKK5gcR91XIp22//SyYAuv24m9THir
fnZXs14f0L6snlsyduXGm2CAxKXGXFi3uuqCovC0LflxVPCBhboKaLX6K511XrOZwGgp4njfpo13
TBvFPMDGpxRT6yhkYIf5IoRb68KR8DerQlKmLXFhepv0J6dPDj9Bil/L1naZk3UPpWmORyEQ35mT
bn7INE+FhjYg4/r9jT3jm3KxMBlJNYaAaCHMxeHldFkPKoOFmW+yL3FY1XHyGkYKe3MmqoHBhGBi
hOtpHBoLs9htllV5Gbaz7o6Brzdp3F34Ob9sKaARuHT8JkabfJXOtlTcD1EMEqz2jGq1MaxIyc5e
hr4eAmeuk0v+pL/ccvhSfAxgoUPO5kmv7/JP72raIJgy+5bxk9cMzS6Bicis2xhDe1b5xmOc/LUX
iXcpa+H0WOaWw+Bf3bdwzQDr4et7uqw91OUk66jdj2rSP6SWOT7qRTtCVOx7LQC7EZdWPD2Tf6y4
uk8BlNBscxie7WhdGZrVU/7t49HYmk0eEyeduvvC7KqPbOpX006Lx7yLp5uYcu7h91vs/ETkMQJ6
8ToByXE4nVvMTJWtZ7WIuv1c0nSqDCGbSsr2KbPNgUkODIFRq9zNlKrpwit15kG2XrcJ95e+e41m
oAFft9tPDziKCy2WwzTshz5e9onXwceYcv9Lsww4jSV2Hi5jp0JmzMk2G/rVFl2IvYIht3ETD8JZ
D92pj0x4kL+/J7/sc7YRJlU8Sox3OGrO9nlZCT4OXTPvtXrCOsXpq73WLm+kB146OX+5+6wEqxOx
LeA9couz99tJ6hxl9zLvs6Qxw6kwdehCbXdUqaP9QcxOe0Mulgg0N+7af3poszS2hSs0v4ZVnCMf
pR0Xjb3g0QyqRo3nDFCerCx+87m3X39/P3+8MyeVM8EUq0kCVEg4uYQHnT5pW8MrgdGbsecOtFsG
aIy7uqbcI61UxzqDElKaDKhMr47vJn829l2bitDTG/1Dtcxit2T1Rzs3qzCmUYPzZuQwLJT8VmgE
2v/+t54+EaptlM+cOig+Qb/4bp7BiV2e1yzkpRsnQcF7lWmTvXzCmR/6YR9H6r1bue1jzvSPIBaf
QfOFp3K+PEcr3gaIpNbPKd5ZZ3dKjd40ZK6z4OzpDkdC3ooHpx7elCGHPQhCFrZy9K8KLel2v7/u
09OWb8y6sEuxi00RivJfnDsg9SkBP2pHWlrxNdPUmG+k2+iYklpuBbPPFsNLwrjo+ffrnh6367pr
Q7VqzdHGsDXWw/GnQ8AwVUlA2YxlZeKZe0B3c1OUk7nPZMmTbsfs+L9Yj2fMi01zBep3ul41k+pW
RkDpTuS21y6C71s4Sfa+WdLP0pj0C8fr312euaLgPhlzfDvPjhLNqmCiebUOfZbIqsJp6NrgnzlM
68sK2A3N34WP9N+uCFxr2JzqPM11h/10Q8vO8hMUNvpuJBhmAyvBJDdcNVsrGtIgn+xL4b7rjvzP
u/3nA+S5GSuDmGP8HCbObG1op8rkhtow2GI5D4/omqfNIGbvgj3I3y0FvwXFAN+qNR7r9NJWz53e
NqNlt+CkuCVPljiuEkXhVkVTpP2jj8Cf18XpiNZntdxE7Xq6WGeM8Wx7ibFLx8m5aR3p3Yi6qYIC
tO7x93vy1+viA7i+etS1fAjdsz2Zj0IsY+qsQdO+u/WlrwIdbfazamv3H1XP61XBhVzNlhCz04Kd
1xqdD780JWhhp0RbbR27tzdNnOI9OdLt646E2zT66sLZ8nfXR0e9PjkeEZ6ep7eyFxJLea/Td1gO
uf7/5ew8d+NG1nV9RQSYw/7ZUS3JtiwnyX8IS5aYM1kMV7+fkhfOUbN7N6E1mBkMMJiprmKFL7wB
bLJZfB9MbD4PxEXZ0sN2eoViSoeTCK+NlMqZv9661yUiFJG+ixylq77g8IqnCOrNLpT3oW6MapOG
OjLKwFwt/1vV120aLUz49DKlgiD73MxXCk3OJmwlujJOotN2+qQ0tOeAkOR4g+0qCgHrMga9bU5x
+vFPKzM9LhuDtwsaz/EqO1Oa6VbPoJXtRMBXNOcQ8NrdjJEDIMgYrU3WjfWHjyR1DA4+BSoZq0vC
+fvbhsXtsLUZjB1a6w9CTXEjHiUNLnObBefWc2sqAyW2L/0SVKaOR1KaaOgADBs71SAY1/O0O5A3
ESOmybQXikROKaW1+fDJhEWMvjgCsdJ+ZJbZRuAHYmtqDF6nMdy0NmDtrpqSq0bCMC8PdXpv88lU
GgqQP3gv5nsmMijkKvao7RAd0ddhpBifeyfqb32s2e9THVTf5fHOHEp2KHGfgysCNP/ZemZ2IZQ+
Zjy9ABirTe1wZ4bZ3wS/yavLI8lFOn4hiPUls4zJQc2bhxb0jvoEz9pph+Ji+6B2ObA9Nc3jhZf9
dBgqD1Tt6KRhIIyq//EG8aYmA2wWaLtGDU08agtKTGsMb41fl6dzer9QVwFRQ5BEEYm34XgcF+y7
ArJV26mpy57gItpNlIH/YrmFDaCPGiH1LbGLge0uPEmnW0RCdaAi4kMC1meuTzW5Soug3KTt0CxW
dnllvLr0Bm4VoT9SR7Q3l+d5bjQqkzQosY9HZWF2n+TkDZgD29puMPKKjMvpgi20lnptpKlzXUWj
03xwRFldN5GLpahDhY6A8HhlfaVCEjiYWimPHK6Fp710unM9YFW2og3dL6zm/AAwGs86hTFAL8Ci
5jJbuZYJr1A91GIVoR4qYsK9khXYj2cgCPMPRmVvgxHpIn+MYjwb9HhqFqlqEbYMVnZ6uNeh8cCs
7KrrSQTDWi0Le+HMHdcUZGWZyXEvS0AYVea5po8bqbR3hdluB621UB4oMXvwUt/ajF0W3zBeA325
9g96Y1sP/NOSOe+5xYXfhichhSs8Rmc1jSYhdEK6ot22QTqsqafGu5H+rrTaW3IQOxkKCAb6JBL7
AR4DWMbx0g6e8ME/GOW2b+zxUcRpGd6VVdfE1xAjk7vLh+LcYB7aqXTtEU8HGXE8mAFizdAikzCp
zOMb303yrVfQIW29plw4DWeGotwoSxEWmxPboeOhEDPpzMo2y+2k4fgJEDcQQOV9fB6Bz1b57w9P
jIeaw8fbw2i4Xhw95Eln+wDBOHsBLfUdWZL7M6m8eNOG4PcvDzV/ySmq8BoAnmFfkGzPwYCo7aLu
5DtAT/22vcaeBoisjrcdGl3ImxnxuiynJX+emUo2B4JqjqyGU0yUcjbzuyVw9dinRd8gBlmNd4rF
NoHnUbdXU09/Fyk37cbRO38HAk7115TqIGgoGqhf0Q75N0DVzQG2JOj5D68FSigUzqUeMfi72X4a
vKTNNYdevm7C5MUY10vXlVmM2wB8zpWNAsSuLk30kD84LP87lFcJj3Hf0ylkHH/tNjYDA6QIshfC
GsH6ASo0a0hUYLamg9rWFB20duF9PtnPckwJM+RLkAmo89s9GJQhTIp+a45p8hoZHQ4VxAuHolSb
j25mORRkf0QtZAN1HnEYMSJW1hj12960lFWaSfqZSKtDPjrJQlgqo4r3wQ2bibiN8i2Wl2jqzHuF
0TRVU2UjINKYivk5dupyrap+v3Bkzq0dWRshlEwRgfcdf6/QwBlK75x+6xiVuB70pNrBkFFSNAGr
pWzt5HjKGclOB0cTYJLEC78P6Q2r7YyqDIatXunGxrOmalUB1vkalpG/QhUGPkDX5R+97OT1LdF0
cnqkiTLoele1iNDc07S4G7YdIpsb/CjSa66fcavpWbX78N6nicNVwN6ntzuPa3S0jfLOpZTb66Px
Fw30IcNKEIneoYza74WpDnuftPTp8qhnvuAbDBK8mSyvnXQeQ9wsjFrrt5ElXo2u0BCozV2Ka+b4
9b8ZCVQkjFJKIm8o03dLaWY5ZW0LoyszUoOryVa4UbwGXg/984VrZB4Ks/klE/3/DTW7Rhw/VHwz
H/ut6yblbQxXt1wJmBBrOzFa4GB+eKeIIF4rddEvBDgz8BwXuhwbaDrISGr1bJvjHVPHbuSU3dRv
W7wkJL+oP3hIed2lzjAAKs4SUazyqEEn37YhMtju6N2pwh++qMj13fBQxIfR88tNguIlneCSDjip
rKosLNGZ+4FWO+8cDzga9/Pv7pM8eiZVxi2Ui1ctT0e4YI67cD3MQ3W5FjynQDcAbJKQz0KgyU5h
WHt88kY4yXXJ7btza9+4dUVobLVh1BZKDSfRpRwPIXYqDSQHxlzTCEhVyaUqGK+CjNe0dLSNzox2
FJ+0jet2DWy+IVg3PYD/tByW5DrP3FAMT/ZKJCZVEuSav9vhnTklnR8BZKvsIf2kVZpQ940NH84p
6slduUXafWmt1jI/XT5ZZ5eZxBLohGyXzREbuE32g1DZcmg6dhsyWvemgf2zsbMUXlDiLjUDzuxx
tNJQGpLPNOKkcwF40YBonGzcfksogT52CHb8QqXT+g4bYmhXIq3N3QgG96+Ie7EpcZWrNopqVi/F
qCEqpYZlC7UCaaetUIeoWIGPLjaBO7h/Li/M6eXGZiBJpPTE9zjR7mwKkVGLFlCnBElpOSWltrVq
nF7WyO8Y/kIMfvoZZBxB75BCEFLVcxcbDpthl8DbtkYCuRXYyvQIP4Nbxm9DZqtoCxfqufFMepSY
mXCEicePt5tWplMqJnQBRJAIqGQoQKc/CpwH8lXTxR6ALL5TsTDomSVFr4MknwI0ymhz9ZrWpKXe
qXG3haac7Cfaa7/UALC1rwdxvL78+U7vKMzWqSqQLTJN9trxBEHQje6opiNigF3zogvTAC/s9L8u
j6LJ/81xqHQ8zGwdG7Ovezuaxi0sU4xqnDZ80Go1rkhtdP21MhpH+aQZhQamWRHdL+ChxiYHgLst
ksbYs9A0xS//pJNFJtJBRVIuM+VwSqLHE4eDB5aNOGGn+U2IVg7pQBGijz+SaW4vD3WyiSjru6Dr
iPF5tAiujocK0MVHi762dkUkujswZeY2yCDJqmOVVxBRu2HhgTwzoKYitkQq52FFNm+WhH2C3SFi
8ju3sfJble/+03Dh9LheaH0KO0cZFl66k0eBCE56KxBu08pgZY9nSOaWtvkY6zu0oIsvehTY96qR
GK+BCQtllYELpSin0j65DjpPza6aSFnSlzyJR+ToUqWNRpRs4M52GMGeZ6SJ0HdBHlaPOU3Mz6gZ
dw9q0xbjOhliGOQdDNc61quF3X26lVhLmKFvTDvO0CxCd8K+M3171He0VCSnyfKaLRLB3SHIEB1f
2EwnDyDzxMELpXPqHrTDZvu2NBARNqdS38G6zjd4tCn3rOhrhlDNxoJWd5X22pIw+LkJ0jOQ8kM8
uoA1jz+vhWpvz1OEnEQ5KvA9labfVGnjWA9F4KvuwlN7ZjMBA8Va5q1zelJ4HwxPscy+NXZkr9HG
1MfhZqpctPY0o/xmlH29U4Mk/SQgrqF8oBcvl0/ryY3IRgGLCgWLngZRm1yMdxFGEE/+1JWptpvs
JMNzyfEPk4ex1OVRZvAulpEYgs3KZ6RPBKBtdimoum1mdS4QuBlU/1c15P2hiUz/ocnSwN60nU+G
l4RNGm7TyRrKdYE23G+qzo658EvOzBctSKlHxUVI1jD7IRaYhKakN7YbksD6WYE2O4gUs8/L8z29
kiTQiNsB6grBwvzhtuvBbXMys11aR6+mDrlopXp8WRDj2a3vgoy/PN6ZWfF8IrxFIZJwdX5MjMQO
BNmJuSNaeA5dQ99YirvUt5Fb4ehV48MRE3hUz3iE6d8eb5VG4cWY2sbcmaMV4N9SlCtSsObK09tk
4bk6WT8qDDBymQsQRwJCeS2825VtXpPawVPcRT1YbcSzgAbZSCbcaU3x1Y8Tsbm8fidTYzw2JW4r
Bs8ITaLZeI4etc7UamzP0P+hgovbAPtHr9Osa9S3Lg92cqcxGOZfiGvKsirw6+PBFCcziyaOtd2o
5+M3mP7NjyydgCUbU3hNdkYjvpimhcjnzKCydozuMgEefvKzizTrlBomAzME3FnelsJTb+zCsfZc
r/bW9poRcRYosR+aKYU3aJ5sSUpTfESKHsczbUpsuadBtR/LKHqNexAZqgn4bp1Bxts4g2h/ppS8
PxY0/xsUZTbppo2I1rzoKrQxNdWssx/F0KtXphrqyaqfpuGeqrq5cq0k+GA88G9EKnDsVM4Ffavj
aXpBEaQCyfdHGNRTvc3HerqhUOagruRo/meQL4D7jNgipC4dp1irsF4W3CNm8cDbT2Cq4HZpqFJJ
nz3K1LFaNW2YtJq36b5NRYNDEEMNTiXlzRIN+z4jR/DAyheir7ed8+5aeBuaXIFiD7sLcKM8y+/O
aoftsJv4gfsYDX7Sf0LTRDXuw9S0ppWbWHq3HXKkwj43GhZJo925xlaUY9iv414LscIc9PAA20m5
ErbfTa91kOtoqaitnUe7pnG04RkARYsHWN6G2v2EfJy7LnvVue0xLy0XXofZvcNciI5NgxY/zyH2
mXKZ382lQulJcYqUZSx1XKOtro3h35lps+q8JPmsdf4Se3j2/P8bkTNJ3CqZL/NmP1xw+EyKZT2i
/dWtJ1NpHwalHXctOlvXsGG1q8ZAPYg2Gme1rcOPoRrehofjQ9pFfsl5mcU6aqG0Zp/69iO6G91e
d4t2E4TesAvCYdpdvgxm1BdHjoXfLVAFlUq1DKyOFxebRajYQ2k/2n2douhtdQPdJA22b0H3p90I
t0vXrdppnxyvyL2rluO21Xuj91YYtRTB/vLvmd2I/34OTTspAk74M9+3kD9MkY6a/VgRa3yFR17R
6hrTnROW2mpyInXvpDAuLw86e2j+DcqCw7CS5Ih5S31wFcQRytZ+9Cly7+1C7Z9iJPS0deMX5sd6
A/8ZC6UMQmc41eZsM4++bTR1nNiPaLDHP/uRrCTXx/jQFMXHtM3/fVpZ1GZeKGgwueNPW3lWjgYT
a5naAj19FXlItA7QmUqKQ2QFyjqYumynW0G0sH9P7z25qUwqY/RfaUrM5hjiLqObwrIflZ7C7xCJ
/MrxMmcFzWRYlV2xFX39x7e0JVe0GaRbzpiAnUHhZtC/p9d2PGNLdJGFP1362xwsp/wustDTVoYb
aD8MtVPxibditPHHzCAoqzKzcjbsrUSDKVr22Y0J4p8N35datm+EEW8NpRVLTrFnDhz1YqS7gfbR
+yfvPf6NUdEW1HwH4zfVsd++nyY7C51PiWrQN0S/IxJpqKCbzVSuqmAAcTsE3j4ukX746KaniAqb
griDVr09r9O3kdp0YSjcR2rV4bXWiuGuqYTyZ+wtJftYnMN3AdQrAa/seAkMmF0ypOYlgJ/If0zy
tL3xNUyJ/dCK1/6oKj8R8EtWaHounerTZ4OgitoKaTfdMYKA44WOp8BJJ1tEv2vdUO6bOPEeO9+h
LumHZke1shv+Xl7RcwNSE5QtFpQNT0AWblZAQDLV+LdorPGX7uvN1oPbtleQhHjoWvXp8nAzaX+5
26VQNksKLE13qLIcT7BMYzoQjhP8riKAON+KLAGirgEFUG/QlEWArYytrZLqfxvi5xs0v8N2NTqt
ti9D198Ku0limLZRl+6svo3FQ5k308KSnF7nMpsjrbMlwYLI8/gnjsg+GpHfuI9+bZI9WwRe8dDC
ki+T/tnMOhcT8pgH5vLKnN7n5HfECxL2T94wN/ZUgMdNBtqmj2iKRYesSPTbCXOhB1WJ6bVcHuv0
rmNvEdsBiSJToQt7PEMlpZUfGlP8W3WieF1Ri95nNXKqeeUEN1h+dPej1sEcSJph4ek+naXs+aLG
TY3AoAsy//xt6Dd9F6a/p6mAwK3FSb7umzxUV0lmhgu3xZnNxmiU1oErUTGgJzCbZx47HRI4ye9C
cizWeVtRECjNPKvuYAvl7ZamqTVugtQPtG0KkcD5gyTv8KVEt9lfWbqvvqpd7To3YykqSr2p58bf
kxZLtYUPcrIstGYo2DoupVWwmvP0JqJDBcG0DZ9AiHnZuugQUiBKHv2tC97j+we/voxU6DtIPDP9
rzknGz/l2upRQHzKdD+5FXaS7t0ss/YKy7MShWL8wFPj1mhwrrw88MldAwIQtCbi2WDtDVoOx58j
zAd095AW+RPzPvzJ9XS6EaIcvpZpNfyJ7WSJuHt+PNCNxOFUpua0tDZ3qFQPif7Hb7L8Sk895ZcY
8nSbdx1Sf4GmpgtEmHMDYq8KEgC0DE/lbIKOn/ZR5A/mn1Et3T+TGOy7HNPjjYpq4MYQ5hICYN4e
gOuC0QJGJHQiwAFSuT5e0UmjQ95ZuoKuad0hftRXLRkPknOH2vcQdTXqMBVPKeo+loIiRdkW91Fj
t+03ZJirYAdvr+BqzROAPgu5M/E4Yx9lc5Kh9kZyRXv/NK5pVGBB7ZCJZ6SEQgURKJzxiKSatImc
dT/kruXfui0Fn0Bx0+mLiaQeMtjoJhprJbZC73MZ6BllEwidGxyIsv5zW3ZIGeSOqTZXSG/2+WGA
DQfMKx9y9ZoMWbOuJoqB0VU9alKVXUUL9gEZw8FYR11ppFuX+v6zQayAxFLZEp33Qovy+yTNGjtc
K1j1jPHWLo26qlYQq+MfLioW4wPa1s4jIA+VzqkZmY/kJzEyW6YIum2MLHq4brIxfQrb1olwbHPc
X7iehI2UOQsoGSDdEd5Vek2poi0N/tO1pZKMIHPeILJyKALbiu7x1unu/bb2hytkkLNvoI3CEZV0
24w2Y4wM80ZBGO1m1Fv9OwJfrfZ7zCYENYskyeIvQsTDje0EIy5xVEjTrQ3oJPvRmIOqHpCGKNx+
NdEs6jdUbeJbrxxQvDUD1+hWKJijEEs7NoEgiy0C9HUM66uXJvNVsolKq4cNMvXFfZz0SI/1WpSk
t65s9/D5PP+H5XRNvmu0YrTR407MX6OLtMsmKsqk2ftjoNz66EF666in1fzdrsZQ7bfA9EpwgCh5
Ok54VaCQ7O4GKLIPkxKr5nMS0p0F1Y3W3M6r8Hk3I38qkJXHN6YrNnY/RtYStvXkUaQ7DhBABntS
3f/tMXmXseO5p0ZZqY7PXBHYRKd9t4vMNtjJrBqVF8PZwM6uNmrUJx8tuaAyCC4Alj2wciTlZo9i
YWMngIim+dfu1aze6V2jBBs0ALSvrSeKH7WgqBesHIDM3r4NERZZQtqelA4IPCioA/6iG4W6wuwa
GZH8sjKsIl/bcbCDr4bbug9Kr00EYln9pUeMPaaVgPZ6HHbZD16nceGlPgm5kM+gdvCG0iYFm699
OlVaTuKSPBHea9BaMzPYlDni7CuhOJ+VfCrdtdV45ZJh+/zCluQeGedhWcMf5rzCl7pVO5S1aj+N
imLvqmmsDqXulns0HoZ7z6rQO7j8BJqzS5F+ATbf0tqXApc0WTu+sLsUvRvfGbynoIyc6cYZ0fpR
5Bu9gDaZBxQUgehy0caUXoR458zGURUFu8qGcagUIZU8NOK7VQTZi152lra+PKfTRYT4LeNJohfQ
kXO/WX00/THSe/9JLQo09pupvW4wO10TPo3rStTFwnjzFpAtJ0dihj8IbGgowLOMOXUjRH69wnvy
Uiv86uBZ98V3y3Ej1L494BbgBGCTqBlkwEAP4PL+wApXri5P+iQlfvsRDmkovDoK8HNWWC20Esxz
6j1lVafXG9SJpL2B4/4IWzFe96NrbrHFTp77IfBfdNSvv6RWriIWniEudPm3zG+ufz+FbgrCINSM
pbfk+1pjmnfqMLXCe8Jqq7MPnhBoO4huctFQ7oXOXaJV03WBpelXrRuDr5dHP93SUo3k/48u44B3
96aFojwWpJr/VPU5mr2NOwZrI3QXP/vZbQbugBtS1iDmXK3R0IeeDgcLjrLfN9OrtZ09tdaep7G/
sSOU5i/P69x4tkzDpegISKJZklQI1x49b3Sfht4yviNP5m68cezX8KbM321VRwvb+tyRBeRLZMyh
JU2W6/xuHQXALGCVAbYgQW3d6UMdPOYhrjEYLWBD8fG50Xun1ABPi87YbMckNRFhrUeMFQpn2Bed
nd4URuROK1jbXr7PU8v4cXnIM9tEV9GPgRMGaBIY2vH0YEjjFB8X/pPiax04N5sJ7tSEp3xhbmdO
AwPJjwbYDs7BLOkrMwoZZjn5T41aFkhO+d6fySiVrR11/pWOata6Kvz6O8YbS/bwZ76gzDIsoLK0
qKjeHE8RSdApMivcQTT0Qr096tL4q6AfNW3VQWTTQtQwfzM59WBxpc8yNVkyjlnUYEd6q6RaoDxB
J8YzgIIsjgaNbofPfomEvi7FpAPD8x8uf8czx4JLHvoPlTF26UndOTRtKswWy4tdwXPSFuKKVBE9
McyetxixVguf89x40MABdpHCMeasV0wzsE41dVSeFLtGLn8QmrRCGdOt4kbxrckqLNlqn/uMaEzS
VyBPpcM9+4y0nWLP9zXlKagmgNWunfhrxGLjfJ2H2GhcXs5zxwKyCigYciWSuNlXxLIobMpQ+E+5
Cc1piwBf9aBpA64ql8c5t1uIO8j3IROwXWYn3hM1PkOT4z85WdAdJr0ft4m0mAAw59861ZQe6nH6
j0308/A/wUtx9y/Zey+TfG5QII4y+QPKdUJihk5YeEnTBc8KmcLaTGtgoH5uX4WhVuGo0pmfSj2K
9x+dKZxJ2ZmmgYqc7hwF2PtCjXzVDp67KESmMLPQ2ulA+LQI5wXVLZYJHjQW3Tc3l8c9/ZKSq0kE
RF0Lqs4cy0XFuh6C0OFMJK1Rryo+BCEJJaPXy+Ocbk8uUNr9LKfHzpnXpe0utjO8z8LnoXe8W2PM
xlXcO/a9qStLmKlzQyEoC14dEiW9Jv34QsuCKIlVHF4Yqs9uR0WPv4eZqIgni/TD14rNKediAXRC
CDMPjAOU3BoADszKM/JPmdIoBzDYHAUR3uIGVuwuL+LpzmQ40MHyDuUumxM2TB/Pjy7qomc0qqxN
hAryg6dArs+8OLrpFUPHkKtYEiecp1ksIh0UqDy0Lijzzedo4X+Rm3kRPasgcfcGRZeNYWYGpjeJ
8ZkKc7stML39GVIo23oJolyX53zuaxJayFIY24Yi3PHX9KNqdCpk+p6pzokDz2S8Np08vXcm8R9n
w//z4J9e2gTpVLLBvXEW2K3HQ1mFK6zJrrLnZkiNaqtmUZHcAWRS9B9UqNqvQanb2Ihcnt+5QamF
cdBIJgltZi9FViYJNh1F8axhj7lXg8L7Sl3IuB1xgrmCKfdBtCgzBHLDn+whoih4BMeTzD17qk3S
m2ejdqyVpepRvyr7pt3gxWa+xpSJF1780w8oX0EaUhT6pFKDjHzeRYiA0eI86Ib0WR31CWGIwPkh
IsRRGk1M+sJinhmLnA4dDxAF8rWfjUUYgbRhXybPKIQa0/cxqUn/fc/PlAPmAMX3y5/uZDSZx0m3
2bfi98lSurUelL0Rtc8Dap3YGsKt0whQeXwVQ/wXY5GZgZCQpQ6KYceriGVBaatT1D0bKnpErWqn
/pY30dj0jRIttSBO7hmScGqzMjOjtkKeeDwYGq5jXfn68OwNTXNr+PgSQO23vgwiPggv3mKIlxwu
r6X8/e/rrsg80L4CTkwBQKXXNptfUbp+ngax/qwmKuFL60hLdZ1a4ULed/rNKOfTROKyhlMCueR4
al4iYM6gXfDc0qPoVwNeQdfh4It2naKgs7Ad5TodT0qm2IiTQO3gNZrD7bXGUkINNvbf1OpA2oe5
9QPmQbxGDxhlSAVTL2P0vW2Q6Pnfy8t5Um1AQ9BGoZHjjlEGZCH5id+dOmOwkS5GTe+Vkqn9J6qz
8obMaryvYtO/Rsa3/1uqnfIddYPhGoaU+1PPxn5hredUXCpUlpSXBQYP1hOkgHH8I6JcGfxistoX
KMI1Csx2LA2noi6oqIthSnedRqr2oHjGZP5QzCwEFDca2lXWW3VCzTjT/6Da7seHVNUKdeEtPUEw
EG2R1wFR5c7lWZn/OCMC7Nmmlv5SYVZ2j5Od8UcBafVAxbvO8AhE/W+gegT1SLduKryUHATiFO1u
0oJCBhOm+FlPyfBLtVXYjAufT5/tHPnjOBIwM2VYAcLjeOW02k1boU36i1q33iecMIIHzVJSHCEa
1/jSx5OC8mNbec6qp1yfYfDkhOFG1GV/1ZphjxkSsuPWwvecP1XyR5EIEwmQ1UjVvOMf5QjiRIFS
+ss0psOLVWnFq5VSVTX5avc6HlpLqyD3x/vzQ32TcPgNlo1hBmyD4wEH14pwQBucl7ioVfwA+7xF
EthBVaQKm+BL0ZS5euuEo7oy07hzNwVP9T02dGJVGFr2Nx+JZ3ah3mYfs6KQWAdKvzJZJwGyAFnM
VsJNC4n41/y/SWf9URJUFVeYNCDh4uTlVRbXL5e3w/w+Zjh66xgfstVISOa1St/rmqor9OAl4BHA
WhDDQujAyk1doiDYG7m4Nns3XFj9+eX1NijkfSr8Doz6ebDpjW1YCoRsXwDjJpiTh+aelpe3DqxC
u+u8UtsPVqMdGhxRF7K+030GjAFuh4TNApWa42X6Kawsq1OCl1GL+8dS2v6EcWTcmN2QbAY3vPrg
6gKzNg0JEuO1g5s/i8CIlNQoiuMYfX2swlaGKPLnwejwefVE1q+oaxnDCtLbUp5pzXe3hKoT/vBl
DWDJ84Kwpk24CLlR8lKnHJ0ql4w9r/axabF59zaXJ3mypgxGa1MFvcLnJIQ4Pkpl7ejYIXTJC9CK
CK/MtC0U2I1UP/KoVba9PaJ4dnnIM/Ojji/Fx8AFEUvM7jBsYGIa5SJ7sbDcuap9173Jphx+RQSE
9b8ZCgCuVLSQF8bx7Cb8uMtELbOXMMXMMfM0BUFzXcdsNKFAsDCvM0uJiBJRHxkm+oJzL22qkIji
KnX+AnoxXGMnbVx1NKP24yiUu6yYlootZ8eDmwbyhRrIiaYmjMdEi7WoeIliK2hWTllU7UHVB+sm
qPNCWZWlaSxAJ0/OPlgXeRrkdQM+dP7pkpCevJI42YsdxwOEg6rc1kVsr+ouAXCjNnp7W5lWspOK
T0tB05ltw/NiQBqRYQsaWcffcoSdGcMzyl/CbijyFRiW4qqp+jii053ZCw3/M2vLYKQl3OPE8nMp
qRzvbDQjmuJlyhNjW5h2twVSOOyFbwTrfsR95/JGPTseL6ckq1D8nC9sputdWGZD8dLVsX1FQSLZ
TFOd3fFw5VcNz/xCO+B0MTF8w8WAP0nltLnKaDVI96pMS14mp1fvq6CrNhSYxzsK+UvY8dOQkyAK
vy8SZ4illLJm9yjs2UQjWEpfArcq3VU+6ekOj0b7l9cgZuyOU7GpYrUCOSWML3aPjUYjpmqhhXi6
wPwIqUKGLKbKh52FnFQlRzUeCw6nM8V7KynwQzVz468zlIi5ecVH0TqMhJAVAEFJlkM7a3av+kYn
ylaZ8pdmNP80XdVeBQYPVzk5m4hUaXd5+5x+TqBhdGIpS2KAp86VrDpddInhK92LkZj+50idlF0S
e9HBNMTLx0cCSUjYQXMfYPEswonQ5h1bpRYvfq+Xt5PuhdteBNEuQ6Fof3kouS/eRXnAupBLAB0L
hEGDgeTJy+hdqjJOTerESqa/Bnlh7kut0beN5va4WCo+fsqoBmWuFWzCPop/qC6ov8vDz+FI/8aX
4DJuPEOCqY/H74Fs9m3Yaq9QH0xz27qV/rM1226fBz3s5bFUb9XAf1R93b0CwQ0Ix56mnYk3+xe1
zZauv9nVK38N1RJ6QGT7xAfzBJXWLZBp9NBfdUU4mybwoWDYuW/cJ77h7hvflMbvjY95blIv0cDk
izz7EqhTc4TpjHNdzCun9mA4uR7kxituCSmujcX0U48dZaEgNE8L/01RTpB4BBWBOZQvayli5rlm
vLZgfg5aqmCT2HgZfop1He7U0dJXeYyZ0zgO06e4UT4bQ4JPudMeUrxnv4GfroOF8GjeGOc3vZX6
ee/IVwneZ6+OO3QDhkym8WrrxR8M5v2rEIT7jjfyscMNqkYPxw6njYdL1j3euNBEog4g1kRQc3k7
zo74vx/CCwE/gkok+fPxbiyrHDiynpqvwByjbYN18yEKO7FThKlsLw81v7HlWIC+mC0FClgS89Ju
13sRlHIzDFaK4aKd6rk4NvVt8HtIg+YwNRMk4warO/TzML9RfAraoH6eLv8KeUMebzpHqouovIdA
RvjreMJa4Ba9BWIHG7i48a471/ta1r0r0CLqqm9xjbgxQLUuWfriciHn47IF6UeARDzVFhn9uFAS
U0BNHYzoc+ngA/epgwqz1itlfG1S1IYtJQr+IIqYw2dIUZWyBswQOvwIMOYSanndNzTbFqLLM9eR
NIAAWESGjVDBHObsJVZoe/gtBCswqeqnYOjCgzUq7qpLnAFHbH+4HoaqWTvIqe+EPjiw7BrzZpxy
fWvQrv55+fOc7kcXICrxGHsRCsU8tG51T9itWuCbl8BEv8IXy//CR8G93iyW2Cwn98+bni8kGsah
RGfMDmGZF72iNI4I6A2N2Rp0OcZrosyCJcW9kz3HQBCC2HNQvjju8t+/e3KcvhrGGqUUaMl+NiVb
bA5NfZO20VTiZMdzvwL91wbXnd6XxcL19wYYPtp4DE7MKauc9FS4aI8HR78z7MvJYOP5UK3GHX4f
oX4TpmVwF2WGNaxS12lVcOwAIzcYUKneteb70QOMqalYV3Fg42SNZWq70tFuJ2MdNOIqTF1hIph3
+N5GxRrHpNZcgeq1i23de370x0IqTflq12WYX1sxQpirootARuLPOBLDa0NeV+XKh8caDWvTCNwn
EfX5Q5iFJtZLk1Mb3Rb5SBdLKApWE9ymGgPzh8ub7cx3QQuAph2sHdjc88uP6jeGSIOhBSub9+CQ
4/b5yTCrbB2iwvibpHV4aDAJWWIxnLy5RDowSSQIglIAKc/xFxFWkfpmk+nYe0J3ag59VYz1uheN
od2kpXDSa3hd/Q1mVGW2rWjYLD36s6gV8VXUyWg6yS4iPNo5SsiGkgYVqTfCVQs6Dis0U0iDU3gH
6rrw8u7JNoMlOvvJpBkTKSmE94jyZIn6eNKg2getEQpjmlbxtxA1biTS2zHU8R3QkdbaWzARdvYw
2Qsn4MxsyRBQVuLpl9QReQ28O32kconlJTqttLGOrpw2qJKrQNen4L5F4cK8LYjYs4W84GRn0c+n
cEYhnmXmIpsFeVpgdnFHUTMGLWyaq9ZJ7Hat1ZaWrbI+KNcKns+fasA2/sI781YLPDruZF/gNSUL
EdQL9OTj2Y6OKLzMMKDDtKpo8+uB1Lep1yXyoumvtkrpuhdmp7VX7pCYUbt2XKBGt4Md5d0nJ+8J
BXZk/5O+qxM3+dJhHByutFoHMp8pWVduXK819yGBNZzDspkktjvKgngF7Thw/oZJancbk1BePTgG
iXW4tugv+jdey2nW8Xh0cENOWmxPtmaWqdFnO6EgtEmtpi43GMeD4b18xucPCtAtWqvsOv4GYHmO
G06I9VVyNP1X73UbS//hpWjGjN8uDzIPbehcQWuFCAfPgBadM8+UWqDszpQjMqAldXCn6Uq9NiOj
3pAi83SFirotsgniiGYWu46W2nWdgyO7/CNmM337DYhREMMDkZEUzeMvr+Z9AEC3RFUhC61tpQqB
u8CU0gjylzS+Zy/n21D/y9l5LMmNK2v4iRhBb7Zkua5q362R2TBkZmhBT4Lg09+PfTaqakVX6J7N
nBjFCAUQSCQyf7O+F9YCJinspWFTM2pm3OESuTPjoLiTs0pOS4556scTujhE/xuFrH2VWIWxfcnz
0+ag8t0esZS2Tu1dmsV5VODetNO4eE6JK+wT1onXJPb/tIpvOtHYcoFavQQ2udx6mefzJWe+dDSW
VXnEGSLDiQr/zI/ndxGY3ubHHcBtAADHB6B2/sH8WOhBz7lEJSrXNyD4tcjw8n6TNW12qyXmNdH5
P60nOizrawsQP9HnfDwrxttxNafZdRDnHsyhXlkhRryVBcwDK67ncHSLv6wh/G+SnD4e3JwLZFPO
BxWmcvMWW7qd9Eka2qHoCPmAcHR8Y3d/vZ72itCnZkH/Bl7N+VBYhc3m1KXmzik1VYcUiBRmToAD
v2JybG8Sx+uu1Lv+sKKMyHCYtyHEeKkVKdx8kS0w6p1MknmTdPmCqZjp7bHu7W5NlX5TBOrDx7P8
wwZlWzIWYX7tdl4c8xQcmjvylRFPKZPInex8Jz0uNzcX17CaF3f2+u2YF/2mlau1MpvPF7TRZ9ss
gljfWTgo7wqrqTdE+XpjNWW3uuYuu95fmm0cy2sZ858mSRxdC/ngRujMnI8MoUlV2SiwE8liscHG
Zwh7u0baLPCvCSX84RSupPJVNGllmFzW14PRH1yrwCQlbxKcRNp5ifJxEg9m2tP/1IZrAqN/mhqo
/DU7wPuBMc+ntnbvkpGa/i5ZN46raC/GdiwOeAv8+vudsqLs6OZxMYG5Ox8pR8LX04uKSaWqMn/x
xhndJ4O83QiVmSxfPh7t/ToiQsf1wwVEZQ3l4vPRqCubVhEQqBtgjjvNDgqAGxl2iiorj3qJAvjH
471fR95UxDIudWILkM3z8Qbk+xfK2PZuTHXnYJcYCqTm0n5z/Th9/nioy3INB2EdC5wPexF8xSXv
GB4XPs3ZaGPuBBrsvrHjtPvpSq9EqiTJvK7dT3OfJztnwDj63u3oTotoHk0xvTY+TuUHU3rOX6uV
stRvmFgqNMhfX0K5GkTVW2oKSLImcey0IbdikfyYXXsRG0dNidiiZIt1kjdlhXEFP/OHj01rCNgO
Kjirndj657/l1PRSGwMYi7NLCh6uXCO+eaxS09/hv91GHoZf0cef4H0oeouyYChonEDXufjaZbZI
0pAq2I19XexGNWVfYn+qbuAD69u81fo7YcVxCLC1vhLjL+uHfHxSASCJdMQIg0iXnM819QZLVOOM
i1La6DCeE2eIphbrnZx8GAKrNZ9EhSl05lTurT7P+lM7NfW+Xmb5anvtTINwMa/syPfrD8mD1tSq
eQbb4xI7OOG5DqKkJjWy6/TkmP24LVRXnVLYRfeN4z99vPp/Gg74HjWiVe4I7t/5EkDL46obkeTV
EOF9ac2yMKPcn4oGBNq0bNvSDsr9x0O+P94r8BTND3od5NOXuod8TJ9qRWLtrCKt+hA0L87mPai6
3QQL8ZrXw2UZjI8M1HTtWPPoJyxf4hQhCZOfJdyqfZ91G9tv5tDtR/N5HpYKvs40bJwF7jXtO/GD
CPqFEo4XiRk1c6d26ytzf59er08VSu8g/VYR0YtETRS+MY88ulA7FgM6RIEqIlxX02sksfeflXHY
1QjM0Umj8Hb+WWmsTlOZoi2ZVSp9FQgdnNzSECdQvVrolP6Pjz/pH6aFLskbeXL15L70uOgLt0pS
G0+nYmaNUyTz7v201h8/HuUPG4fZcC2sWnY4+V7s1cYfkmapdPQky9x+Hea0FGFQSHkaK0ho4ceD
vU8AgQBws3ISeeizmOcrqNpCUeOPUefs0/R7qgXOd+qsyXKDGKvWbxtnmLV91tlFcyUe/mGWaIES
DrnXV+sj83zgwfCGNWNbn0XLeHJSu0MWhIYgNr2a/unjSf5hmzDWW8d6BfJeNh19A4E+8GfcfioV
x5RgucmtBnE3gzZd6hXXVLL+ON4qwM5n5PBf3uy9787+CGFz5xawLcrcL48eCcuN3xb2xgQ3vP1/
zI+3+yottLJ7Lz4iaW3ndoOyd5bI3W1g4l1VF7EXUTvoN+g6DddulPXj/FajIdCAQFzJmaAlQZDY
F61rq1ApDRAfqaKOSueuqQbvRctm+PTwh/ut7vceDTevs+mUNLB9N17ZQ5VSCLHrlYFRUnM15Lzb
T/wkejMEXHbVWpU8308Lpk+dg8/ZruIJiIq9qbbVjEVC6alrrZB3n5ehmDUIdCQZVu2R86HSvAOS
Q4Nmh+55c58047xPlzndDqvA3ETV9EqL613YYbyV5Ab6CYwquPfz8ZwsjrUaP4TdYHa4+/YClflw
Ucbwl9yBtyjAOwn+Ai1zgF0XEytsMXvNVJh7jma+G2Y73yt0grZE8s8f79h3UwIOuAIPVkQXGfel
hTW6Zr2bILy0t3CTfGHTOEe8AdMrSh3vR+Gvpm66Bhh9NVI9X7hs8Uws1Xpnb6B3IrbwXExq1vFc
zr1/JY6+2350H2mFcvzWfjSSR+dDLVZpD3M9+KsWQvETdWf3EFeq2RiFLq8R+d/tvxUlDQxuZT+s
EK6LaZUeddjaav19VtiINwN5hZisWbexNZxKXYuvlJ/fr+JK8SBQr2wS2n8Xu2IqRqCqXePvbVfN
W1RHl1Pc2teo1m+GPr/HFIzcVzfB1euWihmqNecrOLkeDlxIkG0kogRuaBldWXU3+IsjeRLkjZlM
sJ0dT95xQlhSEzvFeI9KeWodsQR0y3CgRh5wh/ReGcoOeYeoLGBxhcncq25nYID3rR0dMG9N0r3Q
UfIfgDlZj05c2CX5cKk+4Vw1nuLCNV/kjCpWmIyVb0QAtc0slHni/EQhqhkjzLb1u9nX5++pNH2x
adFlPQ0QtuyNZ6qC8mxnBsuROhbxr7Cbgf68p2IrdL1Of0qkiVliYGKcfK/X0zDdQlOy5i3YJvdX
QD1fRGZqp69xV8rvwlxSjAo8CiS3SW/HbUjwATQTO0NyX/c0n3ej8LRp5zpttmxok4t659kJMIuk
0HNv60ozMR59kK+/5FiLao++uk9jKjaMcHLmRf6yEnyMN8nMadxK28rkSKvKQagp6kqq4ZvSzmfR
HEdapSRxLiDW4mDQHbMsmi9JF1dovhSjeKj6Mkm3SZc48b+WjczHlpSjs6NMzyxxMzTz4kd+Klqj
jzJb61oWzx6pHZCIZu0O4btABCF4lTTWdojI5PNNXQ3z/K9oWqel+GYFE4FoVOrzFHuwHEPoM12w
71HEv0byWw/Q2VakusEZW/uq9D2pcJ5vReSEFwO6ZrLNkrxG4Q6xSYFnQxkiorbsAKH6YVKj31Vp
Fe1CmBGbj6Pj5QEnlSf140AQTKivXDrsTktfKwBF+TZ25/o4eP33eBqrnetr7c4z62tSUe+OHqL7
xCyus9V6Hnnvi/kigZWWS+rlx8QSTbyTgYlAyTJ3prOtK8eyN0sqMnljm43p3Hh96w/bHnz1CQLr
GEDNBy2x9+w8W3ZT3Orxtm073Q9dMzc4p33Vz1/qPvXSEETDrN/Vo17ELwCacSu1KpLaezUn+lEO
ltWGAghpyyG2xZMgAZ8+D4ln1Fuzleawcb2CeoVjFTTxOxSOdOxUpRE/iKmu+w0KkhU6PF5CDkQT
o+q+9viAeLus0FK00PG+fW1MORQPBf5xt4bWtHW4Xrc/9Cmb7G3X5nl1H3SpYe3loKfGwczN4j/D
zgunCvWWx1VIvMiDR+mZDap9U/KVLyXcCGIWuBujz6Y7FJiWrZTQ317ARhf6id86Zz8KB93kf5Jc
S5bbYVGYNsRW69V7sIYeXkdVgdv3wS2AbtFj7OVjNleVv1daUJeYus/WXVAbKvtlLbD2ecnG46ag
BxPYWwchai3MR2Tg08h18C4OXSPvIBkUcFjMLy3Nwrk5yIyG8MFvyyXbI0GUGPikJIE3hJl0F+do
8irVYEMEbfJoqVyfX1xrMX4NJHTGiZKZkeybuQno/vtmKSCItaA97c71py8fb3webRdHjz4JXai1
IAC7fgVRnB+9Ps0kpSa/PtI8NkBttFRxvB3e3Rz4VKvrZAghWAbdzveE+1rO8fxfkBAWHpsKMb+w
qPHoCntUD+pwoLAzHhavyn7ofpXeJzVX+FbAXJkitEEbe5txIBIrRAkRk+whn5WJ7HFqVg/scZlH
ldDNLmwUMpB8LziHj5OWyOYJYzNN7BxfxPUWkqeTRVVbWR0QBKnr2e3UeUYRDkpf6jHSkdWZdzWa
xMWdJvIs21at8KcMWck69T/bqreXr662+M4XsyvrH36fWl402sbY3/hZAqplzHVL+RHxwCzvAxVP
/r8ZLKiGQOT2ubof3LI2jmosxq0AQ5rvAhTskKwEvGdlkYcjT/+Nzp4XqbKJRTiliD8d8yV1GkE8
c1Qcqrhts022TPUSGik9z11OAfDeNuugvwd5VsVfXVdMbohUM9o52ejVapcntlJ3cQmlb7ty7IYo
zqz8GPedNnJzCghLTxIZpjE00S3xdg4IICAx1GCeOimrgwrSuYhQOhn1G1VpfnxC1Th40hyR+kXo
d7OET2CandKitPOG/FNheuYXsL/xqCLZcfrqCFJH2m1EOQh9o4PNV5u4bApn49W+o0X0NdLajXqT
Wy6sEInzMaSBSb0g9wjOXoawHzP9Qa/S2PvpLZYGWkdZtdgOyK1JPcRlKS+fSFmcf+a26otX6s7L
RquM3AcR4ic/u7I0npsxmYwbll9Xm9ab8y8D5yc5WBAgVsyP57XaJnYWc2/peQ79yK3hcjZzYn2J
eytzwjQesw1Xp9Xus75a1PcKHKzx0CNdqL43QW/xmQxzLu/nIkUFGX/I+TUZacxHpj7IDUZetGWH
qawOSW3W6UbJJmEfx1nqYJbux7kZltKpyk+VpuJvttYM1kM2GEDVslzq6c7tG3FwpKbMVxDAKrvt
pR9QMWqmOnuNrV7k5l6WmNzeBB27fwy7DOJ7u6HyU4jtYstKvS7G7Pxr84e4MtgLAmChlRlcuGGQ
o6MILpRr7pC0Rhq7W2V3vR3lOcpF372F7s1nGce2RloO4X0+pciH2Md0SX1vVxmFddtpXi8PqkGD
+y4NWs86LbEmDMBHeTPRlE4LUCiLPwdbsx7N8hftsyk48Xc5pKnAjZut7rXefnRVUjagENMZQfFE
y5aoXgEIoVX0ffNtMgDSbPseoqMe0wf4OTVN1m9SsQzJkzZa3T+20aKAW4H5VHslTbuOgibNTiMc
G3XXgQlGma3kdtmWg6HdUM3QSPumiew5HNsgQJBc6dW401cDwTlypUi/gIMo67tcivFTWwWm9h/Z
l1WFFma/zREKtzTCOdeNX4me5tqV8stlioES2drup/uNv8aKHzqPs7kNNlpre/2I3lxZ7o0lhvdR
eHTmZnTMe8OIhrHTtJdr8f0yvDMsVRFSGvDYaIBdPGUTBcQgnRvnWJAuVk9+t3SBiiiJdD8tM03d
e6ebIIQUGZCDrYZg2owkrCCa2bPmLI/BPHBkfCTq/nOUWiBF19U0jGHsrEJ8C4jLHxK4fCHDQaL5
jrm94d/agdeaYDLHcSqulJXfmum/Z4orAG9tgFN9Xd/M+sXbyOYtVsy014++0ScYJlv1WN6YoxF0
G8T9CxLmus++l1Xtf7IrpwUNJbzGe/RtZfEGQDQqvtWqJNPXR41ht2FN/zl+5nmVpws2FqYVkrML
a6tpBPnPfTHkR7tuDOelstHg853BGEIjC7B8d5tRXPOaeYNBnE8P/PRaoQf5Cs7s0nwyGACBxYk1
HSVuJM2urHT9bnR5QzdDVz3kSi+C7QBSKAuDZI4RL9T7r52qamujqnQ4ar76atPV+RcfGriYiFhM
n+xx+uUDkr/m6/wucaAeAxLMBAfKrU1J83xD2/RbO69X8gg1SzUwlZs+r8Mkb2hFhzMbqo+QktHv
PV3O9W41nylvPt7c748UQmwkjKSlb7WA9c9/aynZY0oXNHb140C18xPtq2Hb4v9mcYNz5cyJIHf9
eETj8qGCLgGee2g9QP4BEHdZdWCqQ+NrlXsE5pHrgC+aGrjhxOPi5DVW7t/jiSb0CCKCf9RMiiAq
7JTpLZExekVshkgSBt4THO9FhDCVygnBJNfPcYlyEBeb5ZiZERlsee/y/5r7rqQ7dWUOlwVoHFVR
VqDQ/Vbs5v1/vmpo5XkFhEH/mPS+vGlIiB6owAe3XQuPdewkWvC4Z14robwflfLrm+7PWp71L89t
YI3w9UcKvw1cCmff5V0gD7X0Jv8xKVWZvhaBNfi3vpGZ19rMbzvx7FDR71ol/ZkGT0tIquczhjil
URVqxKkv9ODWlz4w8QFb0OQpoyH6qLWtbMK8tZB7MvrGMR/Sou2dnZ2ouApRaNCnAx8vu1d5PnVV
qNrOKfezMMsvc2Jiv2jlDZ5/vG+q/3rmaO2aIm6CK4y3dzsPEjhYSIAN7LyVoHU+iaTv09HUK+3o
ueNOBeC+pTOof7lLnEfuwmSrjHSEcew4/ypnia8U9qx3pz2AgwYmh9cC98k7eRxzyppqmZfiNC1W
a2zSIJG35dC61GlIPQTK/kWBqyMk3PbFo1DacvM7/aM5Lc4cxU0hUHqFmJtsTY8EN46mRcTihw/R
4k55sV/vioUnZ1SjVNHPYQo0DfYnMbpToT365vAoMYu7VWAj53C27Vjbgm/HZiWssK34ZTuazUt0
Vi7OGIPhDtustdLkRK8qME+A5qUfqr5oNMi6PJVz+EjS9SOKVQG0bQeaPfZ3aGjr+yvxYj1M51uP
zwZYixov2Er+cf7VKrkElMT0/CTdZF5CC9Ly0egXeU/tvN5TB8hPAV3xUDeSX83sG0fsPIfvH/+I
y52zcrF4xMMfQucE8NLFbwjqJktid5xOVUcP6KaMyUVCzriRH+nmUdW0rNzVN7bRSWunObWeneys
1svdX/8MeuGwpW0CgQ8A4Xwp5mWRhl+mw6nwQGZD6IUsMDa6MUeOmQojTP1s2DpJod1NsyhDJDzr
K5v4razy+9dgJdBdAdfOxbVCHi9WogtSinFZ2p5kvCT+Ph2CYQn7ye/8m2UYgZmCR5/aW55Y3Q+7
Bem8Fa5d3xfDPHZo+E2td2zLJMElaAKPuhu7bOo2HZzCYgA7ayogspM+5jscvvvbetGrGWsLAI/H
Sdb+qbLjeA41r2yOfZB0kscRiHZ3h8yjtscRfqyudKkuS+RMl/77OlEuVzCeF097aZjWksAZO2m+
+3PWfW3a5GnxOW2Hxr6S3b7rhq9jUT8AWsD3peN3MVaeD36Z8b6DnqP9nLF8tcO4FJmzReE92zcj
VdEw6yyv3nXVID7JGDWIJRPjVypyE3j262fvMjtYufn0Vdj64E1IUS4yRUVBU3Yq704awNcsGgZY
G1VVtEOkO5QwI7PPluDK3fqGMTjfYasKFFkJ+5vgcZluE05cfW6H8ZStoIGT65SNdUBYr58OshjM
KbTrVkzZqde1RHtR2PU2D62tL5tClUP5BWE8Kb4EFDoesjTQkm0F0ebEy870KI12xvjLrkw57zx3
KeN9Tt1+CBc38bJNVRQ5jlqIgnNnWVUmnXusJQv5BGGGS5d37fBFgxCj5bidCLOOpolQHZYlgljX
ANTvakosPQgrlNNhLKwAzovN0MhYs6tkqk+0NYd7lTp6Atikb8qDQVvSD4e4MJJN5/SQk6pxaH4u
LU7AOyOHVRP5PfvzCPtC32SgPLKoyd30H8gntTrMi6Hlm0aZ1s3kxOM1m5B3qC1+OMpCvDBQf1z7
cRevpaGi65/Kujt5Hpv3oa+51O+ylMKwYai6PLWF4dzrS+fEe81EJfcB0lvRR6PlFvNurorM+/xx
0PzDuQLIQqEY7A7tZmrF51HT7HTlF0AgiJpWc5rdCfAkwuuPhlE/jK2fPkrIM4+k9+ZN5zhtHurN
bDUrhnX+nHSgJa/s8D+cKjioiCUAJF1hexefdk5FLOVYWqeeGjKlnsWVoWdUy95uafIvOr3nKyO+
Q8qDs1wBszRIV1w+B/p8CepxKo1Y04eTBcEX1kvjVXNkDSLTN3xM0VRhZ0uzfzbA7Q9IPVJh3WiU
iwDaFKXlXPki7xeA6fMjXD4KT+rLXyM9O070xu1OTu+52U250Pna6Ik9uT9gsmfNBm6mrd18vA3W
Vf0trJAhgDICLryeKIgwlxYP+LTPBEuX7oCr0M8z1Li8aqodHDKKrLtG9vnDaHRhPPrmPLHJWS5S
TbyIK3umRQkjwFiq7VIiuRopMxiPlijz/z6e2kWzk6kZMCGAltPI5dC9HYDfHnGFcienKRZ7uwxL
R9mQtgi9SM26Uuh+Pye2DsgX3iAwbEBUn2+iJnBmLwZXv80QwJB3k4EzwWc50sk+KNuP4yt1l8uH
/Nre4dEBb3R9xcNRXfPp36aldOzaYid3YevBM4Hjj7lAwetwjKHq0tJr5V5qyZTcCIMcrIvQmR2n
TTDG5Q9txblsafKkRRhLdta0FTZc13bTVclC59RusGRF+KJt8tCftNo09h9/k8s4yK+ni/+mGWCv
OnVv0lS///qJ8rVnL+5TH7hoPxAIcuqIdiCgwKZ3S+2Kb9oI8WaJc989QIssn0XTyC+Nbeb9laxt
/TK/7f31t6xSeeAJQPbREL/IG0elO1Vd2elzlXi9ESZ24kZpORvfZJd6L+k8exQcg/IKBOTimDPq
Subgf5w4GiOXbZEqH8gR5DQ9+bKKf8VjKl5jzV+WH1qFsc+mnGyprjDA/rDqjOmj12kgT8EldBHo
KgGkhuq8/qT4NsFNMwPCPjV2XfkirOLS9Cn8i8Ldx30iagylZrdsvmpc8stGBTLpcJsY9OmausvF
82FdiVWHbA12EDLcSzZos9hxOU/9/KQXy3bwSuVGbI4baea2E83Y/hyxZiESUQCvrEMK+qm7llyu
n/i3LUD0Q6SHexmJoFWY+VKmrvAQtyxUbDxVrZFkodlMmbvvGm3RvuD3oT8uQyWrbdZN3RT1qerT
TzEoEHGs4CLoxdFKi9oIQZU7YpNA69Wvta/f+tPnP5BAQWWX5jFPdH7o+Wnv6g43MX1wwRq0xpIf
oVsE0GdFi2FhKFNdaLd2p5BzpswepFVojItnRHlHreZJ92Uw7ToQAPScQFDZXHGVVVYvZmUl/SnG
0+Vmqbl1/+uAgsBrbjUq/6D2oNbuRJ7IOOxGPD4o91WxGc+RYXfDi5ix+KKLr5rM35RNg1Twxkw0
42AI5cjdbKhAPMRB1RQ7LUgQ1B4bf1JPftu5FEM05Ca23UQutM3LxNGOdZw5XQS3T746EyTIbTlh
AGNGqVD5cE+D3rSfmsJMlApLLZcY9PSzcjaVaql9uWncjAdzxrFRg0usPfOryi/UnGjrSz4oxi04
/JAh64USx7Gd74Hp2+IxriuIp9fSifUUXXwrlFd4BqM8SDX+8qXSaDWIOHswnmQrp9sK7U3qDUoh
Q53j9hchU7267yHiLDHZHOONOUuUB5AgpqOGR/Trx6H2oq7C1oYUR9OFzA65ceOS0TXU0kbGwm6f
hyV+kLizHQIqz5EsewodVVz859tVfDCmuL4Sbf44MCVAamIcceLJ+ZbVpN2YRdV0z3NgpwdaZSL0
KuB0/GvxmPtK+9LzWBBhh+344eM5X2Z066QJrjySgKKhrXAJzU+bkr2Ae89zI7002PTtlAfUj8HG
RlBrisgd4tJ6zSbDixa9yZ4lXqWfyyC/5kX4fg2AFfJjTGCMFNcucfoajdIOkYXxefTY6Ri9mqFR
CnUrJtXtdbvNvuc6Bkbl4Gr/fLwEF5caK0AV5A25Ru0cZPPFQ6NsTBqrAr67b8RzviudKVW3Wd7l
9gYXWAULFHXFsG7q4GowfZvV+QFgrqgfQcNETQaY3vmX1zPQeF3Ql89ybdRQrLbacn29KN0oKcus
WMcaHT0RYpSno+kd2NXyMs8Oz61BBVaebjJtzuWt1CaaCjyGZPyEC1Uy/zcDYFL5vwqWorxTQFPo
ZOZCpvshMQO8jgMZl7dzM6Zt6KeFqUK3meeUbmJn0KQuqu5UywRjr7LnFG6HiTaN8HNTRULXZ6iO
NPjBt2QGcgumF0/dXbxA/t9Rra2nHSUVLc/DuC3G/pXErH50LbV8i4mA8ZNTt627nwF7VFtw1ksA
DULP+33vZXYbLYOL72Tqjrr3cxmgLmCHajTxEbnnkuAwdJL/1kpz9zH2E3Fb5TRe90oETh/VpmaO
LBULNhy7oe3xEaVYOm68CZp3JHrTBRlA26p9Ab6e949V7A/iJGcntyITZDHd1NqZYqNCOUNkdINn
MRc7r5v9Z5ghXh16adx9LgA18Ajt82X+6rjC+bY+5X3AZmP/COSmcvdjNomcNmeXIkYgJ9kBXtXl
wReVJv+RtuoORTbn4Khcq9NupSTFC/1GqnTr5rR9uaaqCRhHFBi9nf/qJF3VzVTg8FftE9Xa7Tdf
Jp77uBKVlkdgzppxAxTQ6dNIBV6y7cmIrIgszlraA5Yl+l1OBM7b3SKXzt506KP40eIpjvRcN9bw
tXMNWd/C/yypbwAB/Beymf9YSSH/MWs1+6EJgKHaILnUBBtTAHrQp9IsN0uZBAfwSDySIl3QhYyC
NAWzAF/MP6ZtFqu9I/36Wx3U9IOlv+SfeVaWAUIVK4zHLa2qjaDyA3TYg9XT8y811Pdg3yxNo3Ah
acHUdbXfB9BVnDSOOiVlPm4duwvKG2XNJcZfRjX9aEuRFBt0E+pGETQn/1PPw9O6HRMxevDKUq0N
a0xrPHFoy9xEFNy1p5PhCc9+GaCHgRVQ1OyyjS0CVz2wEUrxvTdJc+7j2azljeYEC/rXmpY3e2/U
BgHYUBbiRJVhcF6hniTT7dLqTh9OSAn+XBaFgdgsG4zjpYkgVUGvNmtTNDwwutpiJ9PshSdt41UD
TbMkOxcd/xsAT9Vg7takhoxKePqnWWt8+oqG28SwZ2Kn3uU+iA5xL2oh8ftwUqq3ERYc/dNk13n5
aC6jctB+QQzrCur9fZCE0kLPnCSc+h3VvPNABboXFIibDc+AXswNADh/mzepfqv0OsUuayyODT2L
v72QOXTrux7u6lo9vTQspjgNegPWFu51NFqEKLNXP/frn4HXU6SuOc/GiUp2/FANaGFewSG+v5Ac
BxIrLw76i1R7LgrUwtd7a0kt54nNvBhGOCL7ZOHPxgGF8pm56CjESkz3oAZhcW36rMiuiY3+4XJG
2MsAC4m9xEoEXX/jb28/txcLoNMse65mndQInZ/ioacvdWOLNn6xJt0+OJbKDu6weE9oUvVbbci0
Ky/Qi+cX9yOHEjubFa7O3XxpazPn3VwGRi2eSwdxwCQqhkwle84XokcJMFb9xjE69y+18t5GRdFs
NSihiv0/rNxvUy8FtVu7XJpnT9fTp9rw0n+HuFoOoOrLB72nz/L3yShm6yh9ryRYHreXcotI8608
iqp+7r2kqrAonIt5C9zLDjtMJL0N5uu+f69a+U+VaPmevjLylinZ3F0Hg+fx46Tk/e5zdRoz1H7Y
fBRl1vP42/QbFOlRzTWaZ9nV5bd+aNpboZB7Rc25ORU0cOZIJEQFOWvjlVP3h6NOTgLpn7IC9rXv
8iGPW7qc2/rZGvv8fhotfYM/1Ph9prgcqtLhbZsP+fPH832/yRwSIJaeKpdhIatzPt/SaLWuVk3+
PI3gMJss5xbUJN7J4Zw1O1pFIAw/HvFtHhe5l4WUpwERlvDy7oBLtyNb6Gv7qcgW4K2VVltUMzBt
mBCYKQoD7rNT7jBWohU3tHaFlEocp8HwmWigNbeN36738YDA93G0Syu/p0bBpRzH5vLCLwc2T3AR
SxpqtbKCXwo7DiC6hZqRXDJioaw+HLOOXO5vAxfaAgAjCNI23w8s6flSQi5BfdWf8hfh5SUqdL3T
HjQgj3ujmfSDF2Q1urCUiIANVl57ZVUvKhRs1rWmR9Qio6C/d6lIWOSDtMTclC+2k8pdr+lsGTIl
mLVlG1XdVBwqrbAeLBCJRy3LjZePP+pljX4dn5cbrwiOz8qyWffZb+fGgwsOWrnTnzktcrVZLYOa
FHpy/p2DKXuibmWH7YKozj5v3ep1bNKyDBGh8T4BMBB0DoXzt88LYpfH3Uc1YqVO2Zc7m3Z7q5Vw
iPMiK58tCAsH3KOXGFi37RzyYopvpwX5nI8X4t15Qm6Yo4t2GNRyk/rn+TosAMljKuH2cxtrsX9S
kyVu41YAJq/boDhIgKo/Px7xoqrLyq9qyiwvrUfIQJcdzlQjJxjnRD2PsyZe+1arn73MyLEZJbv+
eKh3EYqEEqECnuprG4b+yfnkEqxU0RsLkpcmbbrPtTS/ysx3TxXPexGO8VhsXUzW//aRzqBQU3mk
QiJHN+fiO3b090C5tTH2wlZy4s3mR7rR1qR5sXPvtp53aivSPsTg1HSlAPp+aRkZmj6NXQpi7O7z
+S7mXM9FOaYvNbWZAyQrsLDGqsEVd7DTrtyDNHT4684CI7ptbFfQVbSP1717PlzNZuYNlXnPpB9t
9wRwAs23usdVW8KvFHb/r+5B1X9d4NTiI5AYgrIjKTjao/U4g3ReL9k07IfBgLdhNtovv22LbNdn
mXiUfiDinQUOpAtxwv0/ys5rN25ki6JfRIA5vJKdJLVCS5Ys+4WwZZss5lRMX38XdV9GbEMND2b8
MAMM2WSxwjl7ry0Q+FJliq8JVmiNzNdUp3P9lhDjlk59HNake1i9AMiELeNqGLRSPrAb1+SbJlwv
u0stt1Y5ZaVkU9x3S+fb7xTsrQdJ5rqgJePUL1Uu8ueaPPgMFZygxTqHfTRvI6nWbxoTQrop7aSJ
gilpjd63maXv2kZibGFjrSImiovmt9uaU+5Psq26W6trlW8JGmd5hwCyfYmbUnmFl96+ZbNmJFs8
V/ODbeWhGUR9bHVH1ZDWoznm8xuCYQ6feVNoftpTWg4w+ZQZqZp6KP1siuLbwdAFJAQ1m5JrsgjK
Rwnhq7sqina2NqTCyaDyBIq2iOZT4ZOAR46a6blDvlWhr0UHZ5rUgOC4sX6pR03x9jJqqz9D4qZ8
FRkG1X3mqkP8VHByV343OsTsBwTcyYZtJVHElpeU6k1ImeUYJUamEM+sdH/4B+k6m8zhzbP7wSBV
HiqrT9Gmf1aGqda/lk1VXDct68I19izD3YohlMlmijX5zWBNL7d4tyABUMBre+TOaLv9CsU1G2f+
PdHZsrGQCetpWdp3ExmydE9V+lwPLqelceeqQPaOZBXr4tlqk7zehJz2RnKBIiM7jODLqBnES+yG
ZZbWoSmLXENfj23Bl6VMwNOJPJe39UTtJCBTU+tfHKtOw2tYUb3eb2c9FAQXcN7yqu+At/vet+qo
eJFY19LNFPVy309ubDyN5SKnMPSsQVrCVjT22Z9Ohh8DPV4y9MJ5JBe6dF8p3nv2W92gkN2AFeme
68j0kqCDkZvckH1WlJup0ybzmLs4/67Q4YsfMjLI6C0joXCU76FFlwAth+QtYpn6GiHb+55nRd74
iloVO0RYnnWXiMi97RqMHts6HELnlfJ3CeetsyeHnOwKh5rD+IdDjKlK4B6T1i8m/649SWsY76SC
OHSDypimgWRyk35ud3TFBJkYr1mCy+gh7WY7nHxH2PajG1L0R2uWU3Fqek89cBhkFqEmkA619JMu
rqdtm4paEHZujCRbE+bsPJf9aHoQKB1CE3xuFaLbxs5pIQVWrBTGbuyHrPTDFmHUoRIMNr6bNB+3
jtNyR2hDDOs2iZvutSkG+baI3n5lGoM7GHi147HtvfZ7AQFLHIuwT0pi1YoK4sNk274pktG5Stvc
yq/UMVR6dmOFeLVk0ea/wsbtTEoCUrcDXSb6W42PNTyklfQKH8psmW2GakLRocX0BYlix8lEcWPI
zRNq/MoOUqMZurewnfr0uu/qaH5KpJVph6KeQFbRz1LSfZ2OueXrXYWTgvGI/8FltThAtxppL5ZN
Ch4j7lMARkJUgYpCvt8gnTJG5gYnijdq74bmlRLLJLp2HAJLeIJ6MvlukushFbxMaJsubMw7Zx6d
KdkkpSXEju2qTaHQzKpXPMLEdkkrxE3q4wcwZohapjFtlUSPdwUbCOu5M0Ipb/uQclqQa27RoKm0
ZembkW6/DGGNCSw0m+ZW8lSltaknlP83RhVr807vKVL4pqIl+W60rGqbtDpthBQsYxegcU/sR89G
HpFhiIhNOxjrFOCUBsOSRE+sflv+B3q9t3G//k4nMfyek6p4NjStlYfe4wXdhd3kjFgo1LkFk0OA
HI5Sq/1R9YaOAsQQTs9eqsn0YDIqI76eOhUUL6XCbHQ2GMBKfa9gIHNPcTU2f8rBSxTfyUrlt4JF
v8fEQAr2tjZC5xL1Zq1QZkvkOg7sJjaAi3fdMj4upE5VdQhm+vrJjeJ4vGqHwr2Ka8ACmxQcSZf5
VtXaf6LUE/cUuxQFCyJfo1aoDe0nifxvi50/tYJMMJK2Vm3mvzWnIXsjHsKqCyyygtV9Iprh6Ewi
v5Qcfr7LWmDubB/Z7CB1WCv0IttBJaTFzVMOYaxivZLedsw011dstVe2ph33G0GSb3ZhA3J+hGDD
ipqcojxNxrOmkNeoCg+uq54MXIUs7V5T5vtOuojo57GLmXG7btCBKk/D60Aa6wBZO43GC3dxvoFm
66wvGjo8fnQIVu+uphCbDaVWPs34QX5CV41RP8UD9rS4VAJsVerVv25qsVJz2l9o/ciL12IW0xhM
nibhSKgBomMbW0m1UU23eBitqX3sESViay7l8M+/k8sin7EptWH7VVcHprkBZdtGg/FIni9btzmO
dywp7l2azfmdbZdP//4rOQtREoY+dX7oRt5K5L3eGo/oINvv45RYPgkeMhgRD02BtIr2UNdq9q/V
FHr4YFw9CmkL5WwNpCsrZEtJH2dPluQ44kdeDS6kzPv7VhDb6itTpfgd3TV8g617idNzPp5RsaEc
Q6NFqeFMfiJylazpvHcf5VDhokLFikRb90TQGFbcbiQg10M7U1wMKpxIX4cBrvKFl/yXW0AFCQuC
Q+HC0Vh2/P85FSMZaEbSIIqnbkwVfxpSAIuDVhiOH9VeRYt8LvxIHZzXwlO8HnSA1V/gKJx/TkyF
Sw4p8AZ8G+vTE5VctU9rp33imGPsaSoOHYgmzbw2o6R4bPWmeP58oJ1d0Fs0p2RFkEvhUVZalW9r
tU0U5Nz6kyZNcVsPOBQHYVrXdHbqa9whl+IQzmu1FA7RQ1gUdZbi5Vp34JRAXfFfhk9WCR2bDpLd
sVB5CEd8qShRuRtKYT8TAuB8MW2J1F03hvJeQVB4CZlyXgRZboXfzSTCd41F4ePrdix8jnXSh09m
IQe4OGZx57p1BY2gwIajZYXY6VqhbIZIDb9lepgFQmuM7/EktcfKJb/jwvD7yw0RlcVawmK4SHmc
1YlyMmgDucxvXzQICUeVVsg3mUEbDISFVwo6Vis2NUomymP6PF1HkcaBJPX4Giy9Un92fXUJUHb2
RQBEshYy7fu7OsufSUPPqxstzujAqM3ot47i/ujabPhuxrN1ZLJ4nazWOGDXV69SUVqX8q7WwxMM
IYJZWu/LUME/t3pFHmlBViaz5qTUooqvsbQ02YNTFW57wOcFsdapQPtf+AjXKzoX5avAsof1kb7K
mo5bRIXIk8x1H1LQGr+6jlPzvuXf6ntdZQ3Y2mPeyJ0x5HVzYdpfl7OZ/wBaoRlD00uFfj0BqbJB
sqZQyEfG4v0Mu9y+rcpZM7eJ7g3e1poT5VsG4sEMWrud4gtL61rNBeUQmxWYLzyXCAARd3z8IFDs
NQ0O6+hUFvX4Y9QVrLjFnFeB0WbpN1xY3d4zI+XklVBuRzOVz5XsZ99lA36pdnU2T3AvC/ESxCa6
6aXU/fFelBp6PFqH7KTlYrpeMHlbTlHJIQQndWNoUWP70vOiEBBJm+9Dd05f+mYOjcPn8+Nf7mOh
THuwlViW8NGt1oREaIYcKBafpl4tiEaf8juzGYn5lUiU3uCHaz8cc2yfjMJVflOgjPAbWxcm6fNh
YVPXQknMnElxbq1n81Jc/knWWyeCkcIysAuZlPgiTPW5UTtzIphSFjIwsSnZPnm3pMd//hDOPwgW
Q8ydYBSWdM91ho2Ea5qMtTqewG/kp1Qb893sSC/Qw6LcZ8agXPGILu2rlwf73/IaW2lXA0hJdADR
Feq6Ph8qlrHEVMhT283S8+2wIK19yCzlisrOpaj4s3mGy/Bs2fyo8E2AqnwcbQLVQFPnmnZy1UyS
lEAJ9z0S6I8Y1XAXkVgXfP5I1xPr8rtMJB0oxgzaD+uAxDYf2yHBmnsy59k7jP1c3NrxKKY7ZBf9
FeM4faGTbW2p4Tp8YXMWuxde6t9+MrM6Gx3U6phtVh+YWU4aCaC1epoBXoU7al79dBdJeOdhITTt
KqOFl11oj58NZH41An6eHvwOnSPf6jGjL8nbdFJPViQFZJZubg+UVqQZqG7vENAdpvkrFcEwD8wy
jH/98zNf1hKmdIotbKxXv9juar6ZojFOrGkleadG3HytFo5v2gEZOrB6JfsipkqFZcAJQkxuFybY
syFN3OjSuIO9yVeM1vrjz6fZUKmTouunmf5PtzFFpZhXqQavrfHCSFwYYuuUhGU3x5mMiUvnZy92
uo+Xa+MC6BQGzVORwPvb1HVv4TPoSnM4IkXoyr1sU2gfeRh3Bm5IG1lmaaWj8hMxiWFQse57YhgL
dGaR8ARAWq/PMsPvzRjxUlCbVZvfdO2kVg58UCve0StLrKBMLE5JlSNdv9LbeIujG5qNP9soWrOA
oypq3L6NKYmLquphb4yusDajtWz6O8/s7kU/Jt2F1oBm8Fs/zCY8C/bUkHWXDQ3Hm9Wz6EVX0k2y
T9k0UnLqy1MCgIrQihAiVylDtvOxyJwbKapy247dsDcru/gh3Xh6BR7T79GOqpduankBq5tadMrs
MCBYLzyzjzcVm3pvxVBrTlpBsXsvlKjxjsQO5FILMrdQ9jzwiioj5AlvW3V6ruwjZjHxmGhVcYn2
cDbJY9qBf4cemAMBUTGrKRDtW9zMYzmfyPiMM/gocbgR0zj1gaNV1hab80A+WmhsPv8o/3ZZnM5L
NAB7Hne958Ak5cB7KbWTA2jFulLshszWrIypWtd11SvHFlnUrq277kKj6i8fI+sZs8CyonHiXP77
fw97DR5OdH3qCTFa+sdu3HkTN4reIx7y1PrCr1z7OJdvEfUiF+R8y85+vZqx2BXePPfqKcQz8i1C
IyQDybmsoNCXxRuUAnNyg3x/2MSycvRtHQ00LLQiaa40NMZHt3Gm/gE+jv3a66mh+7Uy244/Ro26
aewumbZDRTfiSSLQjgPoNMLZwDKqDwI3M9nNaVV4G3MQGeaRpl+072QRCh9Gp5dfsj+tJQPIlBnS
yFMXOhoq/HVigJ6kUT0YVXdTDIAob6OwpTI+9wl8fYwZInyoUpOyJv3xPA/CbLbfKhxawxH6b3zn
KTMYK0LK65eCe0t9T/bxTlpJpl6ro5cpeyxHaKxLhNzDTWVk/fdEb5JsKyZF2YVTahQXzgPrffH7
72EDSOIMswiurtVQSZOsnHXk6DhFs7T90nm1dp9kdk2fhh5T4qdhMgsSxMz+vilaWZwMKm/SJ408
iV9wkBcX/CWrzQNrNnt0bEjvklh6rcs39Z+hyxbci2t6nceUp9ykeIDndA7UVGuNje3QCVR9Pqvy
RRd2MWyGCU+gnyhzblxYzs8wBdzI+6kM8wenFmaPjzfSWo03j5adHJPQHGsZEDbWDq+lhQYzoMuU
giycnIbmgWjpUZNI2NvOZi607jihIe9uBrfprBiFI9gfjRWlZPvlK9LTGi0ojVx1f5siGuFzoeE5
OlUzZYBnorII7BC984XtwWomIrdPd3HsIO/mwMHCuXqqMci5oYtC/UhxS7Zf1VITV3RlB21DcbpK
ZIAzIrR2c4N34/nzSfAdofyfleD92kusDSI2vhxu4OODVHsPjqQkcg4QnTki7EdOGgIGExjhgRjm
Q/4lqYij514AhOGha9OsF0EWDk3b+nWqd2OgakkI87Wzo1cM3vhX2z5yrZ1ABcxibnXpTS5VNLo6
1D50qCjEVapbWa7coBirv+muLB/RbIJKSHOva45KKNSl36RPeeibTUpXT3R568eSrLxA8wrjvhtd
0M+ZTKboCIGouXZjwG9bcJBRFxg9klGaU4zC17yVU7HLM3e8BW3JqaFL+zraRZpWjc+YPMRL16Oo
3XTA+94UB+XJsWzNGMNJW7pvrsjhl+R50//KQ7oXPnuelqMOGvt8X3qcv/a2o1Q3RMhD7OxynfN6
im/6AFENZ4QTJuiUfWh8wj1W1OuxMbfUlknStSbvhqKTUu+H2tGu0sorBT/Q7KfthTfMC/z4gil3
LQFsbP0WCNDqaJ0PlD11OcdHwDfVsKElIg+mSqNnD0V8PnTpqH39/IrnHyfaNC5IGXlxYZ6NZzqg
DmtuEh/rUpjyl9cP+neo626/zzydeK40mTWWijosdMenmO4EAJRgOeLHTSwakHYBFyyGLDzTZ9fU
6DpNhTbt56i0xo2ZlLoNlssTL5NSDeLOInPSOUhERcaF2e7dK/Xx2eFGRMTCBo6p6ywHICe9FBCw
Eh/1puqSq6FLikqDPwHS2vfaKrmK9SEU114tSw+FeFLGeh40jTPuBnINcK73aXhkF9Dp29LtyqQF
MqmrXy1Re/cW9W5w36aeIXggGCxK70BQT1/qCuTMtvHMbOcZzPLXAF3Tp3QWWrHnk1ExsVt2M6eb
sU3HyR+VBGZjoIlQxxzQmtn7Auu4HZU6LwE2+/m7XZ2jmC4wYFCy5SxBy4mp8+N0IbVxqqPO824c
xOe/K9exEJoK0HeaGT6oCm/L72mUUKSJC+/S61htpd8vjuUMFwxNGN7M6uKeM0UzXGb3ZuCgxkLc
JQOugtZOip9OTKjlM0eqzIFI5mk/KBlZ4rkFI2D/tNxBECABhakPbEXXfoB/6brGLzRnujeQ6vfa
tZakU/JMKRC5CpmNWS+J57Qq5YWPdIbVZIV5dBfWpDJuAFG67bCZ8XztcESk3kukxd69GxIDyahm
kmsoGsA3Yk/nlXdAZ0vSqsem/jlqI/KJC6et92f+cZQuzSE+N/x+dDLWj2W2Er7GSrVuRlnlJXgD
yIjenWbVcoukpW53Bif7vZUnRbqPLSV/NRXmSnrHrlXPFfgpJP2/6ya2xbVKF034RadQ7vOaGlNA
QhGs2DkQE/SNVlGKSYK8SVT5ODZu3Snbkv4nO5ACDxpWvTxjsbXcxKz3eACifIMjz7O/WzkH+yet
Ht3y1k1F1G6cNml5g5Y7AescE2FeNQZu0SeanYXxkIJ87o8dpltkHvE4V8GgicnamigxOAzkla4h
SHHnYt+Qfjc8Ac3ksZpO75yaHHbEneekyWOBehJ5wmhPTQUpoarDryXRmhELFhWGaQvK0Uxe7dAA
dtHy5SjPqEgp8XXFmIBzrvFOhCbqHHBh3gS1sFCq5o8QqQvYsOLI9PL5p/V+Kl6/R4cGBdZdMiMQ
OH/8tkSmWsBT5JJSufRV7bRxf7BdjbK3udWL7E1zk4JMSS2ct1ChJ7Gd4sXm2jt8ABvpaHHU+E04
tfotG+1Uu2/eldlJ0xnPERT+hUSXQ837Xgqrd56iOGWptdShNljV57h/rYjujt/quG+2BU6l0Nt6
dWt6gdclrP5uNI9PHqUqgVcCKUEVs/W8cFj5y+zCPRGJbqOqd8EYfHwC+IjczM296cZGE9liKfLk
g6GYhrzlm9PVG7PpMRN4vRTtbdKpsxgu3MD5Tsxw8FLSUKcgZJ25KGj+jLS8e+1G2hTcb9NOjW4b
U3ZgBLJQpaSQEBp6A1N5bnafv/1lJ//x5bMBw0PBVpA2KPr2jz89zkrK8rJMjuAqhxSDv1KcRj0j
tE61KufCTLp23DOTUuAGWoChzWS8rcthnaU2Roe9/kaL8r7hKOQSdH8IsxQOMvN3Ub7KmhiEYDCG
Kg0ASSkWE6GiaLtc7XS33WRyaoebekrGvUvGl+mrc5T0p6IqMp2saX3IMyC/RRddeEznL4hRsQDm
aYoT77BGBaha6iax6JUbXJGutodoqOLFnImBeixxObAYWP2LJpkvL1z4L+8HfwuPCnwff67NB3SJ
ylHpEnF040SOSCupHTyrMoLRjXZotPpLLeHzb4EuPEAidlG4LpnWPw4IVEayjhORHLvEK80dW7bB
3PRsocMHdtOuuHfVUKsQcbbxT0l+UHv6fEAu39pqQC4UM52BAhSIMt7H63PCchLYC95NLYvkegyX
Qz/TqnqSNFBu9Syc+wt7i/dSxMdLklexkBRAIvFtr4GB9ImzKlcjh9Ou5gCYGmk9nLDqNe2NopZN
/ZpFnWiDdGxQpcag6ZDYFFbsPmjRlH+zIy0KwVX3gLWfcKVCeNXVKbcvNUv/sr21gKijGaKBDSVj
Xc1VlcGpPLuJjrUXsnf0J6VP57d+6OSdMkFC8Ztc4INJl/Z9msXV/RL6tGCYu1C7j4uqK6IdXiKl
O9odNgHf1vNYufOKzEZyMGGnOyijYf1UQk1pxEbyDopd5OR9dKG6cP4tkVPMrKIzeJHSrEHuhayr
uaW/fSxHTbtOogSlUK+KWDmIOENMTY48q+IWt2ZRXXKWv5MoVu/aYp3j1LvoDXCufRxecRk3rqYI
52ZIkvHVcpH7EYRtF6iOnWqImD3mTnUJ/unC0N7g9XVB0KlwmX1gQmEb9OhUpqcJsHXD6i2L/Mds
ogh8Tuiuzi8kKUiEjorwym91PRkHy077KAS8Gi9H+S4Cr7X1XEo2wTjnBQJjx6nbbTt4ynisNYwg
b02tVKK5j4e4bZttrPRJEflTlZb0m4beLpzjaNAD/tKTeHAFLa4yd20OQc9n0l6k0wSGtT5k0uIH
n6nkJINF0SYHfFS+D4YajdmucluD2evzz/asQsN3s9T6F0MD4vD1BOkkToW8r6bOYc/qEKSuTgBH
oyv51ygCxhkglIILtdMqpEzXonSKH0mpmYq8+vw2/jK2UA8tbTQaPXQ8Vg2HFOD0Ug+Iji6zZb5R
vJaTgRvPKrrq1hz2c2u7m7SxwED/84WxwTGekXogEFsfdyFlchSJiLxAXyBTtvDENzR9XHILSoOu
MM+TI8aYS+eidQ48K+rCXaGrxqxgkmm3TKf/qYw5cc4utg/nm0XZ7ThBk/R2s5tgnmZ+mbn9b3Ws
ktDvAcd716HpzrdNVxTdNmwHU0HTbgJVHkTi3iTJ5G57dnnOUtLTwt3sAWbH2+/lYL9V2JxfwzQF
Bta2+dTesnHV3ENIKWK6ib0psW/6yeq7H9lE7MCd4sC/epxrM/3RjzUVE6UeQMJYIUTtYUuPAcT+
pjXTsOg30KkuYW/fF6mPX/lC5mVDyxqGn1lfDYOlceAYheohqC4TTNB08puN0aXF9EjoffHCF8sW
ATCH94VzQfkN2HnvjhtMwHOLPJomRbEvikT5hYwWYu3nQ+Uvd8f0Y1DUhDe9WCnWRcQezUEcujiB
Mznj1QNqMcRXpiY4Y3hz6jr7SCvb2yGWdvisV2POBpvAEFFDJcJs+MXDA2xsgFwJ80c/VY0w/3kw
U/tlq4NVC68Y39HHQdU5VHZH/KvH3hqSa9VNsFs0DfWV6MrsGCh7YpqJpTWRWRfNhT3i+fq/HCdt
5Hj6gr1YK0KGqZvTHo49WRSt+4cUGmScDgnvCA8kGiW7EuaFLdZ5tdsGBEWzgtb0EpywttHoTlLp
SajnR2vEZ38js1DYBy8c3H0jihPOkvlPCj/NBx48fbGbAVlzPXjlSQUcWF2YwNba4PdHTh2PTTJe
y/MKM4JVt9Kztjsmc69MIkAFrfYbSm3uCD3GGjXzwYJtdi9h4yoBnHorO8m57knVodOIK8MfMODG
RDeoiBif6nLoTRv2Qdgpz22mmOGJWUiJr1qQYdVhYUDHDzPCNPvSltk+e5NMwujF4QgvDil2sB9H
UcaimRu1aI9R4abJ98Qw4uIRcbALa57+7LWJOLkEWc58CVIVVCGmhkwML000pDthK8R2sHRpAEcU
yuEFIGeKPwFzqvMtxKNfPKG4Lx5VWnbQKLI5/B6mvRP5NS76bFNWufssHE42fq1NTPd0P0NnrxUZ
7gWgHbUwsw1UfXO4tspU4AiMw3HBFSRsD7pNR/RTfghlmLvQEXQr+m6Tp9RvTCVVrS2N3RIUThhz
tJ31lrweyypkfhdZmeHRb/bM7+GQaMp1N+p2+6hko73sy2ysDniCXEStmi4OndUIeqApEo0rybis
fW0wu86vVLrPW22mpXJlAzQND/GoQQ20Mp1tHVxTh0z2jubaDzul6f4eNFxFlU92O36FzE5d9HLt
4GbKVxs2PKCA2GhgJX8+i52ttNCeliMcu2ZEFda6JWNBHrfIk4mOil1o8mds9fjeQlye14QlKVDS
YnYdiwzj0ux5dkDhwkztNA0cSstMEh+HVRdX9EJcpNDTvMiuS0uJD6096PUfshhEey1qrXIODWzu
MpiYSn5aQ2F/m7M6bTpfHVNv+hZZnKDoDiZ0FpleRFnIq9Qm0eA6MjVCaf0O3PXPmCXkUgjiWvHI
543gmLbau5SdbuFKoqCP6WzkepEcPYXix15LJmdjTBYuDaMJj3RrALOTLUw8dpgN2T6ngBIHZqIZ
PrUwh0wMWOoXig/n8x/3xO4NczUTDlCz1XQPDEPtmizPj4z5biLzxTQTNMdl4xzbCNNRQDYL6zT5
IcaujermZ+GE3jfMYWRwKkY5yJfPh9bZmRdbKmDDJZtyOYGuG9VR57CLQTh6NO2qpAyQ5GSVxK3j
Xqk2O+fPL/buP/2wV+BqHHugZiOFomOxWo0zNgtZKksyB1K3ioEE18QVEfihpmgBCVYMKFoK/Jul
mTVxH0xy4BFsXBhrqCnySKn7Bw0fRnHDRjsCiEo2gAev2aRUMfhuGc15fOETOPsCXJrM9CGxS2LI
ZMv98QsANkqXTg7W0Rkhu8m0dJ7crJsaX8dn+YR1HdNbjrb4vuhj50IH1Fz+5x8el7vQF5b+BBsr
kCOrx0WwOfBubMRHBoxbpFdKq1UvnamWhOkMbkRCSecYMW3+osJ7om8t0SZW6I9TQ5qNg6sOFyev
A1cj3TbVj4kB+Rl37lTeVtmQNqcF+TPtMTRmoDUIwtKDBiryaaj7kRIzyHAjDlzFk3MKaicV05Oq
Kqb7lmpN+ttMC0HIky76NNByY4oDnS76F4FXa/Qn2HLOlqRv7IekDHXeTaGOpU6yV996OIgQnAvE
PKZeW8mGGUbRNpOqFtE3XZbNcUhiFAp+hi7RkEFE0sNpNDS8vhdG43paZWZgVtAAajh0G2DLfXy3
xoDqMlPn4prc+uyp44E9VHo3E7wzO+oeVbR8xKtKspa1RCtx6LqZLJnvcPiVB7UisIrputtPZqNd
D6o1HhOpDcwdLilGn9/p2Y2aKn8tpw42aexiV9NwDBw6wTzeXOOatw5ulolfJdXtw4RfaVvpanmf
pf9I5GL2W5QrFi1FQKtcf3VNagblELbKcJ3VEAvEWPVBqOpFgLt/OGjsRnxhOP2FEb+ejZga0NCh
x2RTRnnYWRWkqqTCe+3W8lCYc/7FcqAI+jHdgs5vVUr4FwbA8n7/+3m9X42pSH+H6aCM//j+nc5T
aOGp8lARyEjhqxCqLyFWVZtJG2PGpwez6l9fJb9wKYkgaGDQkRby8ZqR3g91TWbMAe299RUmUzNv
KjdKizsTYRphV0qTfck7tlgXLvy3R8tCyPkMicmiCPt4YcgLHhn3mjyUXdtsnMEq5x12b9H6SCic
S/EWZ4+W6iu91CWfYWkOrxEQjY0GqeCwe5WbY7wZUzvZejlgJTK/fzYV+/vPP5D3WsOHV8n1MFtw
QXRQSwjqx18nc2/ALzrbhwZodkbaUj1FEtXyIrZ/wEdmDoEjZ3u+t8VUXTepUtnHjMiS6qHOGw7a
9axF38lK0QVoLkWBqtYZqEUSHIDKRrcT65urZeqPmglt3OoToKeNPZTJlyLBo7ZlvfO8g3AL/QRA
DNBlWoALOBaNZw8HT2R5/OxNM/isXdGFOLW3DDgzfBNRbmk/YvrAA8N8KLt5CGpVdtlbQ90Jq3sd
WdiP88SqY5iVJbW7ohBhF9Qyl286ODlxo8Juy3YEvzjR15RzrrxqkWNtapLSoisC6Po6MMzJYjpn
ktWPAxvgbeEi2wqa2kAgqQ9OX9aoHQyNk08R4x0vpqhApuz0ffPFSby0/P35y/rL2KAe6FEz8thY
quv0WEUzOQNBAriaykibv+hxoiEhy9Xfw9jM8i6bUv3Ch3429uljL8gICjdsZaw1+t4TPds8KxNX
aaNld4hHtWaHTFH9rohOlNvPf956x0Csyv/7FgacbnYNqy88L8uOwsGEvIdwToNiAvVCwPjjxg0J
M0WFWW2LFrCV7yn5JUfLX34o6qKF5gl2hMP1ardiicENc+zPfORjiOxCV68jrTJuzVnv3z7/meu9
CT9zsWW6KK7ZnkCM/PjFZUTKcUhr7APryODXepkQREKeWXLh3f3lOi6CZnp1y87RWQNBNa8F7FwK
9xDBSjC/9mo/WNd5Y6ry0gx5tsoCMgG0gUOPqAKmktUMKYROrAVhPQfU4+E9zdfhUY1cIBp5Uc2E
1WY0y7yhzy40YVbj5V28ydCkBATimBP86rIaZ3XZ9KNxqhIv2mYpeZ62URNf2hhGdcAznxU+5xjn
j1LE5uHzl7jekL9fnFLoohrFlEQM68e3aAICTNs21E+aB0oLG7iXhnXQunPfXE2QX42ntk+G/ehU
BsFbilXcelhyM0KFLfUmimd32kZWN1gUzwlOvE3afrhP08LVN5/f6GrOeL9Pj74Rp1A0gRSrPt6n
FhHhQ8i7dmomR33RizBJgrQdZcBknRWbxm3E0+dXPH8tlLXp/SyL9IKoWl2R+puK1KHRTwSUzdG9
LKb2OdaVbNqMTq91uMVU7Rvw4Di6MpzWfPn86st69Z/1jN+LT5SGIH8ulfV1mWzqeqOiB6Cf5MI+
b0fNenNCqw+UAtycQoDnBrOqt2szuvStYs8XxsX546aQS1GZE/TCr/JWOyN+pYlafDZOUUUITV9W
BGJauf7sgQHWgso1u/nCrLmaud5/MH9ALeLYDvhmNRAhQkqPkHnzFBLOMwapY/bPSplQdDBFrT98
/nRXX/r/L0bbFcsVD5lj3cfRRHCfqrdVYZ26idrw3eh0yh/gELCNbUMdb0mVi9mDdf/u0ICK7Wr8
7eB/c9e/kUeaKDlj7USfIv2pKMggAoo4zrUJoPJSt+JvvxEF7cJm0ryFP/XxN+qwJ4YO3duJXhG7
22RUlJPdh+o9SE30eTHerk3ZyvFCw/Hc0saYXTz7i8jfZmu9Wv70WNiNXobmqYpmj5gEE5F1I6Xz
P8rOZDlSJIuiX4QZ87CFGBSaFVIOyg2WysGZwcEZv74P2ZtSRJrCctWLqi4XBODP37v33CZyUmva
VFXZ/eygymA518iiXRyxxe1lvn78C//9zyCba+V98T03Tn5irYZ8NGme/TRYmgH5zMp3Loxn6GKi
0m4MlbjXbjY3P+Yk9e+RKcXYTNNL9oPTbs/6oCG+YHc0eE1dZsnvfwQy0VUt2Un5EbpeHowZvM8e
ZoZAdyNS+JkDkqzHJZ/cCpdLDpklGMdl/aAkxRWuZDlf2Gz+8mKDhmO/ZioMRvTUhG+3dlXkbW4/
yTJHCtamyQ7ktrnNvCC/VXHTXvhun7/WAOCogkCXsyozmPc3IMnw75C5Gz8uEqdB2LVl80UvULVX
tCjaC9+Q848mlQjvlw14nrrkdCcN4jzRGrPJn4ypqfoH1WaLtZ+6cdhYrpYQfemng7epEilfXQKD
vgb6ANbqwlHk/L1jIMRphI83Hb4zC7qiwajVzlw/1X1XvvH39FE2jlYb5XXpL/s4FuZNHpPr8/ED
f/bD8p3maV/BmXSM8Jy/v9EGm9IgRpgOKCemascsNsRJDRVUNd2uYdh94TLP1wMdgWJ2FZQjaD3t
rdYg/GdEofFTnU9JfFBWX73YDfIymEiiU9vcnpZ/m1YhX2dJbujaA+ELelpYV0D/ATH5wVPnqKY/
1IGT7mXhkRXcONU07vXFtfMLt/W0h/xn0dUzzVmWJ+vMWpO4DEuKuhTHwjAF2T6EmLVfwTH5y8vU
TXa2aTtK1GtTBsUdDQSMxHNAyOxK6C6ng1SyldthdBPtwot19qwDLiIBgkPUamWlNH7/ewfJ7DS4
yYKn0lP9p7wlJguykw9ciCO9/TDInNMqU83iqRrKisO3l14wmP3lCcDAjlRLxz7MWOLkLxiMUtbW
PIvjQO7WtSlS8zWuwWr6qhV5lBuFuDQqXf+L74oirhl2xkrhRQgLM/T9NU8xUQBQPoInSOqLdlNb
RXkoGt/nbZ6I+c79pbE3SYqtJ6JNwIDp41fs7FtmwwiA58BZZ42gOv12FsaAkB6s1jFB5ZPtxtwr
9l2Ti2TvMDi68H6dXyu5t+t1rsIdhwn7+2sdLJVW8SjzY6Zp6tAgun5ZHGl9w6L3NQAQt4OpiUId
4hBIno+v83zvXH9TsKHUYWiG7NO1rRr4rgci9JhBwPkM8Nfek/alH9Sota9u4tSA65ArqFhDlzNW
6e8JRNWFl/0vL95KAqZbhiN8pWeeFISVS5APCHbvyepIFW0ZCCv1nE5Ccx6YBwAGAJdO9ZJioF+D
YictvrK1Kp9CQ45ZRTxTYt62o7ksFx77P2fo908hOA9EBRgg/jTnT/b0StVmNfh5QBXH1r4lbNuR
G9B73hAWrT4Ta07qcExqtND7G9/tUhmRndNtE+Rk4sonpQWwVzbGWQSmIwM1V0/lF1LNfOsaD49m
0xyf4eFmTAR2vRdMv+lBD48KnvxyJBewGSPGUrLZJtgV3i788mt/9fTaIMQExKnSmiSI4/1Tl2X5
Ynhq4A1zfa0lYs/yIhcyL50kT2GQTwXgf8OG2QBe5qaYTRwbXpvfevpwKYvibB+13bV9iFTQtWE1
nPa8e7Ydz8Um/YSAy2E8XFjis3CN1tt2+iiGsPR9xFrCbbPnj2/CXxZmU6NDhfeNs8hpw8GFil/H
fIKeAqc1SGjBtvGVKUA+7AGEE7SWL8NLIhLtUpP//PNCRaYzamLWS3b9aZOKDwG5ucUkjko5RgkN
35AREmlpkMc6ZRca7eeV6Zq3AbWVNgeHPP30hOc3SJMGSOLHvijELzQ5Xb5XQ2aph1EbA2c7AwZa
I2BcJIwl+tP6GYya1mwsI5fWptOlduG9+ttXh+PKup39kTCcHhw0IZQtBzc5pmPlfWrYze/7WseI
ZVgATgGey5Dh4XQoSzvGIKMNE3q7RO0//vX/MMVOXoE/PIzVU0uD7FQEjCAXUpMSwdOo9VVzsFNt
8UMCGUwigTAqLtsyrQc4emnegk4cPOercDpQh41dZP3VVGtV/Cm2ZhWHml2QR4y8OkE/Lb0Hk9Cs
R1xRSRkWtLFkFM9T9TyTpuBE5LE76h4e15yGvV2Ku0UkxS+vp/Cg2V1Zt20A1XUncitLn3097ZMI
zYYPpNEBnMUEIQcoDfg4dq8Noy22To/8cZc0WjpHsURnsXdqpe37woeX7sTw9nHq6nGwAXlTpz8y
I5G0znsydvJstrKoG3juiRbpOmIoHaNLwlVJiV4nGDM9pL6tHhGGD/OtwiY3bvpaS+S1biy69d1y
Cnu+7pRtztuJTC5iMxK/RhmYyuWBuE/rWxNUBl6dPEs/ffzj/TnVnf54kK/ZOYC34TA4qYKHvi4c
U7rxk7Kr+edcjXLZJ77mugjS+tSOajIbcIvMGATDsvPL/s1kKxMEpAdlscs71Q5hO0h1b4NmFeHg
1/0PCJQyjfK47poLBcWfmcvJn7tKAAzO/JwX+JPff27TasLDIQLtKVmqctjg0sRdVIt41lnbSZKb
wRwK+SBUp/t7DUlVSyjPyEmmK+PBDhuYqByq2tEaZKhNvW5vebR7RktdJsJltIy3JdZ5DqxCb74b
Y5Y/e6We2Vv4nvq0MRTMsS3m4/LBaUhy32pIXFi4KzGxgQs1JU/5kNv8D1CWQyG5X2GTDLPcKsQL
l97/taI5vRk4fjkjIrFc9/73N0OnIUO2URA/Mcm29O9sdASNhBgaE8GIam7srxXDMUKCx7nS7zH+
BtdBqmv1NQYofXSieCAmtabrc+kMe17ootggHwt1Hp9mTgLv/zBXeXbtzlZ1zBmgtw9WmyyvGTaV
9B6dsXOFj6e7sA+fr0g3lrYbhT0DWNwI71dMJkshxgjKIzYqUyfCh7nrXHpDG4puZsRUX1LU/m1B
GEB87phO0ote//l/lK0opWj2x11zLN3Rv2IHJI5l7hkzNwidjL3exU139fG7er7N0kpHRMs+/rfO
cyG0MliMvjlCEe+c0CYQvSusxYj6ssoiqy9BLbYMty4se35uor5Zx050/aCXn5YVJQ4P30m96jgG
MvbuU+DLdZQFk/xJKBEmZEbwSwA4eZ38LuQiu2jBzL7tw4+v/i83nDee0xsjGMh4wckzNXhDarZU
MEcgYATTdAjd+B4mr66Ny7qWdXOhnP7LephcGdVA9WT2dnp2UZMYNThO7bEmImhf1vG3oELWhRup
25NTmBw/vry/bOZcGqNYHhs4g2eBmRXIoXGeLXmMSSMwdtmc4KHxYZHHFMnWvGupN5ItNY5h3gz0
k9mUhrpIjxijVH7hqPy3a8fQw+fxj9TpNOpUB4JCTsTQHkUcj3thLs2tlRvWgoGzfiA1FyXwx1f/
Z7r9/lO2WvuoIXmL4Wqd8jiYWNmgC3oUmKlNOGac6M4bDbIpuFoaj1561vatTyaDYGmdHCEkhhhI
H3QggVVIvTsqhFjSh5KtV5oF0d3wcKLDqySI0M45YkvLJlhXVHoV6f2CPKLnM5Jg8eqtV2uo82GX
tDpGwtGHOI30su6cx2DyLqWc/+Ud5vmlw4c0CzvbqX44sDPNmlxVHGXbFy96Urg77MtYATJrvG6a
JT+w7x0+vrl/ORgyDlk9JZSKLu62k02zxExdtfHiHW2gnkd+TtQM5mR9k2Nr7l2ty74wUVa7JOi5
00K4zbU0DM2MYoRMJbmFxvzP7xZTIpNwHvaslZy53qX/fDznQKVeBwDyKFIjJ3x5Jpe4JHhrQlfq
m7dNDsbuQuVw/kiv7WS8NQww0FOfOWvSZsyzIfeOBZYVDbw69FZuwvwpzQB14OZspwul1fnphBUt
khHXht9Kx31/kSOBKejeWDGPl+U1SZUdFcuSumErq2H78U+MmYL/2rsXCGwzTMZ1/+OzxXW+Xy12
ckmRlwR8pb2l/57YCrgH5nsExW+0Ybqp2wnsrAPASpWaZPWNOURqkfTC/sSbXQRfgclpnR7yRsn5
BuioRoZC3GXFlVO7hf6L961zId5kg7+pc7R035UZk/rpxAvCtIxE3/YKe7u4nnRCCNGKKuotYOrT
QZ/ALbwIZQn7foUw52Hj4FnjRhhZb32nQYUP4noym5k6f6B9V2wQWGnzNdkc5p0pys7pI3hNOux9
2+lNTpRzYH7SOKOxETTJ9MIZd1iIQLRJ33RKK96RiUMSNH7OPg+1LPa+eIM13K8FfX7Vok3ZOeOU
qI3M6PxuRt7HAu4PwshQaPqUzNFIYqH+Cben0sOckjOOmrFdnnxNBt62cILhLbGJttz4Tq0/lGrU
n43JMWY3dCp7iA9ZVjfxrZsIH7lsajhPpR93FSzAwvjiVHk3IwM34sesnnAvlhjk201tKfMX9ahj
fa54DeubWjgkteKhk28LeSHf25722b7Xje6G91mDIAM0YgnzvJ7Tl7Zm4GqRqv6VTEj5lNpCzhFz
pPhY5jSkQKvmeVQOtOk2tSy6G4CqdRalcvKOLvj+z7EYh5fcy+MfQx4YRUj3vSoPgynE1yYog1+0
Jo14C8FaimeM9IsVlTnngLCA3mBF5PWo4r6yhni8z/SxfoN5wylqNjLav9IKEtj/BckjkDxMMrhm
+oXNJg06XYGZr7q3BZeIf5MYSSZJq/OJICI9LEh2HBKFfecvsQqe0CEQB6DppXvjm/P4iXZnne0w
Ylc3lGl+ELUucR3sCgkcljmd5ZO7VEpt8SYJFWaZ2xBpT23uHT0Cx7xQB2vzzfG8+nvfmGN+z0Ul
m2Ue/H67IJ2/Rt9cmqE96v34PPv45DbLQmD9to1z+auJoWFS7unjEtWx1xefeqaHJmEJNQB8e+gM
74WU7vhttDnePuPGnYYbX881GXlNHyf7pCSzlobMPLSbWNbzEjV4PG2FpcBRPOZM2763inFI1DE8
LLcZEZHr6yUIA05TZUybnnE7wXpTYnAWCxoY2OkqUIwyXcIad83B+DpUJB68Go20zQcBs7p/trj9
X+ng1MObnXhkaYZkEJj1IRHFeKsPRlt/EyMq3SdGsQuYqrElNJGM8c770XciG393SWq79x0EzGVX
wjaYw8b11XWtp8EUrpYNi58IVqmTd8FDY8etc5OLVp9wrQzY7OaW2O1onEdOTZuYxJB7YIdOec2/
WGwVIRuTG8FWpD1ZUCutyGdqhSs/5sT5uXTyhNBAvVGHYpEjtaZS8xIWqB/10BHl4m3mxZbeEYqe
qPl9887faKXeDZFq5fjQLstiHDj+aHt3yJxgj+cUTZoSLvktaT+nw64KFOmIpixm8MPQLMTBXVCh
vQx2E7T3XG9cf8owZnKaLFrIeIY03Uc8EcLY2qUqfymNAJkLW+VZwcCujYxjFTUwdmcI/v67btEu
aUiinhHWmM5TDHo0xx8Sw4IbsDNc2wvGrH1cxPklQcPZ9sWgCrkvxDDKbfS+6z//zx6NCE34Awe8
o1tU2s+8Fi+KlkW6MQkB6y6Uf2ebswPenGMi07/1/HaamKjbJDBhTvGBUwz1rm6W8i3haCPDeHac
o6na+UKBe15tM5BwGLlzZdjlEVG8v7qFzhLAMJNAGRjPW9Cg+n061dVPfCHGvdF207XudtbeWJxh
juBPxTKcBvvrx7v26cmKITeSFXqXfNVpjZ+qqVOmnCV+ofLZnK3aDK2GKZjR1+mbVhfZrtUzjlIL
yXUTUSkj/Ma27P95JIWPgTQhetc4y4IzL11ZI/4kR6x4xo0r452emdMvreiZUuQtG+81KaTmhfPk
eSPVgSxIQcoVc6DlvPP+3pNCB1mLr8Sxs9I6LBzCXjJPijvZSWqDoDGa+5FUcX8zd0X31tRxFdLu
nlGV2TR7/7Uu5P1aYeucdShGsdi9/2MApdExNKvp6I/AMufMUBFEAwW6wVHeU6C0S/7yv7xXzAA5
36EVQlVwqvNFMe0tRW/NR6cp8D/LxLkqrXz8PKs6vmTKP/14rA8YA37aIStHElf++4tzM1+LhS/q
595pTbEJLBVAj5TEcQZepm6Tvm0fGUCWvz5+rn3+s/+tRVnWhhLMOB8HFFORk/I+GRtocK3ZPPuY
xOKHuKp4nngRuy+LlYh9I4ZabMqK89adRYzQl49XP73B6+prFAUvNvI3Zr6nF+3EQwN88ZkmEIz4
sqq9J7Bjw8HtBkJqPl7s9MtFYh8tLqSjVOQA4q2TIt9b8sxysT49m6PSJ2KcsOKjWyRjlDma+WaL
JkkuLHk2TmOUz7GcuEDsr2DyT3ugqCxHOAGBfCk1C+RzuAK5LBKQKg8KUS5LcYU6cjQ+1/pErU49
vwQbBDPWWy1MRp+tL4w5gpPlQcxJdH0IxZT52Q6trXnrWLHLBmsJrYuSEjwcJ+wh2MG9AsRfW4Q+
/9Q1MX2ZUZa/FpDn3OePb+j5I8vFgbnh4LTqjk/9DH0WpyNnGfWixFQeV63ibcv54CVX0xxpU+fe
TGme/P540TNRJwsyQVqd6nR7gFGsT/R/NruyF36z+FX9Qu44WKSyhWsV9V4qboTTe84hIcV7Qzhl
iS17bh3v2jcaQp86rbX28LaHButvPzd7jrPTVTBT5VyZs6am48d/57rZv3+xVjIqHyqqW6CIp836
1EEQk8vOfJ7bqoGTTK9E7S08Yhc+iuevEOsE3FbO4LQaT0G4hqoF/WbLfB5kl827avF+OijO0sgY
dIYc/35RfAy5Ho6wvLyn72uZN3YHU+1ZqzQyq3JRJQePtKz5wr7zt4v67zonJ2Qk7Fkx6kRrcBaQ
PlYVdAghXJQ53jD1QUj28WX9bTnI1rqFpBBnzulwjtAmr5n8xXpOmX5TsjXpjeOkxQ89yatLvdHz
54LGN8ry9bvLkqfygzSrlJekJieNOB9fR62J3XCgq/npXy+Jrv5qwlnfT7wIJ9uJlDpgV2bIL2KS
BmmwvVrYNpm1RWnWmm8fL3a2iawAlpXyw2BXp0Q5+bK6AEkNn/zFF6vO+3aTlFXwxsEPHrnf2/Mt
KrH0xUmz5veCGWu88AKcfYXWxREg4iBm6st+/f57gFjAWnL6ES+cmkgMDHBRW9j7/CDMYlHEe9Xk
1cGI3eXw7xcNVoAKGDHcanZ9vy5+GAyJ+EtfEtXGjHJI/NlWXi9eFgKUX2o4vvQmet1NQ9uR7j9v
ZggYaKOgGANyh+b2ZHWPjDvNaiRuqoxmqTXmeNemSvtud7I59El3qSd39oqs61Fa89Ai7oVv9P5q
0XbGSYms8AWwsq9dJ6NRNrupjwvUM8Awgs3HN/fsLQEltkqvVmIVuRqneC/TBcBJ6UUCaCtUSeek
tH8GS3MpguuMLc0wflXbrYUlFknrtKS07aRgny3nFz+lPfKNSHALyq70BSl37dDfuQWdtCuzd4N4
azG4osc6ulLKfeUE83XhpU4RFu7YLVdx6iggrE4D/ITE3W5MOPXO7XItXVm0L76fNFe1rrcG4WJa
X0b5sJCxCteGU32oKk70ao8rH34A4XQugfdt9j1JO8gMH9/Zsx8Shio7hkdFv4okTmclLZWcp+AN
vCyu5qHGmLyvBrmTe+n2lwAc50th5qedSmgRtn4g3u+fmXExBUa8pH2Bq61ekiQPzGhMuyPJfk6/
+/iyziutP3h6TEnknnA2+sOQ+E9ZgN425ehoti/9akXbx1NXXHmjHVgRdBPV/g50lXWrvmVx9onV
N88o/hf65stEs8OIuxK+Q7UsSbXRO097mvVSmpEnuwnRwCBsQgdtsfzIhM8kghhJ87dDtXbF7GBu
dpoCCQQmOunkg8RfU17Qs5x9X9ewCwA4q2GCMvmUosIr3uapW/YvhtcNkPyISoFm3/SPk9nWX2bT
a7Y2mdj7jK7zhcflrGhefz1MxLyJdMjPKnQjKKWICWN8aRJ6eUAEGwbnBM3afdSmuuz2ZSKWS/EL
Z5/09W1keIhxiBcUodT7B6eXPpskZuUXQxr9tAeyVaFJaTKyFijXxvuKaJld0eX/vJWwLuNDkApU
A5hxTh7YtnVEmlrt8GJaJIqH/Kr6dWItBx9/zuvA+ZhQZNe81FE5e03W6hD3F+Na3aOCOyl2hmRq
MwXQ6KXq6WkS6IWMIwwGrSh38egVzfbjN+XsTM/M0kM8AhiPzYPP+slVojVC1VbNyacZrfpNKhlF
G8mY3dLpu0vbeu/aqfGw0k3vadQ5Vz2XfC/bsfu3J4utC7gVuxdzLuTOdMze/8jgURLHaRiBeyVl
xc6bOaTuAhMIQtERMBu5AG7rf6sr/6xpM1UioYkyBSnA+zUBEZZwjmONBCw/U1hhULaiy2qT+7ns
v318n09+VtZi/E9WiYuQ/M/J8/1annRkQcZtAHRZ736MUxlvewDohON4s/74r2uRYsmNXK0IrHh6
tC1FofnCG5NrP3ZA/Q6TA0McrnK7UY2Pnuvj1U6+CVwZJlBKH5zWvCcIFd9f2QpOdCGjx4emCOyr
Ipi7Rz2b5YasIX9jmmX3b3ET63psWoiS6Tv8Ofu9X88EkWfngXAPTlAEnwe9BlGTKvKqnJ6d8p+v
jbWY6nOiQqTinFybYWLpXvrFOVTS+Zz60nhky+6ucZyOUeuMw/7j5daH/D+nxP9fGneSLYuaioLn
/aXlSvSQzAjvyFGDbIAU2aHm6PXW6nMjjHVtvkpLtaCdCop9HFjl7uPlT78Ff9bns86NxS9DZ+2k
jCxdKG2aKvwDCbzJa+LL4kZUk/5KK6F89QdNMVEMzDyynMq/LW193scIS6/LxdYv/Ckne9z//xKm
r/Sh3JWceXK0dCyGyhM97EMFl3nj9Mv8A5iGt2sBIT7Q6stRZ4ESvsrhuf76+C6cv6kYcEGks+UE
SKBOKWoLY4mOQs49aBjCr9H8kS2elOmzV8tLvuL19zz9vdlPeaB1MAmEfLz/vUtcPByMWKqp7GY3
9mm9YbMj8JYMj707o/P/+NJOdtI/dxV/HPcVzSDHhPXS/1MVAVxrnXw2eJyN2bZoYWbdjU9YaWR0
ertpZ6bCEXe1vbDs+WUy9SWPj87Dqis79esgxYF3Ek/2wUuT5CvDqjJ0l37aTVanR5AyjQvHhfPL
BMdATYuBgqqWDvP7ywwWRl2aGK3DUNikWo+puQnsRB3juIqdUHIOfNR6k/HSx3f3/MFhWQ7zzAS4
UjTz75cVVayv31ubD+GQ7g0hnYPfUQmSd+g+fbzU364QlY9PS4l9C2nE+6U42sbdoEr7MMtW/90x
sfwSZ7SEiLh3lymkObfckTtaT/96Z2mHcMAGQ0kZtsYcvV8XuqKMIf8HBxcd1Z00QQZFlRY4t6qc
jVsNCWzU+m56YZ8+e37WVTmUrVI2zG6nV+uhGurKfvCxQdneo/AUgCQTe9R32wYeFZa57V9Y8eyn
hAGh87CyLt8fPvzvr3MikDj2J9M5ZN5skpFSlclVOutxmBSNfqkMoUHHf+79dwAu4n9+zpOaj1mO
Sd5LBzLTtcZj6WAIOTStCwQG49EYhFMb5EGIFLx17pH1NvqbVyYdjivLUwe9GqYYynvqACUYzBHA
ByoLt43Mha4psHyOzmFXZeW8LR3VHr3KrL/7jWO/imzVM1v6rL+wdU9dZAIe1nA/i5F5q3Dq/lG3
yrjcLkNcyi8mNLT5diy11n8capi2Wy8JGufKnmXVbmY7js2viPrTIbJ9ns3rxay9YmcNvV5vhrZZ
hs9I/0zrmQ3OIGqlJAEi1FEQlWGVF/GnGkEYwaAVWT/b2jDE56o2NLExy7S/b6yq4lzGBd8PqWs0
j4i/vYOWTRMT4NQtvG062PK5oPT67pml96zseCEWzwq0q7EV1m+T+JM33Rk6LcLJV9UI1rU0C5sC
6mSoiHE/8GfaKKmaPpdbELJpfy36Lnkcl9J07323hMrQYoF/8FJdHLGw5K8VpSKoFG5f6NltcJ3F
jkoii0yBOgJN6JefDKNCfD3mo/0VVGhL09IwFrkVc6ysvd9XTNfLSfvRSrswt6MmHWOzWCAGQv5/
/Q0QcB9YZ9kGITq3orlJvTmIizDJreHOGwJEExmMQPfOj5mHR7RJNQKh3MR075Js5LYuEP6fe9mK
eF8OeXLXksPchrrfjD9y4ZA6i+Slh5AitB+ZZ5DXgvareBVFBnUJBUEr9SetaAAqO0VZFI8cCm3t
Lbfkct2Vwg/exiAvs92UmLLcDIOGuHSUzRRca02n39IbRKXQzbNEiKamCSiOg83jofIIlAlLsyns
neHW7LCtbtR7J0F09oAFHyXgIAdU6GieRL4f4RVPUeqLVP/RGEPW3OkeGP+tZKrj/u6CVCSRQyJW
/1CXylq2wiqd32BPYdzx3WhvvQ4KLTMW1RnOQ+xM6OR8d6nznQcVbAOdJe4/60U7zUZkK8u+VR7j
4z6ksy5HwlnmSftVymB5sglYWr4zUajnalvGffkGJSJTr+Yca9+bUfH2SDw0yJabeK4L4nbUAsOG
sF16yKJu+1oxhUl08SwTy6s2uTYPxY03VzVJ8rmrzzlf7TTXI4VapQvpNefaM28jUs7CrIfrEWML
mPaka70fuTI1j97+4LU7kqHUHIRs4MmXPNNojOeI9NZRlnJ+6GR7y6tCjXDGSPlCr4d57Vm5w2Jd
TWBPHxFnGt6122mNjOp0Ln61MpU285JGaluCWOXA39YV6gt4w1FdE5tcXnm5SgCDzU7t34i6HuVV
tRi439kQxyZs4FzPN0Uv7e4n/bC0+zlodtM8JnnDKCYi72Bornzl1E5kl317qMhxoH82D+McAm6G
H60Fow4oTWlOc0tfwC4e8nEq8FNb1vwTcm0wbYqUzzYoyjnVkPCDiN5yZ83ukZGw7W+g5hlf2nas
HlNHc/2daP2pDmezdlKS4vKMF6Nb+ufKJYcVDGYdtGHSdL2469YQJmBACoyigfTdZKBOowMhjO7d
MYxFruwOdRocMjADnyrA0244eoJ/IbDGLuw9V6BDq3lUdrC7i+vWJncPc4Nr3pTaGn1QVqpAGMTw
Kd8WcT9lm1lJ/XNQLlq7GYlVgjuWTj1NRC8tD77VEh6pyEyjx7IsQJjJiTTtvSQewL6VUrjfqnLy
H8DDMB3t7L5Hd1PYQ7b1Bu7DWztmk2B+0YshmoZ6gvkKphJwuzvFVtjSzRK7xml7QdJkm46RQNRE
HB6H/18aI/DfYyGCtwlp4ovbWtKJ1tNtjcIpmH4OfcbXx4J5eZMpkRwXtwYcPwQjH44iSYLPmjZY
xcFM9EzuYToth4zHlFlbXMdfJlFINNB+n36bck+/8yQGlI22NP1dYua+iJJl7oet32vTIQi6+muh
IT4Ox9lsPHTVmsIbF1i/W83swHS6nZTbuGxoQfWTl/4kYaSik1p7dbAmbBZ8hEDRawkoAnvZLQi0
gj1pyLBNVDtoRoSVhB9p6VT+kCQkaAKkMecnk0SVBJ2Y0xcPQZJPn9FAFk9ZGqfLTgtcWT/YmdTs
J8vWGBqGFM1xd5hAqv9W85p51Vq5zJ+KaXFuZjUSPKtpc/WtidX0qifSyXdYqwNzB5i2vU3WYR6B
vMq+7+bcNcKxd3HCDWsDai+Nxb31KkS9oYfM5aWgB/wLKJ8hD9PijUC0ZMevYgO+59ht+EXUw3so
I4t0qWIna6ENYayaCvFWDL37yhq4uWEOEvoOqJZts+HY5d3gjO6nMW507KXSCa4ZjAtn43Z2Vh7a
WI7dweL0p7akK/b6tq0DjVimrEeaWGSdvLXSocD076ZJt0lr0hMjp2NKGbqpcsY7h3iVh5FDvdxk
etXptFTLVTBnueltEYhg2vl15Vq3Nl7En1kbo2JMIHkTJDCWKgtBVXRHv7Q9FLB+WmTbSRv6X71f
Nq/Kgv21pXOrrjjV6ox7SpqWYZw4+VOZxk2PwFwvhtDQ8h5vQ8CPtcfu0B9RwREsRQloPMx141Fn
EU/8GuSmtzxUhe2jQM1I3QsNzi1VOHWUMOw4VQ35lcgeLbRzQ3l8hgLjh2en1Qh1f1R3SvPb75rQ
x/zW0sful1HSTQqXmiyAZ70s8CkNbeV/sZxOdpExlsOvTDOm/NATg1hdmUYTixv+DSuIGq1LvLAz
k/7BZ2qe3fhJN/70BoFPMnGloz4btcqbrehandZrUVrGFd7VNalpmUFeprahzH26+OroJH2WcoGc
CzedFfs+IYdxGx9yZLv3c9+gGU/a3MhCRR1s/YImodK9v5hxvpGNO2yDukPmU6Oj/DWwn6hd7U+w
xUcxofB08tGFtSk88TWwO9R/jDfMbMPzPASRI1zbD03sf8lhqss522u6P3th2+syvemNubJpoFpx
dVXkY7JFsu7E+8LrrM9pIpd6q0gMIlatn6nLgmCZn2E+T3KfTpSRW7JVXVpO1Gng5LTJ8a7KIMiP
WqqN1k6ghPSjZvH8x0wYaCYqZPF3TWDV4rozJPJpazbs/KrPhf8rCSp8ctD0B3dXTlVWR2WSxJL9
1TfbTd70/OpBnVTqGt8UzjUHZ0fyRSIRavFK9jiGKsSNG3emwEOdj67jqgAXQdXeuEZ5FwODjvey
iQkJTOs4zQ45WAxexBH/R0jPEW5zNacIxkyS2eqjazvGeJ3w0CNgrmT84i2J1oamJowe+nRQ/yTv
KMc84lAKOh67zfVowoHux4IXIM9jOHkFbg+yNGm1Yq3V+2LbBQJvRYdqeEHovFDSFRLEemiTE02W
qNfz0G/cdBr09aHOSjr7Qmwr2090fOi1ZzziX8o7/Ggl1lQ9UGCxZifJb/JpmfzNtHT5g1ubdXtT
lqbadOC0SnJsasX72zXLpF4c1f+PsjNbjhPZougXEcE8vELNJVmyZUm2XwjbbTOPCWTC1/dCT1bJ
oQr3vY64cbujKSDJ4Zy91w7EhrYXv8BbnOqxrsjc/Ky3RiwjDGcDH4CJNXEne60hS9kSqXHkdD8a
RaiadlB3Jq6e4mg6cxWEooF8wASetrtkmHqZhGjskX+s0Ed22Z4JQR68TCyeG79XPZUOf0o2xlTm
za4kUjnYim7UPhYU161vfsq/OWwxKcURxk1X27Sg87T7obUNtgbMXO3G71su241m1dzCwRVsU6pS
+9Q1i/zs90GJRKAbhwKCLEBGrR+Yv302p8CdtKFubugtmcXRtieU8EbQ8OYaQ87jB/iOXhAhAmjl
rS0qtjMUGnPtnp01Wy8n6WrvgXwZ7StWaiv+tsiu/zCAjB/2mgCbdsWW+LeqAr0l6lCUjzkBXxQw
nIJazDgk9hHd8GmZEGKZCGWjeNTsnV7Nv1ej7P79QsZLUeTy6AuUP6A8DgoV38Xrk7YEg9IRs2cd
6VB4+Y2FF9PaVGzgPaxEM3p7M/WBwhlp35mnOGUaCls5mYfC0XpzR5IVSF6XPckjmpAk3SZM4V5I
PTf7jy4Db8E1kvRG7xHMbcB2uJ/tYLTrG1j4xk8KbPXOnNM5vfWcgpc30PnUNuM0AqgSGofNT62X
Z+bZVLJSABbAom9nu5x4GKLIo1Jv6jtfTkyKoUY6nPpWtNgcwmbx7d80W2L7aFSp/6iD2Jtvmk45
z+4AqiOsWUJ+40TjEBi4sZbtBnvRSk5fPlITRaeii2pTEO8yQ5PHDdCUOKgGuEn+nmTGdjhlHkl3
R3BO+rCjPLScZ1ea9c4gB9DYprNbPM6BP6aPrRbP1YYjIYBEe8RPzeowxFe6DW9KtYBx8ASheqC1
QankYtRQUxMSZF560oLa/iSFtdwUVWbSGl9KRZk68X6ikOz3qRo/vz943lZpcMygP6IihU4Hycnr
sZNwsifVrMlPweCefK+Kf0HvXyVvMrtmX35TggJhi+dp1ZghRbAvdVVkFykd/4d7VBltv3ng2wMo
O0dtX2EYiMsrz/QvlXiuR/WSphgKX7Sgr2+NVn1LLyB2jm4bZAczW/J7bZEka5e9Oz+ZPflLnvK6
s5mNpIpOsccecJxa+6Tj4f/1/mN+84LR0xBiwUsGjI/W66IrwLbQDIYaLR1ZkNOhb0cT9wIRaShI
ESVWzPrfxGj+yNM49q7UG/92aXgYvF+IEA5a89ePwWiThnah7h6tZN3XcXzZsVXodwF9EraqcT1+
8XhMZ6/Qpt37d/23V0AbAFIy0TsIRV8Scv4olls2uo/Km90jLRFoeXVneSFTQ7wSCLQxoi5CkrGk
vGKExkCubgijERzuwKr5Ad5xqa7Mzn8ZgsAg+c/KaqSZeDHaLctrpwR2zHFeJrFvZR10G01p+mlU
ZZtRScvVNXPaXx7/yp8EfoXOmsL2RVNWBLD6i0Y6R1Dg5gYQQ7KXDpBgvCTpyTRmtRc98VHWYlef
3n/6f1mK0MUh5+Tbtmzm69cvXsD4KgpFpyIYBn9Xxkn+ncrrRMx6oB1HMknXgIyl+vfhRued1vv6
6fHRrc/jz1duVnGy1s8IMYGk8L0sAyvdTSZmNWl6stlQTkkiGzsXFOJ5Ca4pZP72uNfOE38ZgHsv
Lz9rahk8wKPHoMD0V8NeO/tqlvedHLw6Emkf/0yyRhxqdvHVlYX4bQkaTBTCDkQxaPbQAr2+9Rq7
X0mBwz0WI5WGMO+YlCIO6uSqBkLWeZij946UyYnJzSb3Fp50+c/9E75kzAU0rDGLB5dzXjNOViBS
3zmCKDRR63bJEbnQTeHVyxUFzdtve4U9EXUAuRUIrXlJTBSehBS5MK+M1HSnnVXDL2aF9CmcVald
djdTVWLX6Qlj83ZBV+Tdx4Bae7pDNe7fyMmYrrXm3oQFEgIZEGCJs3bV1TDpv34BLuhbg8xJ/5i2
nbM3ezbxoc2uf++WwXJWKJpy0pXVcu+V3VCeR52QgrNdY684V2AtNnCsqVgURtZvtUogn//HD5L2
PoOS6Z/5EL38Rasy8AVLsD/mp7KdqMe6ObZrzgIbI/HMX4vdbCcwZf2Vi775ILgobUO8Pugz0K5e
TP+LsAX9h6I4OZWhpWHvJuaH3iu6c5ok5XIUZWaM1FDmPD0kOk7Bf50OuDztH3hjBhGm5GK8fiWO
3pmsuTZJVRLP61AjHQ8FjTfKS6XRHXI8lQhGMC3gtHOnh/cf+Nt7x/f9shmHEoJ292JjzJuX5kIn
+hgnPeEzZgsnyYSDFiUikSdMkM2xdwfZRZ0+6r/fv/abPFUWPdhzsNXYeSN8upwNLI5Fc1vN2VGf
6/mRLO++3uvGoDh55bSrkTMG7Y2qO9QlIq2G+EmahJts2nGqLAoJ5DZv7KGZ6iRaiGUsvxu+as0z
uVGJvi+q3jq4Y6G+vP+j36yP62qxqqbo262WoIsPqK2lRu3Pbtky4eClSPFlJnZlZzr9f5MK7GuJ
j283n1zO4flweuHPpW7KmBTt2c5tj2UC5N6msPp7gG+xG2pD5OH7t/ZmNVxvjU7SSplYmZ8Xt6Y3
pM2pBilvYiOYLEY0W9gkLZfkR0Nl2XbqRfKhjit5pc38dp7kiaIjovGKTJQZ/2JVWEkLzIyTceyD
alInqqrmdrDq6TZj6/W1Szm29gD3MUgHZRWHeaOJX30zUXBG25D8q/AHtx/6MFgmVP2BVV48hXbW
KLQMnXU0QNQ8436Vd7aVWMGxCuyp/jf3pg6CDmEzgwlrI1rVyzsnmEM6dYMUh+IWSkdCuHvjkDHw
/KNmIlkgqqPHXD5jOS2vYIXfDGSfWRZcM/ZNvEn8gtfTzorRzWoOucfFVaUZmnw7t1ZNb6oxpzu3
9W7fH1xvBvJ6OSQLBkHEHOEu97kJKcCKmtp07DF9b9phzu8xMOZ7Jctr+6s345hL0U5HtIpSAgnX
xX7SsfG4Z0s9Hc1Mz/eVbcbbHNhYVCWUOknlMT9URjL885tcFY7089fniUl1/VF/bOqQgngDguTp
GIy19Ddp7ZZTNJWYoUIal3Z5SJau+5V3lSqP7z/ZN1M4anVmT9CGq4KUvc3rK7dUazzgicsRCVn8
bC+J+ZFyrelsrXjSxWnOPLLZiOQC2AELCrbD+5d/+7RfdFwcj8Hkghe8WL7Gquo1Tif2kdTDAIO9
7qVhaZfNaZCFuS1E9aszoMu9f9G3owmV40qEYffssI27mDEyVWj5zFp6bLK2OJWGM1kRQXdeH2nU
l+LD+1d786kQbY5BB/b2ajh7Y8mUQUpDwPD6c9u1soLY0NLBSpKU/qFby19UdnnC/3xJjL+rQg/l
LKrZi+GU1UQ8+aUczkj0DDqdsqT3VuZsENC1q+TUJt1w5S7XZ/aqRhZQLYKwgzdhtZRfbg2JJalj
BtJ41sk1N/bpAAb32A40DH+9f29vEkQpFiGYYsLDTcIFL3d5Pa1/N89x/UPkadpjpgm3jjJKt9l/
iVDug+8INQfRomQGwANbzVed8Vvd0k/J7+nSyuxnU3vSDYkX967psd++bG+d+zmdcSYl1N56/TnB
foDTloz6ua0oToYmBujQREfw0ScR7VCJ+UoR5s3ni8YeldPKzDcQ51xyq8hEBJCrApq3pVLeSXiL
/YEQt9/KMNJ9ErvG+DHvLP2QTzLfv/8i3nxFgbeWPVYV6IvMf/37f8xZCLCdoSLv7Eye5eSOYWVZ
CJQdFbvVDXFm6ZV99tsBtt4qcloKXAi7Lk/by2ARURfXzdnym95+0rxGL3dViX3lykh++0g5WVvk
JNFrw7h+iQvAJEVf1tXac8mOJpu3oN+mlTM9Fs+VM/vqqCG86uE8a9X0043t5uv7z/Xy+sRIrMAC
THAIytAtr0Psj+c6ZYnesxSmZ9i61VerMG2iHB2Q8OZK7Ij7Jv+O73nZ29pUJpv3r305Hb9ce60u
sP6t5sKLE1ShOo3wEa7dsLqGWQ9EkhYIHUWvXb4MsqqfVNqr5/cvevnNrBdlBHOoRE7MMeJixeVj
z/257LNzFvPZhxmapk+27EiBGhRpnjn99eTKBHlJaGCdXSEBpLNiYmDhvcStInk0SVhZ8jO5qekW
zE98BO483FteNmxc5ZYHePhtNJLSbET9gGDNw1F15Wn/5U2vtQRk8GRhMrIvJoscXUsn6Fad8a1b
zwF9ujsN+PDZn2wEak6cq1PgaXLjQGC58jW9LKx/ztfrA+AgghiUzQ6mlYt1X6DgMQCV5eeUbiLZ
BnSAMZgnNLPCmmSfx75Ez0XvrSd5d2mX5YhfUYujItFonA9yIiyrN+fdOKOuQq9vbcAwuYcWwfaZ
VkL+fRLpVQT3Syn14kfj+uejYGiyW7k8a481B063r5dTL4P8g6tA4240iXQ1hKIHDSkbaqDNZB3m
EbKWUt3neZL8FqO1BhzkBRjbngXlc2124heyLvloqSwpD1puulpouiwWNwGqxewrfpZS7eKgyeKb
ykqItZ9oNt+gt6mSp7Sz018q04tg69WufAKEPU27eDb7w0w7F9V3m2i/0zZWBtQJixYRnZq87e5o
UIw3eBH7pQ6p3tX5RohxFJ9nevTFTnVdC+4TboNu7rEW2AZvQneq71XTGVtmVS391i3dLD40ZjB2
jEqkMBFJtNb9qCCbPDaDk4hQm40xGbaVJRz9YFt18ysFcnxnpMv4rVaGW5NiZk6PCe0niEdLpn4P
0mg1FJ190R0L1+KkGDDlTaFtD9lZ62LH3o6lJ3dN7FBpWkhg2plW6senIOiJSVWlQdADwpqp/Nwg
esnvemPQ5cECC/EBh84qS/BGQBTSWQbQuw2dngg0lqdts74rqtu+LOKjDW9QhUHuduPH2e2UERkN
HW12g8jhgIsJkWw6jzx3INjUAzaZXslHOcRVfYf5J2mipl4Sstr9yT3P2FfjyBlHisJBtgzHohXN
EM4NnKSBUNcphInkf8P6SqqsaXaq2OR0PMdNQjrtV+Cbth7mcqCx53ip+jECPh/DDOnYL19Cpvgw
FRax9kNpmp+Cce451pLYOd+2zBN4saeu8qJiUehUqnmwzi4RrtB2db8X24wewTecmeKjTJdiTS/2
ZrFfksxLI3r4KYCj0Qp2ngS4tzdimyGC9H4GzuSLYkf7H+oZOFrTjIhi9vVdZy19dZBVpydbdjak
xBl1N/w3zUn3U9dbJ99O9OTLe9uL2+Jm8WPb2GuT0xm3QdxZ1GVG139aRmdpj8GE1MXxHDl+zJbS
Mm6oIpY/PZWOeghsgs7JPp9awVjjQPjgJwRQ/ho7lbTndggGNIGjVX1D3uEnv1E9pMVHR1ae+u3Q
6Su2NV7BGBYZ8cUHK+laQqPHokagQHVqLzl5cEpV1nw/WnmVbW2rS4bjHKgENlWyoBKt+AbaDehb
ITZxrIhxEw2z5FHZE2V2VAe68YkPV7MeYlUi3/CmFCB+aUn7J+1YWW6SaVU8FVltm+EylsPwiBDK
fPZTpr17IfNhK5pSNz5n6YjWLDZgFG9mVMjul3yOJUdpApjcgFSFxf7PcHlIBBXbeh95xVJ9XLl7
j1WZpMVmTHXnkVKcKh5BBevlY217SoQllU9xbJIM1OaUaGWvQZhupIFjBi3ctCnkEtTfma7Fd/qE
y7fayPX/dMIEMjK/kd58G0QBalfvhb+HARwYm8KKu2kfGzIekSaQCLtRDgpsTAsT/6AdDEl/MgS1
mBCgkv4JUPdaHlSDcyP1CtsaWV1g8sl/ietz1ytriewpIdp3EZYR5Z6Oqxd353inREdpu9P7pfqq
0UlBCEqSId+HM3VDxPfQtzf0UONxq3ckYkW6cqm9mUOansjTYzWxWBi+4+9tkxAVvjuEkMWCszHa
qt8ujfScXVy3ToPsWBZq2+RL/EVks+wjCpuioW0VNF8mLKtdBJi2/zIHLR9tzHn22cqS4Gs+gpG6
9UwirfUUft9J6+N4HzS2pkdTIsbqQMUI4FFYUsQ9tYuZFXsUpuxuqpYwGBXlJAsg+YSm/slI69k+
NaSepkcT6O6xc5ax+djSwm7NEGZdamyQUma3gV2M82lkYT9pVNuNDQDM2t2umvinoESPuWGrBkQs
FobUmJEb62taQcbZtwFq6D0nttzb+IhT9ChVazyIawhYOuGMpgOAdDDVzUNQsbw921lp1vftKDxx
IlQNmVDemm2FZ3futUOTtsmvWDgGtmDm7cneDpVhqw3AUuTHM1JIwjLpw/tfgsQMnkmnzZZIn6vK
IzAdWMYGGa5LgHyCgP6InN2Xhyy1SYVCpj2gn8pHaj938zDEzQeRu5M8U/pa0FBXKDOQYzVZLYav
Uk/b7CjBGNyUflAUN9XUq1MFflT/NAXKPnFeguZHbJg2bmZ3aA1201N3tAzg7hvO92Z1bKdpyCNJ
RGmwcTi3PCjyzh5t0I72oW9mL32O2ZLK+1VM9pUJpPkxWKl2u2B+LU/pjIv6i0OVQ25TaIE6nH6t
MjY+cLriM+otozuNPmC8juS4bKvnTmJ85+igAQQ1u+ZmdcUccbiTuFmVbgM1zxWt6aABwncqcD9m
S7tXY7u0fMnKLoabBdSd92EZatn/Gt3U+5WWTdPsqILZw0GHHfcfMFn0wIA5XFQGsZ3TCjZoADeb
VUeBqImTxX5xqr7/QaVUthvXL+1fQcNPiYIZ7t4Ojbhhb5SbOMbPNnWN+iZYQCSju0eUXT7D9Wvz
IzmSRvo7HmPThiQZ18+qxPZ2SDIgBJFfVtMBCKbtHy0tc55Kg9rkuK1mnZoAFeD07DmzcrZ93WvW
Yda8zsbsbpvlmXB7+T3zsmnY5I6ma+e0AytwtkevTCKCsmzvJp58fZ/hVy13TQ2091FXerCfaesA
3dKJI9pB+mjqHwnzRBLVTUfUl+fBZIgUmhJ3X7KeGrv1dbrQguIgC8UAEL+xkcnhtaDq9YEZKsk2
epI023QiHeG4RhwV4JhTAbegNTS9xVPuV0+alaPKbLXRjndVbbHgdx2IM1Q1ptyYWW2me28BUbhj
jzghSARxmIeTAe7wtp7RSkeaTPpxayRlMm7cYXCeVSDnJGr5kQ0c0c7Lt7IJyh8dYhds3MGEcHHI
Sm/n2+nENsZvYnZoQYdq19KCRzOZPfHDy5tMK9hT6+Nvr/GQijVDjj1x0jPqh1Nq+vltby+GOYRu
teS3Rd2WznH2/GxTxlXmbLVFWbAtrdqdQ0N6wonqtrXiLVvgGfWbV7g2ylPNy74RzF2y102luiso
oZKDgCxy3GS1P/kfqMeI9K7yahCNM5zEfUVYO1s6OlrBXhuEVyOdbJIZ6VxH0CQOnTYowAuFKDm9
e/w8RXvbZ1RMPlFByp9Apy31QQU98FJ2GGa3kaDlvmjNhMYdYGNZmdFEy7w9wHsl3qvPSkfb4kdD
vd85yNSm2lFTJEEeqNBHJtbWYdmlmvxpZk0iQ69tLHvL4Eak5pvVTGGSWnbEhFO534rCLvotAQqy
YKaitLdRpgfuosvIoE8GTSRRJy1xm1mucD94LR60INSRC7fnhshsePwauuAoZV9GkLmWG6itSxv0
tC79oL5Fad72FF5jrcujhs1xdSOBzeeM2VJDZIHUet1xU+T/SCzF6LB5tDvNWzW/oFNyt6pmRNS9
+Kz62ik2RgPOZpt5LvkdliIBzV1ybf4pFwh8G2wp8tjpRY/aDohHcJvE5YJl3WIlMO/bQIqPi56M
xQ32iqDHWiCCPqlxEoHkuFkqI/3mak7aH+MxmJm3qIyYnzR/KIC2WuveEyeqSLYCHEwKg8svNS8M
GpCS9IKW1Nqxoo4QZnN6IptBlHWyqRNZgpoHYnWbEsT2AyF+S3t9CLx0rxXldMisQLWwsouiCAdk
OPqNXKRmRWj9s35jUJyqdlXGfi0igSz+zKWJTh26eWlOWde7cs8g6hzsS7nSo1gEVnE3l2LR9o4w
KiqGbdpFJhC14MM0ZmyX7DStjadqWTWj5VynxSmNeyAAqhiF2CKwbQ9uUmb6FiwWBzwDVTCJEgXi
y43TNDqdZlpBWpyFThd0DTNZF9TRpOVexVZkKOQPX2NDEpaD76htEgSlvsFc5rShg3FtPrIfMYfD
shqqly5wezCBmhejgKWXSMrSSrtbj4ykgWYYD5zCKPzbOkjsZctTxp+ckuY3hUO7uJ8r12T3ufpQ
krOYK9HhNnLxNo2DwvZTVipjsmqSrSz9Jf0M4TXeBezyk3ozyqB/8mJzyk+d3WSfjWz25m05440d
wiHH8B6a7Zg3W5XVwE+nfuzLg5g6/v+1LuyfKTRpFZudHlk/4trRgUquCtTvVeY6X+NlRucZm4vm
b9GGsnMmSaRVgJKHZYCazbphRGnBHNGEGUEixY3KXE/caq7Z3PqmqsxDIgiI40vG00l0OThcGcpU
6by3ai6iaerjL66P/Cd08Z9tIOQ4PEnUJV3USlV7pwRInLcFgzx9m0d74B4sU4ktO5CYp4/g2n0i
wbtFH+vKqTixpPtbKOdLvQEkFvzqmUGKGBWEO/Q/h6LJv3agbtVTVTZY8vQYj2EtM+snPpBuvvUE
ata9NOrkG5SMaT7pxBbNhNc0xfBRxP1wquzeaDaprCx5KAbT3Bkt/A3UwmmXnarGS0hOmYulzvfT
EqTOJiFakIXMyka0EFQDNf8zSShTf5Kcv753S2L8bjN4OmHpE/a4t0berWIhq7aBcvRlU48WoQZh
a2Vdl4btIrABsT9HBmkKfH5hgtz7o2GqQt8hCC2XU02Fedh5S9OqDYcaR0ZoQZrHueoQjaKtcAM8
lF3BTKo7i/3sEb+utvMUG+3WQHhubDorM6ORhnz1DJh+CXYVMbrug4l2WTx22tC5m2wh1GeTLE5q
72Yv873QzpzFjyCaG8u3WLhKfWARlsOGmbtyjhPFaU6+jo7CrIP8rZgwc89Ej7OUxcke+Pl4RZjF
kijJqRXviSR2BdxktN3hgs4ktUMCMKsaNGdiSDaJ7jJsOejoTchG0Ja3Y9GLj/hERL533dp09qvP
4CRdBFehUVbYdpx8Mbr9YoDARPVBdMltwcfzvc+YKDZWEOf+Lu+mfMZE0GVFto2ttFIfArcbvCcW
WsN7BBfPdj9EUNR/N2JH5PcdZmHjxhfUXCOSqLvlFuOTgf57nit9a3ld8IOZlXWsblTaErrNbjLU
uxmpdi9wxWzLUeuyncoT/Vkg2dSjfkwRUMfkwKN2nWXyy03yQecc52pDEtpGFmv1lSrj25qu5dhQ
OukT+PwPf61C/lFP7o2lYIzp/dkAHDXd5a6RMFn6JZp+/JTtvveoR3yqGLn/GClCkRWVAyhfB1k0
+qVLT71r5cLPi6Y8W41e7wDTMxFpGh7Q0MvyYS+AhU8nSEGuda28u7afXxcK6eBCPUASQJMvMC6q
mwOM5jIxuTKqELZwnLRLjbpXa9ITTxIdR5ZX/UhUgYHDhOIQur3pRiNFlv+MKamuNK/fKBRo/lk0
AZHNoYykjXvRKRGecqTtaMW58pFfsNwvy4mSYdlQBWnbxw798XCei56mFc6Pb7mXUhJAvoKNzsCF
8X61/U3RmcmD/7IzZ8/lGJfpG5qayzQwh+Qmm5zyySyX/CgMQAvMYiXmn6IFLjl4GCtgxm/fv/Sb
Qr+FRgqVJp1JuHv+Jbm14wMdbVQoJ4/s1S/m2Mc7zbZwftjWdMZ8eS2q/s2tMvBB7KFHIRMDq9ZF
N4MMrWSprbk4ybRrolRK584BjX+78BsZAmstSg7PfIzptTf+5pvjyiuPZc3tw+N7yWRRLgfj3g7K
k1Ao2rfF7Pf5R8sZZ4UDExlDC4aeiRubTxv5qaoJVJvZ4ey8GmrKrPf4g9x5nINtX0x18JxrSl/2
BbOTvbOsvuQAGWMu+teuCN1i3ozHxoBeDJqSl67JH1NFraoKrUmRP4pELFsbC2sV2qlgbseOxSLf
4u29oRTTIqNpC0UgARFYzOyuCK4MlYsH+PJLaJqvlhFELvya15PWeiQmDkHljxY8wmKTgu3by2xJ
90a79F+Caba24EmviVtf5oU/5g0uiwYDAhp5ZXwi3qUaQgz9MmXKKx+LOmvvYFMU+O/1yjr2slny
MF4d+WGaTl0b2iyU+95H6uITC0f5tsXjCaOK8Jj3v5o3IWr8KKrk4MSZROG9XDbl8jgwpJ4wUbRV
nQ4hVuFx4wlrxHwn4MCEaTd6bAZx9SSbtp77jmpxbuLeLRvts6+6/L+Oyf1nhcunDq0U4WRklum4
F7KUV2RBl815HqC3ssZ5gJTNTPdFtPfHCGLf4YilS+cHvoyuZicITYvUMryXIQlhQoa0N8HWof00
SFbjEKhFpBuWv+1Jq77wbsR8ntumeRpzw/zXXJj1txEVijKU+dg37LXD/Oq3ocezxkA9sM8VZ7TZ
wSdTOJkednVbHR2e6DVN3MWE9/I00IGx8DIFufz1+oq1HYip1kb1UGYx1qxiTOObgEMNbAFKZ1nY
Kqu8Boj8+zV9e5WGoUC7jAEei6kyJ0+ph4zC5yfP9ecvBdatZ2Mu8g0fvf37/eF5Mcm+3CMqQt43
HXOXxf71Pa7xVgPvUT3Yi4P5vhYNyttyfjRbT+uAgmvs8+JA3HMCbK9IpP92aeQNa0sQiBi86teX
dhXAC/aF8wM8d3EYfc1ZeVTOz6bVxa4YHfuoT4n/WNX28Pj+Ta839XqeWDGfNvnDNGJWUc/FlSsD
ebvgyqzlxUeYAl1PzhAFVS0xrSvasL9ci348HjMI8ja6ynWq/GPYJm0XzJU9Lw/FaIgvhvKH80rA
GgFDwOq90hf+y+jhYkhq6TUARLpE3NG+mwqUxvMDEV1kAgzsfQ0SPscRVbE+gucoOgBq7z/Mv14T
L0GARMrjz/r3/7hBOUxaoDhwPjB5/ASlJVkThR1ou6bobbBIg2iHK3vivz1TB+wXWnYLCpJ78UwN
ykUWVGFuE9DmQ2s2d7UorKdynn+8f29v1zG+ij8utA7hP+4N2+UqBF7mB6bn1bafkzLcg+vpx8p7
jMk5OuCldH6+f9E3DxR5CNt9pJKYNFZZ3euLOl25+GXmqc9On3HaDlJJBSUuAqfbZQ3SHGBBODWv
vMUXe9mf3wT4LNR069RvrBqoSzWD6NrFKD2vfUQGbLXhsEA436qgZPeQtXl133Qg4I+JmZuHLqXf
sfOXztCPtWmOwT5JLdGdFuPZc9v+OUkX797uarHDcL7cdNKMusGJSm/C0wtVJx2jSrmzvp87q9A4
vjuwvSkWBxBmSEhKHxI7VochTro+clNRu2HS5kBYkNxY91aS0ucg1bN/mjIQGCS0z/JLHqRW/B+V
i2T5Xueq/a+ZZv9GmRNOd3IvU4E92vSLKw/t8mjAeYzTCfYh9FvMoCjGXr8qu528eEah/dhzPsCx
k+Q4uMxhVvHe6HFyoSVw6JrkFCt+0MGj1l060gOv41Cb6ueaXMh/GztMa9Rb3JWUbiMaf5P62bap
8Px4eDRqGdgoKhoCZ+NaIy2FY0uxqUQvr3yMb3Zd6zXR/6zHJARA6FFeP4SEansnm2Z6lLUxyjDj
dD1GOVyMmhrRIu2tZxTTfwFpzH7U+UK/TQIpFZyMySbh11iaHoESIanVlWdxOUusv8tBzM5HxFSP
2vD171Itlgorlu2jN0zVbbKM8QE1UbKsCxp1hH9+8BhTA1ZREuRw9F0sZhQGXFI9KcHYTmr9iOPR
/2knlkw29EUk/ADPl9WV0Xc5OXF/aPdW/Q8HQSgG5uv7E9aAKsHrxketov/bB3X3hAZP3wlRyp89
M2JzLoHJyCsmwXXOezVRoKpbT8Fc3X1JAXp92QpyIU02W/tsATcVe3NwvTtr9MVXw8uhplVM+kxX
tdec8yVvrr3Ul9P268szsJFKUrZDa+1dCgn7GMIBJXPvM0gleh6O8kv1dcmT2dk4vesNj8Ii9suv
pMOQa+JH37A05zDPKeAj0x6K71ViZcFe2syye3q44sGfc1AthSkMsV3siXDYYZZ2vaHDYubkX/S1
y8l+9PuDHXdKk5wd8KupPcnTGUprslyh4hiFIceNailqwDrQg0d/XgXoS1z3eHkSI99q9pQW+6Jh
JKDsH7txK5PYJNm+zLThVqk0kHe0EoJfHOP89pfM59l+mEniaD860A647tTPuIJDHdR7f+vGeuD/
94+DmPGLOMtF+Iqijw3E61eb6aPX+UsSfAY/AYzCgznzmRC86tyaWetuSb9orqFd3wxi8njRGzOc
OLZyqrhYylEJNBArqICqOuuQOOSpfTfMdUmjM3GTFedDO+STkRhNvHv/Zv96Zb5VihrUtsxL4y8k
kIUi9VQ/supJvhRKkfpgjndebegAn2cyDMr4unRxnQj+HL8ORg/E6fBJ0HiD0b+YKDySxyyf1W/t
g0Ah7oXhPEO+8IJTR9yEt6MWJyciSRdyGHNNP5M9ojXRCPskPZES5WanwG8omOpTNnyvaElf21xd
PheqXC8ebCYXy+LXXqxpcZrrjUUy3eNYuL0doqJpv0OD7JttPNvqu3Lm+KHD/K9t3n8fl9P1y3Vx
2q92Bk7vl56UtJ9QrKg6edKcuEWE0wBp6Cf/Yzalzfb9S13qR0kT4x5XJTqLFq7zy4DmWRqICwxN
e+xVK86DGNrvU0yUnpaZRtQaXWZtK78KnEgQLZ8fORu4x8HxRHBlv345l66/YzU9WyY+INbsi9Ff
2LTtSUuOH+dJ+dZhISzxSymqmgaqBHVjrwqgqE7GxbypMpbKf1y0WKtM7v8lKAi36gs08o/t7WL4
Revh+nxS/3N2HjtuI+0aviICzGFLZanb7Xa3JdsbwvbvYc6ZV3+e8sqiBBF9gNmMPZgSK37hDZ4s
R5AoUPrpcq+/RPSrYeXSfluY+dsPFiNycfMcU6mZ1xB9lbtHQu3qjOJTe9Rjo1j3ad9/ShMI726l
8TrLvjnmUCHNevd41cXGvTp5fC2wS0WF6ggNeV5VDsHN9A2mq+fST+SdXPfyU560HiiAJjIAZ/Xd
pok04wULxGpDQTxbWOzbDf6XHKQTYpMMgry/vl3jYPRsQJ/x2e/G/iQpubUzQKtv4laXlp7Je/PM
3hbJEVEgEg/XY9UWPRJPCZPzMBXZtguM9Htt6b0rQSnbwbabvlNvxaK+SeKlHPT2/hBq9ib8SCHX
AUHneui27CV6z058ticTiH/lRG9y0JabEkjMcaqd8uJJNGEer+08Z2InU7MFUmPhqCO4kteDDkNK
r6amIo5sFhRaYEsoAIcKAgurMIziwQVXpSxxGu58qUjs6Ywj4kCUOatySgrCUlWYp2eAfuaxaafm
nZ01Ec1inkDKo5nfmknyP76NUNBxmFiqNRjezu7nqHG8qdWm7Ay84kh3z9dWPdWVjdp7SFw9ntY7
R4byDFrVlNaEWsF8y04cVuRy03Pued2P1BucjaIjYINdcnFAvFs9FdSlvmOQpTzD2l5a1fvDgzT6
S9Gmjny9qky+j0aOyaq2QzqchrayMxf+CFXctM2tL+UIST5QPFqEAQnrusRyw1y4I+8tMmUN1Kxl
OHbg7a9/QxMOVKu9ODt7EAjP/Bf1OrbQS20GGTlTJxp9d5Dy+oO1MbGfUSoiyDXxe2eLXY9apKFT
9UWYnafR9PemM8jmBo3repcXtemvhrwpV3LmQNMpSbAeL/q9s0TqJIj4QHCIBGdjG1IUc1izszUC
0lr1YGyBl9TDHw+9qWSTT4jxLuzpm0SaOiTNHoujSxFC0Eiuxww6cOVWqEWXQlLHltJyBT007Jtg
0xio4ABVTEAP+or0aeiIFHYE0MbRqqCSAS2So2Qhx7kNEMTvgRJN2ogSChTk69+jGgHuu00QXkbP
18A35n3n7ZAFpjLi6AUwzIA8aNg4cRFaG3loomJdYaPbrkKqYfbCgtwcA25RxNRFoKKKfspsckY5
9OxO1XzixKj5PQJjeAp6bF53bTQgkNLUMrYoGdgnY9WaahQdMgtAyONNcfc3UA2WSXrw8pgvkDZi
jU6nPrxUtTGte/bOXirC5Gccdz97ebK+hlqK7GnmBdPKL+Ng4X6/OYVMAR0tnm3OBG3P2XuW90Wf
G8gbXjLZtzaclzKiIexV665pnO8KffondNPChZD0prQBk4tekogZ0IWlFzm7gHI8R6c6qqQzwnvx
OseKXl6FBWlcojrh11QfLLSNy1GgYJonHZzBvhlj7EJ9uX/p2ZgLteR7i0BPXJTq+UW8ONe7ciAh
gT5j+RdtQB/EDTKYFMOYTzLyIpHsauloPfleXO3z0c7XnNtpYRfchBXMh+hNiDYR+eE8+VYMwb01
J3SAzdB/B7rjnIUk11Ni6clXU9JNJHzCMvk9THF/frwBb24lhsaN1uRYkgLR5bz+diC7eD8b7ABl
qPM9Ekg1K1FSTCrD8Wh0hb17PN6dHUc6Ss+KmqhNt1v8nn9iY20KlQ5YR3ghwurfWjlpSMVUeWWG
hryeDE//HPjshseD3vlI9rYO7pDskNqGmP9/Bo3tGBnrXo0uDkq/L9C9uVZKxUTPvMajWlqiZN37
RlyP0AFgbnlmxN//M9xIamBCJYvpUPs2gqLStFKpOkAGDRDXNH1gwJqaOAuXq8H/9SoOhx7JWy7a
6/ig3bzqUtFDRR/s+JJpWLrJWYCeWjvJEGZi6i2PJ/TeFzqWCESBLShEiNdfqLc1VypUgXNn4ak+
UKx+K5QR/e8psgDaGTFJrRy8Ph70zilRVcQ06A0gQUAT/HrQKTAlTe5S6Sy1klO4vhPFF63PrLWf
GN2aaF3rVhmAz5MVmdbCCb3zkhKLUoU1QYhQnJ439FB1kNXIML2zn+PR56rwbCrITpUaoO2seMBO
TQwTE/TWkcf1smZV4BtKGRbStRs3Sb97PBc3i02JnJ48+S2LICL067kICBzHArD/GQVw+WCOBlDP
sO5ke500AA8Wlvvm/IjR2FckIGJfz80jKlX147qVg7Mthc7G61J5V3rxsc2QiEGBe3TeHn/d0niz
l9lTy6EZ4EqeWz8O/0yWVweuVXZ9ioiv+StM/Eb9f3whQmlkkoBiiExme0tOowKxHj04h2Xx05da
CEmNFb/XYNT4wCz89vEPFL09AxAY5f15p42mcBRRbozOclOHX4CApsfU8qut5NE1XxEQ2tHh8Yi3
G4b0UaEwJnxEsZmd3fOh6feU4YrobMotPhNOpwBElCl9dEUqL83mzfUARZzEkemEwKvI8xqgjZaj
Qs01OtsRd50Evt87Zp3VFOuhSsdpbVuedlACENbbx195u3EYWDTfqUlwVcwVUZRRjY3aNMJzMAAl
W42Fk0hrSQ9jZQMQv/4KtwxS3+Mxb64l8bG0E3FW54CA0b0+ivAWkA312vjcNE3+1QthxIAXdpxP
ljTY796UjP/ztCrFpSAJ4iXfqduImioXHVsKrZCOiB1m65o3YahLsRafCW68H2llo5+dBpq/k1LP
+IUIYIiiRjmocLgDcvd6rIcNzIHyw/cRP8NEqVsE9uAlZoGkhxFlCh0rOtOYmrpNFRmxv5HjfqRJ
J1nvj2f8Jl4T30y8KiJIxMXm2wuG9Vg7hRRDcZERHHayof5VjdRtbd7LbehQMnDB6RU/sswH6A5V
Iz4//gV39hm589+AXYiYzguMaRhMdjxRc0J+oFVfi6kIdrFPa2iFHYK/lackUT4apIpyJk8QjXHO
1U3bTaGpMUiaEZ+nsq3qdek71K9Nu8jfJFhpe3i0zm8YNk27i1rNb3gNvGABx3TnWNPMppYIVAjp
2HmYmmAlIRn4IZzBZtqSWyhW8txVUvdbpqzsbGhG9PYFYmm+cKpF7f4qsuHTbe5k3l7Qg3RRrk8Y
HE8CuMpLzqkeRfUmyjp13AOaTBdW9c730XIlM6EcgejCfF+ZLbD6NPWzsxPW2jejsaH/QUxf1RCG
3pkO/2WAdrzw8twmQyDr2Mekf3joUHqaPXalMuDa40XpGVfewf8Ze3qR7NALbSlASZr/RihZ6WuZ
Z739Jbc6ogsKom4VdNyuPSCr3kwbqeyjpaTozoOBSg5UCfqh5EbzaAtNcMVHCiw9K1oZBJsCSpFL
W8TuTmh+V8NChH5nNFSAEbBm+mFGzJuuuQ7UoS1YUWhsbfkK2hwpS2qeVvw/AxpfuHBn3xuO5J9I
Bgg4FMjZnU1PrMrlCkQdvLYOCrlGjrWi3lX/J2FO9v3xZXFn+zJ/7F1wPCg9zC2plLrFMgbjCdgX
hjbtAg/7oKMXZfHXx+Pc/ShNuKchBUGUNttI6DXkEVdDfh6LuPiuOHCb0KKnS54r3cINfOfNQ0GB
+g3mzqidzTcHsqII96A5cTbtqcU1Sim7E7wwZZ9MODpltam8I2sdbZNJaxe05O5cvbwzaOaSuNLf
mfezMpDpWqCN2VkuUxwMdLNi/8eetathsb61TbTkmH3nVuC2E7uE6Jfm/CzUHkbAoVpi5WdL9tUv
2Fcm65osDPGxJH4OvKL0N/SjgHI+Xs1734lwH1gT0ntuJLHa/ySRSlM24aiVxRkZhXKFLUK4KbQ4
X2tjDTIfSendB8djPQGgq7QXAGfzL9fjJSOUpXJMlLNOa/iEI0ANuEWn8w65FzZqDT10qV94s2EZ
RZx1SlAUbegbXg8p6TZldmwnzj7yqdsgGeuXOGiwH0iHGjD14++7jZRoCNK0ARWJID26gLNXJNGa
HJi3op4jZazfrKzsP9s95LVtmgJBQiewMMp9pyhQZBMpwQWrtA6gBZa0sG62k+hLchVQASN+IHS7
/miNtiMaCYp2xtFM3sM5HS54HcE0sLsM10Fjh0NZtOTjeINAJlaiygPXgnaoUAibfXyW9Pnox7p6
xjwquURBh0ogwrCf27FWoVMNQ/lLHjRs6ORmumRFFa0H38KfDF9ErLVLBArGKhj+PF6Smy3Oj6Io
Q4sWR0IqJbMflcdxLcutoZ2lLAl/dXWYeFhZ9I4K6djz030VVoA/Ho95u+cYE6E7RKRAlyFndD39
Dcl6lA+mdi4y2/oZ4cn3qURiAdJYoG4eD3Vz74vPE7wB4PpCTUn8lH9OMOzESTyg+rkber1ZobGS
Jeuql5Ykx+7tKFG75UokONTn1VTfbmW9HH0DN7SkeKKtr//wOyxCal+p/2fg9ZG4raYtPQH3Fg99
UbBQABowD55NpCmNQx7zi85NK8em2xodhMOwRoyF/rr1bWgd9HweT+i9tRPycURn3P03MNyqKWlj
+JV2hoagP0m+pZe7pB8Qxcg7e0l88nb16JjwYUQJXE6Mdr16OWa6UhpH2rkKNVX6ZCGPoW2aqpbN
34+/6uYtJWsCnMEK0qpByXN2CqCjApiZDFyKNRlVYr0R+bgTe/KXgLtsm9nImq97DZYHurVWsrBJ
bzcPo3MvotQvIqG5cTBVwyILWtM4F6GCKLxUoPHVl+Ue4aBq7cO7lFzHHMvt42++3TzXo6rXk5vE
ZZgkqsSo8ti9Bci8HHJIUPAyVOO/CHL0wuN2b46JYrluCdMdhPmux6uQNuixLDTPCLUnm8RWgw2l
xNAtTb9+Ro2kXEUeKs34vrT/jy/lWykOINPKYye22T+XQNT5mOi0k3lGtArbzUSXw1WQTXW1yR0U
3YLRxwLn45MrOlvU6ghvb0rs3WDhrVgl5rlMYn0P9czb6C3+lWsghSb42Ngsfz0e8d4moskoExHS
3ePcXH+kNAJRjPHlOjeFaV+6alDT7RDiubOKfBXGtJLmNHWbGnnhJR7Q/aEZFtSkwv4Xf//P/A58
UWkgbXUGjR/gkORVGBZWdA+rSqkP2DIx82D0l2xmxe12lZJCcKDcIopNCBvju309bDyOdhbhpnhB
x0PeG+j7DMDc8j82LbXGTRLov0CFrTUKJT4ybOZH9zMgQurQgsNnw+icf3XbNTJsY6m4tKGvosJU
NxclVNoNf+atCqS8vyrVqJ2stAoWRr6Zb8F/sMDk0tpgwufQBS0fjBr1vfIS+VGGLIOib8q+y3da
H4YIrxT+MUyTauHRvjPbIJvABqG/CNR23m4oi8KGdFdXl6CCs1PlfvmEDmC1Q/PJ3mDhpGzwsS82
eIGWX/S+kRbO8G3oSPdcdAeFf7Iulv16tYvMN5wMebOLiexGi8yD5PwxQeVOL7I2TvrOIljCK9U0
pJrQJcyyvYTRuXmIsRhduK9v3kB+CisOj0lACIy5tGkxxDoLENcXGFO4nfqThsPkGP6MlN5YqDip
N0+gGIvmArAy6nrAFq8/268i9MlqvbokUVA4K5+w9m3srVbZ4HRXP1VjK/kbglkPgaUoyHBsEmJz
Jc4+lJ+CEGqkPkhRjb1gQumeuw9qCXZJPna1kWR91gJD8rZx3fXHrKkreoCoAmfPaLK2aGjB1rdW
QR5Pb0kNTfSDFxZfRsWFxxaIkfDFvv6yKUF0osEQ4KIilbqecmG6ZjrVOsSw7dC0xSfCumKB/nrz
5jGmDXETqRnOEFfH9ZggIsFhWn5zwWHUWjmtsFEfaCVNExJ4sl18vDQsBhRAfUFZAFI+u6OAFjmV
Z3TNBX0W/VLU9B65+6Wtb8nSkXohWJeuLaONEk1ZugpsrUVRBIvkD081X0wXVPQCHBrN15/dIduR
D3LRXoA1BS/80u9tEvq7Th/SjdxW6t5r1CUs181zj0i5AaaD6xk5a2MO8xn8COrYoLeXpESde5Vz
pIGQGIjKtKOsH3srtXeaipufS8np2+Pv/ctyu34aRLGHVIt/sCwz5uusFjU08y65UJwOvvaxnO7t
oWqtVZn5GWzhsh63WAejg9WkQf80KE71I2gQrJIq9L4Oba200OY6Kf9fj7r7S4RH1bZFumWPbLHv
asXnIN/KkursI2h9u7AF6b0QQNxet3wB+QrYcW547rzrJYtHuatwUUkuRjxG3xuoWU8N8m2qqyON
sZESJVkrLX0FKMGBW06aeng8hXdOCsQXWipUJMCRz0kfTuPVuS/n6aWwteBziZLap0DCNhWDQnSL
/MJaKCmpd/aLii6DxYIhLazOl6xN4gSTeiW70EOvnmrVivdYYHSoW05Th0Ocnr84jh+8l6qVtq7X
jbK0ypBqeo1hrX5KEFt6G6dqaNGG02EbT1Z5plI/rYHeO+vEMJs1eEXplRZm3Lp5nbTxajAmb19p
avqmQRBbWeOEBmmq8byFaak/xXFAIvV4WlUR5c52puj+kf1CRqZFNjuKg+Qg1Vqo6cUBhoxHDbay
2AaYVZ65jVH3P4BKOWjtx4jo0KbT/A3G2XFxELx9bYtVi92s0q4If9VTIX1zpkCvtvDSdMMdCkoe
Aiczhm7CMTuC1kErylID87lQk0xaPf6SucsJ6FBsFnj8gFgAl6Gxeb1DS1o8VY4NOFFPWFUbXY0Q
ZiwQOFmp1Iz3o+Xk4xruuPGJVkaEQQG9igOStd67jw34a93r/U9Npne2xpU6Qeg0ncytKkvJCuWW
/x7/2NlpEqLKOuBkjLigtIF4mWUAIMDBlpa6dwQzUW7p2ytrigU5qqcaDK26tNYdKls71EgQgO2a
cPN4+Nlh+js8pQ5YyNiPQHyeTVXkJTWYfweVTi3OdnmG/U2spBQ8bDsgVA8+qFFAkZSeNucWySDq
eoSI10tTTJ5VZdKUHEekhUwgXL1qfsFw2ZaFWLJV/05RR4Z0mESLzOdZbPp3aEHd4pmlDUm+NR96
jL288ROU/FP5E1IWabjSQGB8lRAbi1aZ3v3ny8G4MMFzaMjfYcl6yO0AKioAw6+HTT3bpO860sKX
5VFztT7Od/aYRV+CvM/QfYLIuDMri81mNKr9KU47aHIFHYffZoXC9uPlvvtrOBggQwAXm/K8XG2o
mEkJiPixqaUA+5Mh9TZdm2jvuoT4t4vfoCp0tZzpTHs24k7vizpa4Sg9RS9UupuFu3V2tf6dHPrj
FIiouxKKzLafWfRtJ6dyemzS/k9o1t1myiqUt3JPo2hEh8m1VPQ45UBFIuvxVIjr7J/rTgwNH11Q
JynAiSD2el0SPP3kCqG6oxRQ2TUDJR9dbodfOq/L18dD/S0bzseiR4BABqVlkN2zz0SKKmu7Ns7x
GgjSg6YlsO6zpA5fIcjl+Xs9VPn3sTck+63tzOarJmk5UlS44ewcbi0YBEWj+N+khnrwSac+oa5B
BOaGC165/NObnfW11YJY2cqIXoxvj3/8vXkiGKYOT7zEmysusH9S6KScmi6M6+LYj8r4Xpf+ORqr
9lnzTG/h3r47EiEwIYVNKjcPgVE9Lm0p84ujL8nqdjJ9C1FccrpNWvh9vH38WXd2HlcQX8VFAB9o
Dlpy4GsOnqYUR4zowRcjcNcPB9w+/E+9VCkoaXda+oY6gY5qyZTa/cLGv/OtmDJQ56e+bZu3dX45
mqirxcWxKdPopQ1S83M91f13Re61/Ue/lIEU4l1eNHARc7yhlFedXo9ZdySyRwO5wV1UyiTjQHiR
PEuSGTxT1f/aqv5S5XmWIALhBDXKIXMgxNArnnPayqyTLQ/hUOSF7fApbS2s3kQGvzCVN/c65V6I
fZTRuF6FuMT1Bm3s0AxVuWqPk5Uom6GRVDTgq2knS6O0aqqq3g9+eXk8pzevtiAB0xCzYcdh5jZv
mJjk2FZhGsWxUsGJr+wmKTc56qzv8oDbI9JmufU5LyoDJWnPRzosrpLmf49/wp3PBo0GsYusUdii
zd6VGqnNQIXyc6ATYyGT3RfY2qvTdIrsHhOXnMqUm7RZt7CbbhfVpK5kQU5RCLNueApyFkdGjx7Y
McfhPnCVTopftQah+cdfd/tQsXcI4Cg7U38WPKPrVZXCAqQU5t7HwMG45msPUwGpL7As+bmaHGVw
xzAKUep2QkU6xLaaNdseBTPftbGVzpt90eLo++Xxj7pddWEzJcDpoJMdxAeuf1MFlLFD8a87Ji0F
PUqXJfbiejwcuGUyzfWcIf7jRV6/wc2mOGgNBiSPf8Dt5PMDBNJFMCnxi55PSosub2sk/VGRfe1/
2ihprSsl+vThE0VlGFyeqCQJ7LcIGv+98s2+GuvC6o4dApjfEy05U9uxN+AuiyfIdP1eCLwuRiZi
w149kjRgwZkTkwB1oSIx+7iwaJCENVXc6GgIn2zeuWbFYsitq5RClxLYZf9eUCe3V2btj80Ji/ly
m2FINq7R5qDSObBdw09GKAXgCclfyDySwVhpRh8R6sV1ba1TBdblCl1U9Bkhdnt4FODqrROG1XiE
WlYFby6OwE4NaaOcGkXOPGw4B7tL3WDykhfIsUHxFtsg+GgPjGC3ra5p333HzPhfoURWvCEsXKGp
SsVTf9fNXGpfOFD2PgvHWPmh4P7g/Jk6pSbJkzRoRG3Y9eaT4J0pbjWYlel2CqV5sssAbiyKnA2b
TMqbC9IcxdkrWqc4lkau/YS4UsPZTLNyVF3uByVbIx1gGquixK6QNm+b7IqhaLILMaj0J0PJ2tkL
v00kM5mW3IUYicRilw7/BfngPOkZNmoue6+x0Vm3JmfXASiyV76hdE/OEKqVi0tJ9VWPxvg97ijq
u3rsOdgSdDUIaw+pymGXY+/7LkHqYr6wWNDdCdF8zGLwmwoukzp4KgA0PRr+xFEYlFSkKYWgb4kx
wEHHa+pnUhs9Ov+VpUnPyHt3bxGqseV32r7dZy8MMm9NRlmobmdN/vRSQA4oXU2trP6zCkNEcqn4
hG8e8nTxyje9JN7oZVHaB6Vs8LgsoxQnvDrsAwxbjDCt/mOSkB8uaXJlqzayKfRhwGD/8JKkzRei
m3lWynPIrSHA6cQbkAiNWd1kQqbXJNasjrbWy+fAxtbeDT2UUt0oBVCmImM/rqQo1ZtnACWD6q0Q
3BEbrGjll8RwfOxLvKYdMCmlKLtNG77+EAUTojyuSUqDqLSjFdPSRSzi4NmxFL8W/jAdMmCVs+c1
tkOfikZYHy30xdYmFrSdm6pRjpB+2wJotYYvSPXluGVV6aca60woSqpybOLK/gEccFpCxIlr4Ob3
2Dz1PEDwYZzZu9ehjZM2qlmhTo8bfOTpSFGOUo+Mla+MC4/dvLQv1gweGg+dsKEDhjBLEiAUo+Bv
ZfWR481C8f4MPaqPgClpuHefUwXp+comabaSPP0SDGWw9RKwUQt75843oxABNoOLn5xlnro6JI5t
59VYC9ajucMFontOqzrcJFquLAx1UxCgl8FIFm0U4nCYFNd3vwowmpCj149ppZavSZyluKP7IzdD
kgelsuqKoPj2+FW7iWRgppBXMMlg3akPzJ+bIrOavlTLo64ExmsepfkBdLj0rObp9EeSfOTzwegu
7WuRc13tI1MXPn8CNCsg73OQWtRlauY0o37ClYdSL0Lw5g8YRh16uCaEP3zha39rhEZdrQhux199
hNzMepwaKRT+JvLCm3sz7yY6ZRYQfFCAJAVznvyUNDVRlWWcapo2h4mEZdskurRW1FZaqUO3BMIX
x3b2+RT/KYRTc6LWN6/2TZ0JZqEK9FPVGcaG96D/HSVqpWwnnB1zOg519OoHiFA9Z2mMntMHlxyo
I7POIRHRJHSk612mj3UwKDjrnDyDQ9yiq4b2QNWfKsNAgB2Z3fSz7uSSvH087J1JtoUkJDI6JP0w
ba+HNcpBs7vWVk+4YzirVLHD6pwQKP5OAj+Tz5GJvOHjEW9CRqF2AU4PmoPoUM7RnWOAqa7keMrJ
Ckf1bBdGtlUmRd0hOqL9xsrSwcQH6x/EnXV1p1PqKxZQ2XfWGSoWPWiInNzfcyqQ39fAqFRNOVUw
Eb6lQ6u9SYihrnHok/ZxOsiHxPTL50IW5ObH335za4EnY32RIoU1Q81tdq7Vtkn5Q0c5xWMz1i42
qdO7WjmIgfuoui60I2+vakYD3YQAAuOBO52Fj/Qn+xyqunLisAp5XgmNB6jpqhsQ464z7rU9vLDs
T4k2/hsWm2p/GNQh+vB0X/+K2TfrHcB6FD2UU1l5/sXITa7Mwpo0fGq8YfqONLG+KlLfryCoZX6+
8F7dm3HUHwDBo2QHmHg2B2OK/H42MOND69FRQuIf2xkVICFtDStcWN7bnYVSJshB0P4iCZ6Dsv3U
TGWzNNVTIPexdmplGxeTPPUPWB6aISYTevPbk+IpfE68vM0W1vv2KFOzM1QQOyw2LVpx8P7JUbQo
GHO8SM2TNHk4Q/nIpY/rsQ3HF6uwwjWNDGNBHeDuiALGAtFAcC1ml4dt9K2TUzs9aVlabBJM0GtX
ljPltXAqc9NJqvrx1SS/p8TEiyykyMW7+c8n6i0aC8jNWqdSgQ6qTb2WblLAzDKmSU25MNid1YRf
DrWBEI+izVzx3JRkA8d7Sz3FkBxfBi0231Cin45qN5VuLGc96oRGHK7zwrMWUr+bXSuaTcB8iWvw
Kbwp4PQdYvdVOiFdlvt6vZXjQSYyjqcih7aJoOHCvr1ZRyrf7FguBLR2AW7MirEyPlSENnLJl8aF
sFIKD+gExacQ5PghQQzpozMLzJFrkKYvBHKa+7PxzCpC/g4rspNhRNK2KDmZhRM2q4De5kbJY+US
S0H4VUk67fWDFzAjE0loECeEb7M+20BOJxmdoY7VqYka9VU2J+0lBrW4irC6KNzHY90EcYwF2Mjg
5gV4RIZ+vVmDlJvdCfXq1Op4Jxl+Ex8rXnNcdTpADAq5oKtG5VIV985aArtn/1AwBnakzUb1Qxg5
mT+opzptDH9V96H0XpWG89ZhsbBB56ld2Dy3zwzgGuRf6J1wFUCJn12xUxDapgR+5yR5evIFXwiv
+m3KkaWwZc2MMp9rhnp09gwh/pMCQzqgF+QFDnWpMF8UQLw9OhopEGolZCm04ue/Bt8pjlZgj6dK
za2tnAo3VH/8Tdi2dN/eFuTgN9OgoZbMvSuw6dcLnDdpG1SWMp18agjpQZ1MkvNO9sqd2mdUdhFC
t/v1oKEUUaJgU73LE+EMRjK5Po4gkaIi+vp4y91cWfwixEIgrQopTCiO17+o0BNg2dh2nYqh8ZEc
MpU6WXkhKdIJlzAUBZHttsOVH2Rhs8vIvO33xz/gds9zUXJr0cYERXMD4R5Te/Rpng0nHZcOsPNA
ZFZ0MRJzP5Whqm9DnKb7HzDFtMViwiwr59GDL0fDnUztbzdPu/52LqzGIF/wX1oUaqdTYrEE1ilu
a3D7roRjI2oxaZ/78c+hzeJ24/tTHqHol8TOmxrpyMfSCSgR7xafZikLN/p8s7AkQq5CqFWC00Am
c/Y6D0pU2YjK9i9+Mzp6/TRkEokjsK+mtvZ2LiG6KGtpoFOaH3xT2UweBd7EnUqrzA9SEzTA6Lgz
pqXjO9syzBZbhgCJG4Og4QaY6U2ZgwSYg1EnhbzR7Slh1/sAeEe1rkwECbvRGJ8NBV/XbdGNavrB
pFOMT3HzbxZPOH6jxFbTXVWYF/WptLVil9qtY/IYADv+3WWWv1OLbki2zpjEceomSp8VB5S85BE9
Z29YoYPjJQv3mTgj/6SBf38Q2QlqATyHKsf6eh9lSSx5gRRpTwmGdPsG3svoBniNLT0PYsGvx4Gp
RKcEfwBukZtHN2mc0awTsDlWIuFuiCveELsoQVjWKsnwsd50aZabqyycmtQF7QIuqxxqYJOPT+zs
vuRz+Rmid0HF4Y4hektju9RyyX6KDSyv3FTiR7tViTYCPGGIlgvD3W43hqN3ARqTFiOs0evZdRID
Yupg2k+trg5bOx6V/KBLHsaxeRCvyiQc1pakmGu5RotpYWXvjQ0Ll/4mxRzE2cTT+U/0GLZlWgxd
Yj9JZPqoE1G6og/l9eoBBLQv7SPyPscNwjF7g+SJpNPjmZ7djWKmwRkgwE4bgaBu3jaGGhZ1Iwnp
k1SjQKdDOVlzYxnbScLEoBpHaV8H4VI4cOeb4dSgiC5kJokJZuGAwoVvxHLjPJGOR+U60SIcOWkk
jWtTD6OTX/cYIgEHf9WqXlEXDve9Lybbxa0GZCWVydngPs5LQLH5Yo5psbE6J9mPkac9m7JyqbOg
21BBt7ePZ3mOLICu8NeSnXBENM5Z7etVxhnIH6ZpHJ/l2Nei9Rjptf0LaKHynhs6Ot2+0TlCk6/r
zPdMjkf/21AVdCjpw4SfUzsx3vBsTZIvINn0YZUY/mhY7jhYmX9pzNarCneSJ6VdOXIx7vBPmZaI
jPMTKTrT3AhCC+cv209cUP9s06qzpdxuFO0Jc718MzqREq00p3KeWzkcpYXzOF8iCjG0Wkhv4EMx
WfOmoqymk5pREjv5OEBulDrCol3J+6MZdROWypHype2MpTLIzdXHhxExAf3QcdQB5nL9hUMwJYUu
gXVrrUjxXbVQauud3q3SyisrQifnvUlBm9GU8gaaXUkfoHK3qgUpawFjPD8efLRgNYu+KqYoHNDr
X5I7A+6I1Pmfx8ZycO52pGlaF7nSd+ZWksZ+V5RWX+/HDJ+zH4gPO5jaPd6vfxvj/74DgoeGHjZR
G5mC4INc/wT0TjKsoUv5yUFq1F+zyIWPAivgZzdqS0tae/4Un6JRlv0DdVvla9XD/qPbq9VQ2Poc
hzhthSp/H32qPK6Akv5Xbk0r1Ngcz0O2PxzafeaVavaCuZs5rBjQrN8LPwjMTaJo+PBSPwq019Tr
J2M3DN3wzSiUdjhYXivLq6iu2m7nG2nebXw90IJVo8r+S02IH2xBUjf8QeIglWFrE8hzpNc6VS5p
0KX2uqvarHHJHyQch1LEE/k59UDLEvfbwqWhGMdrCXg+5p0dAOR6o/d9orwCqh4Ole/4w4ui1Soq
qDCY9XWPn6P1Peqn6V0OQK65SpBC2Hm8HjcHAooe9/TfFIpqrDV7JHAMtQKUW4MntLJlZWuoXfni
l5r0qcZKcW2kaZnvCSaXqqKztI3Tx10ltqAOqwxiv9io/xx6bfL7tDYK58nWymmVS3F9qDMBs8/G
wXyNMU38YAeFEQn4qFyIC1ioocy2fuYgNILQlfPUZoa99pCbfm0bo18TcWJQ/HhSb6JfBkPSG9cc
Pg49yfk1Ew+0x+qqCJ7BvU3KPjZC0GyAuGXNnWhtjtTk5Nxel9HYCIdMC6dtqxnleB0aQXASpzhZ
OPm3E84vAulEG1nMwZwRVHs27W+4ZM+ZXRm/Ruztv5KiD/SThMuX0lhL7YWba11MAdce1G2ahjBB
r1eYaG8I4RX6z7mhNSeVYbe0NMOj2Q/Gwrt7MxSKbXDLoCcK7V2yleuh2qDzyLNM9akC0/ipVcPh
k1RWIS6qMGAer+z8KkfMjFIcfQPSYJpx82i5Gyu/BdBknhInLKVNU5fOpms8w3RHk+PtSkXjHFDi
RVRZD4bvTjZanx//AjFvV/cnIZUQGKbiytEx53yJoa/aoqyS9lkOLDNfJ+juJ09+Oabjz8cD/RV3
nI+EgJuDDJ+oCRqzFSx9iIAxVvWkQ6DdV/WkWU9Dj+HHukg97fOYo2XjlqNSBCRxqIGs/F5NpS3v
LjVwF7a2Kb0rLQjwZ7yVFHKLpO3xctRzTMLtyKBHj6Gs6Zwb8nUstgC0nD3f0TprIRC92frMGIKu
CLxR9APpPPsOpapaSrMQOamONMe2tpQXZI+Uo4ce6n9tJS1hdO6Mx+MmyCzcNDRRZ9vx/zg7zx25
kaRdXxEBevOX5dq3TEss6Q+hmdHQe8+r/57sxTlQsYgierCLwe5IQFYmMyMzIl6j9I1SKxioPHf9
XOxS3c9+cVOpk5to2aesLMyNEH61/alEQ4MQkCRo5Dx8L7d/I8VGz3O0fbZnNDGbyPS5a8xk/kUq
2r3d3hRX14UYi+sCRB9nm87p5VjgYJwY9bH2Wa5q9VmJR+no2LH/qASVemw6Y/xXDcdp4wNeDUo7
GloCUB/CNmMukqjBCuwBF2ZEJ615hhmFfKCpDslJ6UrwdUB8rF2fFMnP21O9OmhiVF5tiKVQWqI5
fTlVfypUPL9b+blUZhCFkhFNP0AZhve3h7n6eiCneBOxW4SnEQH6cpiSHpmOVYbybNU2LrZqrmeP
vF/Nz+pgKYfbY13tTMYSG5LTzKyo4V2OBRNvlCPMiZ/HSM8fOAPqEXuY+cGIEG7CIigvv98ecG1y
omaIcwgoMhKzywFLOaIOFvd4Y6PIJbvsXoTmZ4BW96ixDFv75B0ffBGxSOm5CbjiWSAQkYuTDucW
UuBkJC+zH+j2Pq4pD+9HJ+5o9yrQf+eq0hzEo436e1GayRkAECLHAfoVhls4+IYgIuzgVxKM7RcN
pFK5y0woVjJs9MGlzmZJP/ElsBqoMThC/d2MGVtxqq20/8nDzc/yY9qVeDT3aZd9H5LB/lKPGm9E
OZvA/2PHHZUeoFgJk4nb6/wuPXU5c1UwXiC/cjphlS1igI/4BniGQHk2E1NuHHKI2p6xrCJdmw6B
FtrRo4Ez0Su1tgB/zCDQP8VaiQ19rPP2p0PaZN0DvOxSvU+i0abUFBvW6GZZ0sBKRyrMwRtDVZPv
xYB8XH6o6aIPT1mKdEWzm1AeriFXR2rRfSkalu8HL2El2vtNO0ob0W4RDN6pPTxfeFFwaIh46uWW
6pESQ7C0Lj0zVaTzVGT9CyqqOMADRDqEfpPclYafbazvsuj/v1GJAVQ0YYHR8LwcdVQThAFDo/Bo
2aT3Iw/kux736kchG/Aka/n8PaEQii2ZbDyMQZrtoglT7dsfeWXm4lKBvgLqiMxpEXvbMZMLGUqk
V4Ooc1GpRC5xsNMfWleOL5o2tXuuI3+j5yke4n9sLDFxkmX+S9mO+vYSMKHoKUltpTVeX5j1YaCH
DSWqmO7DUP0WTt18b+CX6ebZ1G8EfREaLgdmQOiRcKMgzzDvyxV38MXulKYYPBZ3uG8bLbgnekmH
sZR/ZaXdbITh63mK6pzooqg0UpxlHwXsO1EpH3vPGYC3WibMl2qyx31hhdo+0NL4c4Pp8efB6bbK
dMtkgSXmbcLgHF8qBJQlL2cKEUBJx6idvNJ3+ocOF3FqgrpDky5Vvsm+nBzLNMlg4lQ8M2PJnvYN
pKm7UVK38pZFuP7fL+GRhDIE1Riq/pe/JBznKiuGdvT8cVJ/tzw47gytjr2mqoyNz7t8Xb6PJUQK
SDpRHeUpcTlW0keSmRrN5Dn96JCTR/MM97FHJHGXzJYdumkJypGmWR45bmSU819dr+Ax0fY0OO7D
wgm/8cpysl3nx9WrViLDuI/KUZMekmzIfhoGEoturCq57vJJ22A3dL7x7faJXFsvRHzo0IvCNqD4
yznY9lRREDBGjzWlszeVYE5waZ3KEyJZ9cZ75PpAWBRv6BxwhdPne2dv/pEyh31VzC20Tc+yIh/t
l9pPDnM2Y2nZWy3OOZVqD1sEDnHILg8haQ4XCk+UdxTC4hAaQZ+CCe0UL8NccKdqUr8nVQwmV55k
+zGsQ+WUV0hotok6B9RFknEj21mZNEALKthihdGuW9zoKSp2JmK3qjeQXBxi1SyesmyS3aGUzX+j
qOi/3P6i1zGW9iZ5AiIwfNArBpLq19UcIiXiSa3tH0wryXYNgx5MpXaOUlAGeztE/f32oKuTfEcH
APwzaRhcbiNSBXSTgUB4JWTVk58r6X3WZe2LMbflIWc7bZy9620LAEK0LNm5eAtcXSStI6UzBF4v
oM90hnXUNq4WdMrnaewN5WMZM+ecDStapGLbCnzjYnLzrNV50mielddKCCvDoRQ2ID1Qu8R96uRF
SxoZ6ENcHXA6sD5lkWR92DLGoRrB6wiFRXACnKLLH0GvskRESDM9cB9K5OqIup8m4Jg7Iyjkye2a
DEkHY1PS4epSYVgbThXEJKEPskwhMgnFUwOOiJfP8AxM8mI6oHgm7uNYMjwLLaxHq1Gnk40N490H
95QjRqW0DsqR5/AyZ+JES1KozYaHOHX8E6+7+MGZfOuzXqr5YYhwJ/oP44HeQa6PCjv1gssVtqfR
nrjEDU+P9ZywbdH+Ae8RRy92X4SnGnfVjRleHVVmyKOEBzn1Q5CNi+cQ6jrQPzir3ihJw7e8LOCn
Yh1wlJSaxk+Y999qYGhb1PKVUVE9EDxITEqovoiz/EcUTrJ5SIEBS94UWd+cMPB3haJ0+0wk+MJ7
6Hcmt80WVPnqwBKCydvoWmNCQTwWf/7HoJTpU1wMVcmDD5H9KluTe1Crym99b1nfbn/H6y0rhqJG
Kkp2BMJFLLITWSdrGiTPNyP5sRzC8qSNoX6uNQylBl0nuWl7kjiU/7Zw/atD0xoG6SZEfJak/aIv
O2WMwuCsIUU4fUmjRv/iGBnWsikknAp9Gck4Kk4G5SUfYP5sBKqrKCyq4O+4UYKVuG0uF3mqYsGr
rcOzHpfFv3Y+dQ/jaFWfIb3KBo8ve8vmZHVA8KqQCEUJfCk4qY+ONDilGp7HMMhCt1dRA4Gt8wNt
y9yV5NTYODAru0goWzISBWTYHIvXStrWWjYHmuNNZRQ0vJt4TOykDjM4N9MJQRvruTYcbiXISb6D
CpeFyt7ExXHSLJ/Wp5YcjIr+pSurvnyn1kNaffQKxTuRWhv1PU7nNYohLW0sO/2Z5iZyxMpdN/b6
sW3RFN0ZaKEYe7Mpq/vbJ2VlfgxJYsRTTOBg1cv9UiZmyQM2Cs6l0cGh18Je+lqnxTiCQKr+uT3W
ylZBlBK6AhZ21KKW9I+QhrdmIY9wrhOn3NNETF5BmiWndmrjIxjr3/9hONaRsqlOwrnslUiQ/Y2J
sH2uujlGKDJu9Qc1rttjoBizBA8ODsx/GVG4ywLNoE60OHzoKHa1EqfhOVWLpN3VQRb1D02cW+q+
nvM4wfolwWrn9qBrX5A6rUh3WF1uy8sv2Ie6NCe0HD0pTiX5ucJsM99h/zW1R5i/xtaVvHJ1ENze
UUcoHlxhE4B8NmHmZOEZL126iPRHpPxYO510muOxKp9RYHpOMCjZ4JVcz1LlVHAtc/bpRS1vZiWr
I7LnLDrbtYr1ABhXY1fUIze1Mm0dw9WxiN3geCn7XZW+1UJJsCCqonOQh+o9IGXtCBy9e0bMotg4
8etDwWeQGQxhgkU0q1tbn7SyZlqIaxf7sZDVAy4L5mdH9puPxzLWkFD9/wYTV9cfF7A8lLZUyXZ4
LuNhqNzC6qfWDVQzlu7sON8q6F9vFEajeyisEnjcLPnstaR0jqQxtdLp9WnXBTYCQBnG3jiY28XL
jJjIY064ePvocXiHURJlBGDnilenVEEoWrbRmYptdKeknXMG0QgTKJSKLcP0la9HwYNMC+Y81Z3l
5VCaEPiGUI3OHdP65pQa0BPfEjIMRap/NN3hTqAWTPAksoha/uXHq9RpzOphDs9TpulP+EpJz2k7
qLtharYyubVpgf6xSDOE685SJBtFmxQlISk8z+GYcdaaRscruxuaYMfFYIUbAez6WhAKXPAv0J9F
qm65UWL2ZaeaSXyu0V/4ZA7FtyE0JbgenfIWDV335fYGuX6gXQ63eONPZhEaaBmE53yYQRCBKMy4
fIbB+Wk3ZvXqBHCI3pqhhMuV8IMOt0ffmOwyo5EiTPacJojPZh/11APU3vV5PX2ShnrG7EDPNrbN
2niETW54Tj7FW/Hnf5z53PchQXL/nZ3aHh4TJ5a+BrbVYz44Gb9qSv9b1bfVAaHtQMgTDZMlAbBo
1SLn+ojO/eT4X+VRzZ8LMyh3rT2n94Ctu48xldD4ggwOL42+EwokoMgvJ+jonVb1QPLOOgVlzW3g
ocvP3RRWwyHv1Hy+c7pKth6HaJzjHf25LQXltfmivSP0mgGTAwy9HL+XrDbw6dOf7VIfaF6WvJ8m
q/KyXC7+YTW2OgdrhxPFKYFJVhh2SXhMUynSwsaPzmlZ91/SoaPWoYEKvDeDOd/SnV0dDLso1pgq
NpTvy8nRJ+0hX8nhuZD8pnut2766V4tyKl9GQIkbRfrrEjKQZhhQ0Oy4NCiJLfYqlgfKALQ1Pmf0
pXx6zujz7cYxMgAjOXPron+S/rQB8+zUcGj4t9kQuZ2qJE8jidjGw3jl+hK0LOhn4KyvFabyPE/7
Pi05OEphGq9a4Iw02ULfOQ4+OxvFkC6M7iitAYO6HSKuvVJYB8GSBtqmCgFU8VX+OLN+m0Va2rXJ
Oc5VP95Xfjt9002/3plN4uiuTtznn8pEebmJitLLhyrn7dAazss0d/1zq5ZbQH3xoS9KqPwk0LMc
XF4QosFw+ZO0MrNgTPnxOc+MbNr1MWUwV+dgn27PfeU04RFq0eIh96ZUsBgnGFFIMEAanlW9HEnQ
ZXTk57lJ0UOZYFF3VWN9vj3iynVAVCTxoCukI+e2eLOrCdc78vHZOQ0y/3GaaJXizzoj/OCr8z9R
5UhfGl9pIHKh5nF76JXJChAhwZmzLJr0l4uamGGejDPanFqfn6tGbqedYkYVTn9SjqSWuRmbV74i
UoKUoYX+FT2+RZe+l3sapAB6z2qcdcOhqCCSuohwmO3GFl6ZGZJklAQQRSXhWybpY6oEoBPL7Fwm
uhy4CWjEvV5HAuZoVJiLms0W338teEDApsQEhgQs4JL418WaUSPylZ3ryFePtUU/eGpm9TfVxeCh
1fPojuJbu6OTrBs70ZcDfjnHx1iRpm+3P+tK5LCp8fN+IqsGMLA4vn2lBvPEtz2HtepIlErjeBeh
0wdyoLHOkWxhoagl8uH2qMslBw4L5ZDISa4rw2ZdnBykxzuLaunkRXrQnCb+zn0cdcTOcuh/W4kT
fFSAXQyIkgQ9NmIUD6HFgHPdcxcxU/pqmv04xkF7XwxzPbr0W7onZXSiD77sxYBk8qJ/IvLApYIH
wLQgw/5H9TS0t/O7EBGG38gISc2+Seatzp74SH8GPDEYfT1efxSgwbqK5f4jBqdUBmv87mTPn5M0
3lNIzZovkmMF4V6r8nTeiEJrX0+YNIk0j47x8sndqXarpYBIvXKqW+UZ38QsfUIgQ/s+x8F0qKap
3ng3ic+znCBXLTUfFLS42Refr+pDxRlzfFDg881uaNLVqGUjfxx6MsRdMZPBI8OX/aBqM5+6yEHt
+vaGXR4TscJoGFB9Fu8mnheXK1wZZVn2Zax4kD+MzFU7VfuSGfTipMDR/+qlLv7U60769faoyxD4
v1FJS2GTiF7K4nAGc2f0czspnlxVSu6WOamWi4+Kvr89zsoH1ZEMEEkoz5krQtKUQWCIykj2ZmvQ
m5OB9He/7xBTj05RrMpvvTqYH/WbYG6idyEkMalaIItxuaJSm+Ed7RSql6nYLhwxRaQL72L5E8UP
nU+Bz6UqV0g/bs/0ClXCsKwngAO8tVlTbVFW0Ga0zLVu0Ly4mYtPoaxnexl9pxyV2Wrgf4YAxHVI
e/2kh4d6HKD5qbW58XhcOa/0xt+r/YKps9xNsdYoXVJ1OmVhK613jW3693JIP8s1UnOLer18M4gZ
g7626QMCo8XT53KhcTMaK2xrNS/xp9l5kBWp2pewd1snqZHuMxxKN41mFU+VY23VGFc2MPGBEwO6
A3D2UjcoKjOnpE+te/2kddkeAH6sH5w22BIyW9nAXN2wDN/F4/EkuJxjnqoVyYumgxUyage/gzg8
4VDr6+dhmuMftMcq5+72TlpdVsFso3NNoF/C6etEohUe+UxtGILp1AQlIMwWVo3u+pomPbWzkyr7
ftT9czrMWwiWlYCIpJWAJFOIo7uwiEfwj3KaDiPXC5qgv0pQW/VpzDM1OaLyPzyM0pBP903vDF+M
NiAXiA10dzYu8ZWYiGAoCQdFR0LiMt+COVP2AEMVDzJFnDxOEiwb10onZXypQzNREAcv5EelDuXo
eHvtV2dPvQ59BrTV4HJdfu4ogDODPKnqlXWoJi+SP2b7RsbZ9qCl/WDtgiiaxSM4L4y9wV8WXJFQ
Od/+EWt7jubH//8R6uWPkFQkzWalVL1KVtpXUFXZj4wSycHMjQavhEy7vz3e2nJDMUY/AeEGno2L
y6Cy0MILcOLyVAk0Bjdz2qM9N6lvcUuj8FC26YxYmR4FH+3kiwDCpcITmcI9UP/Fy7+d0tZW+kTz
wqJufoUoJvvPYSZL0jECjJkd/Sm2f6qCyHV7wmsLzFVPQq8B/+OZuFjgoQGvXuqaR525OcCXdY4+
EMfUVc05OszGuGVJtLbCFntZpPXvLgWXA6KjTpuubnTPLpTmKXGG/rmwihjqSpXYmCbneQjintrV
lhfc6sBIOYAyFJKqy/dbgitxbtWF5klDoWAvJf89BHX/oqJ5Irtl5BdYi05qmG5c+6vD4osIeIAS
GAf5cr6ZPvaKHtSaxzktP1ltHXzts56ej19p/b9+YmiI3CHPu8XoWLv+QMKIJJIIBqb0ctwKQCVC
DoqGd4tGb62cemM8pkE5SHgplNZ/iVNCSI9SDe18evqXwxltGgwAfnTP7MLUS0pp/gR50/bdXJ1L
jmodaocipBN1+vj+5eKDB0yQFPixy3FnNQkLoJq6V+J+fJLiNg52utN0phtFTo5sQ0o5Z3d7zLVP
ijoC7ymudHCcInL+mQnk+jQadaZ7cqS/tGWgem3VaSdSSkP0t0Fla9L04/aYa5c82SwFKKTreJ8v
xpSAo2khD2JvqvM4OAJRS49+i+/CRtRf2zbkqgBBSBoFUeBybsgC4sPbW8CaKsn6jY+Umu7moQcs
qk9yO26MJn71IuUQKQ7oMKoPQAAXhyPwsQ1XzMb04K76j2rZFdm+GIvnqq7PUhmnJ4WYaD+g/qu6
me+XG8OvfEjiEOB6Ljgq4UuxYyBEWBpZhek10ziaJ6n3zQApRH3w6nyc6zvEPuCu6Vk0bRm2r0yc
PYv/MVg8NJeWfSI/HiwTCjsjG/og1H+1vR+rUeu2pf8vDw0zdoNApcg1jAU2FWMR6fLHA5OQpKWQ
CQaSjGSxo2Lk7ws9ky2vgAJ66jMF30JppL0ROsaMYuyIYhGd1C1dhpULh2aV0J7kYUF7ZzGsYtPr
Q+DT8qpBk6NDZWhJjw6u868UB53qluagbXzltbUWAC4R9rEqWNLoJm2W+cyR5XXSEHTdLh3j8K+y
i7NwL/edLx21fGqkk6PPBd7LtaW+1fybLZ2ItXlTzBZYQYFNXN4Do6pO8oRikhfXWe3O7WC6UjWG
tWvE/hccksMtRvLWgIunE845rZROvunNpeXUBxkbIvPBB2uytxE0zV0lDqTqcDtKrUQP8nfahGAM
wdY6i3JirTbjmOYVHzcPyxLf7AbVug6gw04P2m6D+rkSEoHO0lAG7SnoIYtQpakjatW6b3hBUuu+
i9d0pLu53Y8bZYm1SZFfARtDDhPwyCJIIX2M6As8bg/bz2pGdgHlw8/hWOIJFI3aVHsfX0OB3EBP
S8j3LzeKLqcwbmbN8IoJHdqHKLStZueXJm3PuMrtDbW5lQxLVFqgQnCZAZ9aLKKlB7FMlDc8M4cp
tIsiME0Vbphf6gyXP8Pp5FfbDuKHsEeL7vZEV4cGaw9pi3rPlWSMmaeUBwZT90ZuWnDsmtzc64me
x/cqcKP6QUVgC0J5OEX/SPz/D+ozAHbmnYI8Ax+VK0hfUl9wmOibpG0tTwsRpcZ2KP4p95W+myqr
3kB7X98zQKmw4mD7cNPwGLy8VFUsOQY9UlTPl4N62ElFU/6DFo05HdNUM7qDLUcwpeUqpxd7e42v
g4BK6YcVhobHPbv8vJI6j6FjJoYnIz9xQhIuyPZIi+nqV2EOcTcEqSL/vj3k9XFhSNSIWF6hV7Is
XCpaVgWD0YPQrbLuKZD0KNtVpLA7WYrCrd7ydQwAf40VO4KvYEqunkWyM0OKTyPTU/si+luxJqU5
BqlTbckrra0jIhdonwi0Gm/cyy84qq1iBoi4e4Y91/kxSaxo3seTJRknUyusfWL645YEysquAexC
LRQAJ/fXsrptd5bZGEntePRbterYVAUtqbiKTYHTafzH0u7t37B+q61K5fWFSf5LtYVEWJjJLDWu
WMSJji6IUb8oDGeHknlwjOhtRke7CbRfWWPP+2lQ5mgnyWGn79FeTbaarSsL/udvWDamKrVBDjsI
onNuyMlr0LRRfEhK/FT3doeCuT7Nrf/hUCjSfpDtouyO88TiG9uD3XY92mNnrpw5fMQUqNd2VeQk
mmtiUo4SX1zWbjxl7Xc/bruNsH8dDcXoCG3oiDlQehAL8kdSEU2kzAW1jbPqG8rbRAXA3/GSMN/q
VgdxM+bxJ16nBSL8mbbxElw5sZxWHkfU/smizEV40qrGTFPdlLyROsyjLsG2zhJL+tqCBjrdDg5r
n1VYZPFCgO1/JRmTQruc8zEJzmiz1C6qJ8EnJ/anfTenX9XRMd5uD7dyhEzRTxCiHDBolx7ToGBk
XKcSyUvzENtW9H7G6ZCx+NFBxxB9DNx6AokWWKO50cldCUyCs86wSCmSFi9eX00XoNFo+uGZMvtk
HpN+CKxTa0XGf1hQar8IVJIAU1cRv+OPbdNrZVxUoRGdFexvT1wyI5qUELVSe+6bU2RIVNhvr+na
J+RKoRNGb1XI3VyOWGd95MSjFp1bKIvDMQIekJ+cqTbCOzgEVn2foQ38+faYa9+R1hBvd7q5ZCyL
w5ElPnr0OjhhtUWsYZjlcZdJ2F0YRet8NjujPjR6tmU2vHYsKP1SFmN16covBpVmyCVqZQfnEA7s
6MZEw3s10rLPTQ1h8fYEV8fC350UH3gdZfbLRY0pzElgisDMp0P1SU7kcuejJOPsi26Q8409s7Y3
eXbx9WB8gJlflIZyC7VEC0Ghc6K22S9ZSYrg1KZRle8/PikwIrzRWT24ByLk/bE3m3CuGy3JHC+N
rP6IH5jl77S2DbR7Y5ob6+3jo7E16BRgbcuzebEvNQPRBEWSHa+3BxmpzkZY8+qtnEeHJtbCf26P
traG5LG015kacBDx53/MbfRLK0x5aXgGzf0XVJkAAAGJqpPD7XHWrgUu4ne4FWFzKbohyFt20qW+
R9PDyO6cwIqe6ZPYz7MCiBUBNDvvwUEhNPgrGB253hh+7SlAYYSMlXItIu+LRZXl3oYWU0leMjt2
5koaRnbQ64vHoumhpY9OdWSJoxNmJ0lzyPIm/3Z7/msnX0jtsU+F6shVuSAIk9KPieBhV/rPPqy2
54Sc5Sk35pS2A0ZyTZ1pG6dxpYEJoByQJJISED0QFrr8unqu4MPqR46nBFOdPBdF7bsNtp7aCRsX
HTfB3M8C20VcTVUfaZdlL76BY/Q5RwTi9+0FUMRpvKyRUR0DU0z+QDpI8e/ytwRUXPvSKXwvSzFP
cWuW+w7KfOkjx6C0D3LvBKdASVoMVyfjJIEIznakpcrBp2k27VKrSvaVkW+xbtauAayaOG14vIHM
WgSRoFGNmRagD6GqyPT92KTVcF8mcgTBewq6Owl72PvbS7E6JEccI2l2Ah3By5VAnbcL1EK3vLGd
kVWTtKp95ucN9kHTR42nWZgZ328P+R41FqsPaOcdeAd4lVzqcswSiYw8GzqTMnppK14oO9gYszMk
5UhpuW5cGBaq5haxlNW7MGoS42DM6tAczKChU5fMo//Zd2R0epMizO+dyh/zsyZ12Lrc/qUrgYKf
J+ht5PK8BRa3VWQVjq8ZgU8jp4wr15myztlN5NNe26tSjNOiamQHQ0tt45NRNtr4sfFhZFJ/F09I
vgsCtMuDipJNA64AecMpCauvemxWsptIsnJXOcBQj2lF6nvnW0K9GOKGOR9vT18Eoj++kxieJji6
t2gtogCzRDVjGGUHPLX8Z9SZCvzh1M4fdr2w26CNiwvK7dEWi81oRCLRBxfwQNGcvNwVlWIJg5xC
fS6LKN9NXRoeLD3Mjo4UR3eGnRT3Dod1D5Wp3khSlqFJDC1qFrxINIZGYudyaLObmqALZ/XZbIP4
sR6riHJJaO7a2NEsF3xFti/LVn1uK1m7Mye7dbGEaLaKJ4ujyK8Q5SL+QwcJktEyKOWhHOtd3OtP
Pq4Xr02HjoQf8Qzzk2LaqTh5bdGtF/cA5E3qpgIACqKEzb0MN71DzltMLZdflsy/qzr+MQhr3WQk
TcrSVt/Fc2zf3f7KV3sKsAP8fHqGgE/hjSxCXNTaUgCwOn4eCil6DLrR/MvpzJ+R42Qbpcyr5RSw
CjExGE0s7bK7M2m+LteDnDzPSRHjjqz4ZbXX8mEyUZ8Jup8wNdstUPHa7DRB5uDRKe4W8ed/vGC6
sm9qGjDJcxq3+f0cdBK+PAPILzzVgrePr6Qga0EXh3IAVu9yrD60myaMzeR59NGCsgNF+aWBnvhL
y6N+68W0Ni84OCjwUjvh2y3OZsHoWaArCWezRBKoNmit2HJ3D64z3kjy1j4bT2iE5Ig+AoJ4OS09
7AnJfpYSdEqx7Tv5ORri+GTEOKAc4kBpt0yXr48B0YaIw5gU9ZSlt6+mxTwAGz5aRPX0uxHF9nfb
txsfA7u45fQXM5oDAJ62JKiuww47lCMICp+qNHAYsRR/7JZJTilV2hZf0OnDX7mR6Ic+bcAKY3HX
Hstpsn6akqNEuyzW55+0AMbvKrbUh9v7aPEcJQrwK0DC0DSjUAO86/JXdKlh9NMcseCdPH6SWXkj
rP5JgrGX72u7qF0ymlnb40oT7FAv3VJhvvreQNmolotiHJ7mV+2N2YLabKfD9Kq3adE/Inuqtwcg
ZnFloOMqpwERvzd8e+NqXRrsiZyXbiEScYwKQOQd6fzH4rdtVOk1qIlXK4kq23TzSkq+alqFatGu
qsu+6Hn7hJiotNTuvijCPO2x8A24EqaUmcpu8u34H9wfi9bt+2JwDBcwpDU8WJmRTk+WH6m6Sxmj
++v211o+Xfnd73kL9FeQJYCXFoWlwSrRbu6r7iXC1nNfTFOHl0HYFy5PIc3eFQ1mhlYj+Y+ho0hf
o6RwTrGjlu1uwMVE3sl6Eb61fhts7KJ3WvHFY4FNDJ0CvAIqC4LFfbmNZqN1/ELq+5c+mjrMNPM0
DXdpK5mvQRm17QHflvob6mJhM7n2iBdnW5p6wxu3tuOdEpXl+DkxIE7u5Eh14ldljCVlI2Je7XRR
DIRoAvYJ4DgM18ufGBWdXshtnLzI01jau1BTUaDsjPgla3B33hfx0OhHx+9sPNZtv25OJipeWxiS
q2hj8sbB1xE9CoD0ZLuXP8I2igH1gLp9MTPU8zt4jX8ZcSU3B9vJqVEWSb/PdWv2bm+b66lTz0Ke
k/4XqIAri4XW6Oq6l8z2BSRUdxwrv783p3g03RZlfStSd4WRxXtpKu3PpWn1GzF9ZXQ6F/BZQK7y
uFmyKgvfHMZOdrqXwJHRkm0HuTsaljGoJypdcvAL+nj7iXytpGPVp6OQs0LsdqPedRVo3gGdYFYF
RsC6ao0VAbVxboD2RZVM/2hLIQ96xZ7+sRvF31WqVP+4veQr4wnLKfAAyPQAP1sciNqi/kpRKn5t
yLADd5yAuO2cPCk/KVla/DbR6klOt4e8Dg7c0DSkOIO8IJnl4v0x2XGBxHuXvwY8c213KvwpkFwe
lZKG8Frn43FtamHNsSszXT5ko2R2R56+dVm4HUCr74YKV/JJSzotwulUr0J53AgU4idcxgn4Pzwl
hK462i9Xz7JiCB21GqJXtZmy7GVspgBAU9353xOUxLbA2tc7Dz0hVpmLhf1HFXBx2hQEHMehKl8d
K5+wf5aGkH/S3oZa9bVq7R+oDmsuegzmw1RF8pZqwLsx/GK2dHzI3Dh20MyWvcI6zuoYSmj4WmC8
+pr0o6btYIIX0afR9CvgiKM+dd9DIBb53uqSuHwJ+0RP3Yrg/qOpk8lHX86wvxPQ6mDXzb4T4FtG
OnZM5YwMpJkmA7CuXdLBKscYr1vDKtTxZCdqQRfAyHmFzjT73UYuNP0lZ58/I3sZf84cqONuF0X5
ZzijqnOqjKGr99YYzeO+qdAWOPiFlmYBrfkGK0u4yvSzG1/6GheRGn8OA6v9y8eUYn4ztRjscBA4
7JwZ0QfiSJWob6lk+d9xuHK0B3Mep/hgpZaf/gYt0pSPCfV07VseybCxHC2ttb0R6oG/h0vUVw9Z
q6cDDUGR+ABBqMojtGxjfADhU+uPFXyDH6PWlNHOGK25uZew59Xu+zie6le2EEjEsZ+p4w2FkwK6
kYLGgsIpl6F0vH3eVnYX6SrSkvS6AXtePYtlbCjDPI5ejbYdHqa6GN9UbPWefMqLnD69qX5LSWVM
qIsqUcY2S7cKtNe/AB4LyBdSOH4B0LnL/U1Ru+N084pBPLT7Uktp+BaGWbuvLRluZ5PihxZJsv6i
R6V/BCq7BXi6Hp9TDNQB6QF2kbMkWqe1NaNIrvrU6gAiHuPCAVXmoGSV7lQ7ETwlp55N/RzbXfXc
oZKU7h1ancnGzb4sKSHjQsJFjOV3CLLAsrWZGuY0F44avUb5PFsuZqGR/NWuteZpGPrGdhU1y564
l61zjifrA8oZ6RnObWB/mbn8TS+NyzJ+U3z6LD+MFIXzxzhtJGPLUuL6TrBJ1oT8Mq9O+oKLcNRU
iKWgmFC9KtgdPUxqDN00zLiaXCnsidRcW8Xft/fokrInloZOJJ0CKs3QupZjRhlmQY7T5699MyvD
QZKH/C2ym7w+FL2g1aahgdu3myhNFH+bQ0fLdmouDc+DElc4UUpakBg/bv+m9wv/IiyKZyJrQDVY
0OaXtR5jzlFWGDLlU13UqfNS+mHXfppI4tWnQI6bYd83QCzcNNed8PNkjIb0bCXlhM+TXPShq9Zx
mL6hglcMO7ntMQFRK6lNDn095cl3nCiG8tRm0+C8jWU3BYcCxfOXGm2m8QsypNl4LH0tkDceOe+i
iotJUc1Hvo17jX8sL3yt6hK7y3XtE57l8708BfPfdlfk2ldL9YOT1lZO7EVVxbl0wiFyHhxkAdJ7
ve1aTzOrIt2HuAs+mXqq616dhtWTNVCuOOES10lPSp702TfHiKLpS2ZRfdzVuZV5qa9G/UaJZsmM
FnAseBEcKEpDXNBLlkJoDnlsZWn3KjdIzsHg1AqUXOWiCL70Q2NFbjZLTniXRcaAb3raVW4LKO7r
HOiBdkjoLPC3R7MtN1K2q1jznp//H2nntSM3EmzbLyJAb15Zro1apZal9ELI0nvPrz8r+1zgdLGI
InouMNAAI2CiMpkZGWbH3lTraR+Ail62ZaMw7rs868dznhWWcgdlXfB+jqriwWfWYZfkafYdQG/E
9KvVj5/nwY42Qper28sPwDaQaMqy106m9+NCHSxnPOsdOokusij6n8ysI2M3KKAI5DYcNpZ8XSKg
GSaKZQDlQE/AynPp37WQJrCOStFZZlr9lzz0D9McxEchEuLGpOWOO9oJfGeK5RcfGhLdJ0onW8Da
61xZ/Aqa/qJUSM/I0S9/xTiqldaSlJwZiYLstqsqvd1L+ag+SAwLBbteypXxXu7hiC4gg8oftdGO
o9ntq0wbBb8Hk4CjNGvxk2G2vb6XhoYBbMVJKaEPRsP0ljEpWwqs146PX00dlQFVMmYc4CIYVpjC
AHwyUUptSrQ7U7X/xfuRzYeiU+f3fjv/tviRCYDV2jpIjQQbVzzkz1JhSm8E6HKjwANDPETUDVIN
etTLDdSZFu7KRGxgqVvHMLb/6JBWfJZR9X2fpE3pvLWWjr0Xim8GUJiqXNZ05kiMWLX2dMad19Ds
N/OHsrH1kx2pwaewmw13Hh3uh9XVhnfbt1/ltwJRL2ZOwQVTVXs50a/qKpTsa8rYvXmem7792vtJ
E0H6HSjWwaeV/EFr0n8Rc5Nfb1u9vppkWtR5aR1gneGuyw1GUXN0ysawAFZmWe+CikuOvWXO37O2
iZ+6Kvp3295VFkP5gIheTNEJivwlfrWx+roZpNA4zzMYjaxSx89dW3c7IRS/4QOu3d6lqcXSZjOp
JbuIjbOZZwjd2WGNCIsMSmMfVuFwhJkvOiVOlh5GbYzPDOhvzWFeB1fowVImpG4Pbo4AZlGyCAoo
pWMabucRZsPkXs/Ksrmr/XpO3M6p6jtol0HEmLGd/XY6pfzeMpkSn9K20t/3NI5+aXMfP1foQ3U7
xFCjY56E01bz5PrYaQJXB5M5+S8qMuKAvDp2Uq+UIzGoei6lAXJzeez2slkPn6ERgVNMleb05NNf
Ld7aZEBVSlDfCSInynHLForpaGMdE6CfUSGWd75tlbsm1K3ngkLrHXWG4P72uXuZnL4IMqABgCUW
rBdy6fxPFut0mmjUS4ZJzhNuVTklRBWa6yepqbilDATlIWxlaJ5t2RzvlW4ADtsGjSPxIDOXseuZ
qpd2cWT4/QnpZuVMEjUO77S5kxCYmnT5b6lG9nSy2ry96xR58sFxFVXiVvZoFdnOV+V4X6ha6hxA
8gzGqWsVNLHUKOmZoIx0O3HVLJ/EYIk1B/tGlYzk2egM/cScfwcZlCwNn6gH1vkPUKXqV12bJRyD
mAty+6gc7sO2n/yHGhiYl8G38hx1Tee/G8iSC7dGvBs66Xxojb+3d/X6NsMFABCK6iB9B2A1l4fH
aJqiK2rFOre0y8K9nxm+dMiZAafp2XX+1qzTC4/x8iPSaqAKQhFa6B5d2gOtIwHjl42z0qG0utMK
neAvoTPh1rIhn6zKauaTMkVd5pL998VB6/HW98DSpLswstT2x1BkRCBxMTN0IFq/+w64jOJGDgJy
0HIkClW9JiNsu71Ra7+c2FaAJpBL411Z7FRWMsQTDEl79gOwd1aVqeFenRv9bFEwNT4HeiftgGZL
6r8s6ZJDQvfK/qBUbV65Zg4b9iEC+3GqS2oFAF27ok9cGVBD91NyimLXqHaefmLHg3mru3ztRcWE
NYqLEHcgw7tkRA+SqDMrtDbOXAkowKIidOXc0h6aoijd2pGcfT5WP5weBn2ekDd3WklKOVwWWGcG
6668E3JIdp4MXXueeDifFccPfxSAUyFXjvTTPHX117rp+60hdnGMFscMnBEIApCaxEDLp1hqU2mG
9bc4NyNCGHso2Py9VdraXTk2/n6066a9xz1md1lQoDl2+6hcv8hkEHQEeBupN9tL44VeGJFtpPU5
Y8j9Tq4Yt9rJtk/YShXSywM5+Xnb4MoLwPQrb5QBLyhA2MXRhFqpMLMp7s9FBaJqP/rFyCR3lwVQ
/YfDLuzLgEwhS77cNruyyZQ9xAghih8MvYmf9erhaZNqnu2wG842eVLq8QMQ0rQs9Pj2Q9CUzZ+a
sovxlM9GXnyy/Knd8F2r9pmiUVkg/Y1llMtEak4UVnRnG42HBBwIMsidNgGKnZzaTzlxJlPX0gRR
xqmQDHmr8bO27QKhwhemk8nre7l+bUCTMlWS/hyje1IBDowj+6jbvf+s5dDuwf0pUfwepWijrrFy
vkSMSREBZ8QQweJz0+dy+nJyWPcMSEodIsYMQ0RPfql+hDcdfGcrxFhxfkzzgCgQLVOe4SWrSW4m
WsXpHc6jbUXjQz5q+T98fKrtE8tMmkd4+JM/ieggnpTU8X8PtdVL+7oae3+nSr2pP2qDmkgnKa8l
1EsDMykpj1lm5kJ52oEX1e0YIvI+Mg+3z+hLVHDpCcQcEnUgCuHkr8sy3aDGalFM+XyOlWh4VplA
1PYlfF+08jW/fDcGSfwhDKhO72bYncODZBLf7ue+b+vHJgyjgl4oBG1ugaoKyDckRyt3cmgJ72Cb
Kp27kimCxqU6W2qPuVKoiVd2ZjLsinS0/slzq3xj6p37F1GGdk5aMUASOswBGs63F3p9KBhcgbVD
aDcKyNIizxpTSyk1S4LVQJPju5pH6UtA8vmUMQe651b0G+HYddeTKhaXT1D3i4lTc9E8bxUksR25
7s+KXSXp7Hb5GNMJNqumdzW7y7p73KCeoDlmz/qPsIuGR+5S6BwMWG/jvZobqI4aUSVG2ZUuelbM
2fz11j0Rak/4Q2p/oky6uKBSBrP+2OjzWXVCRXM7hErRpHKih570+AhTMkJ7ty1euwQsCn4lEl2g
HMtCWD2WzjxIw3xu9Tp2Bz1VH4JR+uzbJQ6qkDv5d44nOt02ev3pqZMIKhVeVyrRy7Hnwu4zu4bG
+1yoxbTP80R3k5F5GzuV74bRqj/fNncdMl6aW7gfVGLQ6fMH+dxP8LEz/dL+gCzZy+JJ3XhgriMX
AVKl7EJeS1K/DE4TWx+VtC7lc5lNzdHqB986Unoy0l9NI+RVErUZaWppOlyNxZzYyS4ak9F548Qm
WQ51BKiPBBkBMp3LDLuLMseaQt84W8pUzy6tehUYYCAfGhTQNq7VyrcUkTiuHWQeLlds/qs3VQ/t
qshhlDg3fTqfQFRMMDEaKXq5dWPek/NkyvH251yzyANqgQvgAJEEXFoM/VpHx3hUzkol5R9jKwlP
zqiP6S7IumA/D81WtLJyfkRlSvCfgQACCHBpsA4apQGtpZ7zfh7ng54Zvf1BTnUHvRxV9fWNPFU4
vssHgDBQTJ8J/hXAt4sdRXJNdfraUc5FhIPJJIhXTqgZ1upGEfw6GhFgQpobBCIiw1mgU6SwnMEM
Jep5aItupzQ6faDUGI4Z0s07sir5Hk6ieI/+KWXkN39CbggJlZAhgn978Qn7QNPGisrsOUmrhNna
yL/XfIAnSNt3exiGNlGjYi3LPWUugnlXghgO6+ITRhW1RVQEVTSQc303hvF4KmDJeJenQfhO8WNn
56Ai/Iz2iPoETb6zi+puOsDKtSmfsOJwBbMORRqwLYyfCBfy6r6QZFe5hrzcmSc5/TTXSvInJ/q/
03G7g5srmT7vFUm1pY17unaIKU7DvyjKbldlxm4op0gwvJ1p+monZ7D7yJWEBzI139p4xlZtGQxM
QLBMmXaZM1N/0hMmJ+WzUVT9jyqW6k/oDoKH7hUj2HjAVm0JGAW5LtC0Zb27gDYhVEfWVWrZ+Kf3
AyRtyWl7/WfR2QjC3z64a19P0HciYSeL0bbFOVJi3ZlrCqlnGGucO5jqoXKL8+boNPL8nV4/k4r1
HH25bXRtiQBEgAO9HOFl4aoo9a7r6lk5R7C4PyMSIT9kaoUYIX0XGqj/wZhoYsAoQL10eT7bxi4n
nz7HuUjmuHyU4YI8aLYE028kpcbGdq64ciozwOPQ+wFmdZV4DnY3DEmMKzeN2NkncDHJJNqO+qOq
BmnfwQj+RqIp8TYaxJu4AMIPPuHC9cxhFuqFlGpnS7KrPWMDWs48sR3vBR+Eq9SadeRIKxuw9ZVP
CIqMyhUPJJ2FZT9ssupu6GYd/xOV6nee7VT5SS2lueOR0/W3oqfAFSHzRwcInCxIB/FjXrkYm+zA
mSeT+mpUp/dD3v8tG+Yt2pQCOecz0bYUflZuBQYFFT9XggB2cSssOy/HiJrW2dRKufvdC064O2qQ
RnfiTPtUv1XkQ/ctLPPzBmnnmmliDwuNXfD97OzlWqPUiCHBiLWzZEnlB8BbWXKytCmzT2DWkh9k
SANzr9nwX+IeE/oa+BIpmlBwX2yyGSRtHuLDz7NkJvu6sbLuoESz/zQHdnWWu7SoNwp6a2dICK4J
fllBMrJYaoC8kqw1mnqmbCx9iJDgsfZV0cfJMTHnLNnY2JWWnGmJKynAGgA1ln2wUSkZ5mJ++MNc
kw3aoZOZeytrKRvk0vxAgBYdeyXJ3aHN2gdJs4LofVhKwQP1FOXjbZ90jZVDsYrAizxejCEwi3D5
lW0tDRLmldMPUWDyrYu+1XQ3ysfoY1HP4yOvSnvfxFMJzb05MDdujNDWlWP9B9gkNWtkYIodY+9b
/OzXERQ1Zgobgj+JO7fsLCk1WDjLaOsPPqMgiRv5JWEFWK13AICoB6uD9CkBWuVGEzruG+/ei2+8
DGk4fGSzYuKHW7dUuQHEljBvpbcc+vIvnM0A8EPDeAfzjHUKlST7mNd5f2jVSHfNLqgfBiPuNxzN
9eWzVUbLaTmJWe8rSmBK40gL5/b4gYAm7nZjBARupDzyDFtE7Li2ymRiU8nqlmzL9bPBeaQ4C5qJ
DhfDB5fHIYeGsI+dcvgw+Vr/d7ad9p6RoEb6AnqfJ9jQAyt480sFwJTqFUE5ogpXFUt9ytAuakP7
nAXKKawTVXWbNi4YKMvsj9lc+T9vH/nryy7SSBTEoK/jDXi5na98eDhHQwvZsoXCQFv87fveoD5q
+t8GtL4/3TZ1fbuQ+gXfQ/wkJFs5ypfbqWcBj22e1O8RvJrvO33M77uqsJKDM2T+g576w7kPO/kQ
tolW7yr4J78YWhsWUJcrkRdqU/E7SpSi3TjhV3kQAxdATzWatkBcwK1d/iy19qsWxEv9PuvU6i/D
vSOjTvQyirvb6786TUKziTwSfhPBbL8cMW6dKNcVv5veM9RhDyc9D7kxekuKbjRB/jeYTfP4/2dx
seF+bLb6BJXr+45BjWYn2Xp65wdt8y4CDnOKIvV0297yMAntCDpA4AvAlHOKF29VZTYSM01R9lTm
enLPs6w9FZp/VsLkzZOBL6agAYY6hT8oY15+tLTKpjwos+wpsnx6XDq6wyD80sIDQ4uUuN2aPxUY
3aZdokClcnuZS3ckbNM6YfydAjdQT+XSdtcYozp0dvo0jvSkorQymQLMbDcw6XTDVWVrf3MYob/f
tro4PmLWFDCjCJZFixdvdGl1nKfEbqQ08KaxMZ5gXez2Zm3nOz2GO4bbNm0NronH7pXj/1+DYBp4
ROihA1G8NGg1Siuro+x/65CNyH7pedl7oOv8u2qqZOcpRjsu+4j0oGF+UGJ1cHbVHGxRGyy2+uU3
iD4C8aWgMbkqr9M86/15lr7BqO2H+yp3ZFKfCkD6n4HyaQnEy6x8oEJBXR5u7/fy4ftf22w0F5a2
Oj2zy/Ur9LXVHup7Lx77/mB3QbwrZd84FqEvOXeWkVj/KqLF942e1yc5b8P4MJu1tPEzVnfg1a9Y
HPS+aYamb5BBnLSiGe5SrRxB00baXD+bUTT+HWY9hqUjrvUtQUuxvuX3p3PG3RLduqsprNTPENdK
NOkbA2bIh5eTrj0zax1z5NH93XAdixDnZbOB8XG8mYtgCktsw6t3yIgMuaqDIfQALtfyR1nNVckd
FTRn94Q8waPetHbylyB5OOVl3mx5rrXLBXsroEAhG4GDvjRvzUZJIF0Fnl+jiOiUWXye87z6njjM
BBDW5eZGkL12uRgD4dmhO6lzsy8NatLkBENhBYhmDPawn+kmHEDQxdq+xYfSANYla9z3sT3Fu7Zg
wGtH+VqqNoLvtU+MuBBNQoFY4u27/BVzVXZKMZeBZ8F7ejdojr/XpsbYVyYg8dvXad2UAEiR1JNH
ib9/9YElI8X+bASeMg7J11oVhDmqw7SR0vbWVqK4ZozHlmCeYT4qnAsPrSn4SLNFZRcxz/GJyqae
Hsu0KpF4VyJDfVvS/XJ2UW8Hwk3wQL602EWCh2Fu7Mr/Fla1Aqwm0cLpOEhNMB8Y/R2s4+2dXDur
oOJJ8F8G1pYcaWrTjkEhyJaMCobLwVKTfVKW9ocpHAI38Kct6t+1zRTZkFD/gLhwOV1INS9Ie7mU
vukEhm7pWHDopX2Qf3b0MN1Sk1m5FzYpviPoDVjesjOl19B3SqglfgOqEu5Y5/ygAG677+byrpl6
53OuRdZRS6Qhce0CvfGNe7myWGJTHJFIuPjX4luWtNxAbDWB1ypTfNd0U/vYhWA/mHsirrj9IZep
rzg4GKP4Tj8D2OBSbsqgCERS20m8sEWdv7cCyfpD1TSP9rbdV4dsiOtoNycyJdRunuViV9kC1JcD
Bur3VVO+WbNO/CBQqQzDiT4d+JTLS+oHYzamqcLRKpXhxCQHRasshK61HNvuQWEPtvAoa9+bb009
lYED62q/sySS6iY0Mk9X+3+Blc3Znqquo+0afN+dNUvR2WdE6OD7mn1Xa1vm1z63YN8TxTpqEC8p
yyuvFKiZrqSRjy6TEWs/UnuATjuc9Z85jv/P7a+9aopyLkwAsqDBFH//ypRpBV2jOXXsdVEo+TsZ
Kp/cha11KN1RTquNPHLlPSXHoOmt8HjTOFs8aLo6xmPLSISXzp1WfyxKI5M/mLFZDl8oHFvObnb6
PvvtK0pzqg1qPs+3V7vipGzecR5UUdulFX652hKgtR+kduyVgT6BwoDq+B/Jrf7Z0hqjP2bmGG4B
qlc3WCDnRPOFqvkiXoUIjw+cSLGn5+Y07szRsFIiNtqFZz8elR+3F7hmTVTlTOrKAgC/sOa3Y62N
UZUgHzb6Gb2AKpitc5bZmforGgb97W8M7D/k6jKAMUH/crmfaZcBWJKt2Ct0NMvcAS+Z79ummO8q
qwi3YC3ri/s/a+LrvjqrvsrcthJEsae10IA8T9Vc+49AtI0/dhtucS2sGQOlJXTnYHcgPLg0ZgC4
13sJgeG8TPz24xinsb2bOxRqn1UGyI0Nr7t2MwRsmdFjfM4VCI3KYiFN9RR5qqT1mWuUJE5qDlzK
zTSqfqdgsJ1CA7PaN3/gCB7a/3Az6EVyZAToD2rcy+WWwASKoLQSr2lq62djTdZJiYfkUEiN9hyB
ht16Zlb3F7ZLQeyHaMCSPaPVzS5SAWl7g1LL895J4Cpw1TDsh10mV5s911VzNBPgPAF/zxN6ub6+
DPu2hJ7aM0ONydqmVuZk18hWtmvtod4QHxKbtchRaHWIUgMTvVSxFoHe5LdN3qZx6jndYFeP8hTN
2uPAKMlG9Lrizhwm02ilCmbxK6SDZjlBX1da5vnZaKZHJdKNeHSjoZ6ORiXN80NhpfoWw8qqUfhh
YX9UIXVYBl6DFlpVL9Qou9HPYUEbAQm5UjcOzb4tEs08KnDkbulNrnw+5FxpqcKGRhdgmZgE8Bka
aiUnnmTUISw1ChVXvSbn9suIgdycWZ/bjnR1lbxVL1xLRB+Ll2pS6zGYmyLxjGoavjv5eDcFqlbu
ykrJWmrqQ7uV7Im3Z3lo6M9RTeGLggxavE0K6Pd4ghDHm7Mi/6jPeFtqyrPZ7YwKL/tEix4YvSx3
Vvb2VxmSYYhZ4WznaVw2kWcm4GzkFVKPWnpWHY0S4horaTLtKZ2Rkt+Fo6pFnRuUvmzvainr7a+3
N3vt6wKIEOmDI1j6xd+/cuxwx/XQp5iZp2ZJ8cfuHenJ7DXT3zEQP57ebgsqIhIGEYEAyby05Uiw
90Z+jcBmUBnvIiXPv5Aa+b4by+3P26bW3ICg0KA3SHuFcPLSlKS3hCLw33u5HyjjPptaKzgwQ7Yl
LrC2fSDKgG4RHGu4nEs7RW2qg95auReEtvGLZrmNsmSXQxOSI4h7e02rtgQsnZoIdT998U5AtmWi
zu1knt0Y6R1sP8UH5J0ty+WEbU3zrdrCewIKp8NzlS8HHdR7jKmmXpWggXWfJENzanNcxAnFq/zz
7YWtXT+VOI1Y2OEYLku3cA+ETmEgUZr0sYn2h2y4NmMq52SA5MTtxvFvrWvj/W2jqysEBwPIk3gf
Hq7LL8f4w1x0KQe/Thr9Xdqm3Z/JqPtpb7QAoPe3ja25NIrDEGMJfh8Usi+NZQIlpsic/DjNU+tU
51o2uZFSAxmRZzVAAzxnRv942+jaCknSaZTBOCvmUC6NOlAvS5GODKst10Xkjg542kKb7McysLbw
FKu2xPw4JBbUBPSFLcp/purPfuY5xkDf22QW7VAYA7JSihZudSDXdvOFdZClAa1dXu5ItyLbTE3o
HKm8Z0eIjtIM7HFdH5SsDu0HcuI3Nv5EYs5YPGjV/2dycVpsEN0lmmy5lzWwobyLUq3/gWRVXe3s
Su4+DhVdqttfb3WRgncKp0x7aIlQiau2b4a0LTxTRpeLSffxvS9FSuz2iLrfT0qcf/oPBkmUcGKC
pElfdL2MuZlLxckKL7TC7DTwOV3TjORdl9XNI8/TvOHOVhf4yt7iyAxGkKV6kBfeUPHssUI+IqVH
/S+xd/4zVUp7o7YpLtnyladsT7URKA6QyoWvnhqOS9DUhWfJWZ3ta3NUGcQr7GojNFy7C0QIgnsc
Wh/+fXnvyrFzuoACDqLDXfU9VTTprgmy4rmdnLcBNl9OpYD7EkAgs8N7d2lpbsVYTd4XHsKAsXpI
AYb8rNJwMwRc+1SCr1BQ+yH4ddX2DvI4jvAfXmzVwXNWVP6neG66O8b6PuZVrW0ERVvmFh9qADYM
RjUuvNoWCnx9ljtukStSQf1fDcq9aTX/IeVk9ApMgzj9fLtFaELc7MydqudeTVqq763Y0o6mn9XV
J6NWky1eubWTSE0CljZG5YUIy+V3CxEVS4JwKOCoN6wPsdRFEOhVpbHxxK0ktoTmBJdCo5SRlIWZ
YewTv5mM3OtgwvcfbTWUu1NamtWpJHN51xqIWexqPyxkJo/KLS7nta/42vrizZOtRoQrNqHRrMnP
QZEEzTHLlMJxE+gR5L1TosF024Wt7avYUIFuFc3BhQvLaxPCo1jJvbHL4uGkSspQHfNe3oIqrtsh
82NYEHbUZSOwajMK+qQKHmS0UvnbiZSh/OBQ/nkjFczLBRdMMBAgCyLWpbptbI1TMUcdN6GKMukU
ZvWDPkLrlObW+7Ao/Pw/PDocfhHKkgbRYr08mHU5+xJZYOHpo99Xbjr4xX4K0vmurtrO3IWGs4Ut
Wz2joC0YXACkSLvu0mJeaUlZNVLhSdJQP9jF3OxygGH/ZtqCJ25r84xgWHo/qrx8tw/LWtRpvLK8
uPJ1mw/akCalNzexfZDGYbpLpSZzkyYPTzOCld+c0pf2/8EomFOBs6e2vfQzkPiUQZg2hQfnGrxH
Uu3bbjkwER0Tyuxl3Hi3swd960laPbAW8uIIrAC1MRYJbpkMJZ3yAIdj0zs5SV1i2QcBstt4+lb3
9JWdxdd0ZpmKRGwStAzVgVHa6DcCgopguaIpf4igKn9KgrZ9d3tT1x5c2Ml5n0zCTzCDl2cogh0N
yKDIH+ZMGk8x3HbysdLGUnsHO6sxbbjVVXMatJyick/KsghcyBqabqydxINzRZV+IWbVJU9yZ5Rm
74pucfz99vLWPh4MYjL9F0ZAwGVdLq/VR97esM2ZUqop1ClKSkBY1Y65pRC75rHpD4gRMIquMBJe
GjKVyiiQsE49KymiX22hBvNdwcxifiyZymIO0NC6u9trWzUpMj+KvXS99cXaZnXS5MlpMw9lriw8
OwZg+n99obTNQ9CiJ7FLYW2rN+KLJe7sxa2yQrAYTOVe64jSQ68sObIkJAHnwPjZzMCEj0RTmfJX
0fti3md6mqqnrode9ZwOqWLBPlq3mgHnnj6EnWsVDIud6qoJo3cTwd6X27uydsLIS0F7C0FiiuCX
H6JpzaCrIBv29DKYP+UMUfbuFKfTfZA5zqfbttauLH0hsEt8Beoli9NM9tvmkSalXsfwZ72Xw7Ac
PqmtHvuuTCV+5yTxD9ueM3PD7tqpBvzGFWKB1wALOBxaohAubV93qfOVqelWinaKPNZbMMO1MyZC
IKiLxWzrssSVj3UrxeWUeQ1MW/5ejfzpH0LLMjTCfv7DaJTpdHtL15YmOGaoaUDIdFXwttICuPIU
cailrB2fw3au01Nd2Pmwu21o7ZyIy6OZApF7hRnhBTPmJCcrbZNUC91eqaPuzpanrjk24TTYGy/m
6kZCU8lVBaUCaPPyWGZljyi8CaQub8fxFEEN9mjPqLO5URtZ1i4Ox9H/L1tpEhaIIg3yloubUCcA
y2RVyj0lRgLtMBc+3RAdjPvf2zu5ujREvURAx5lc1taSrISLuCX5NaU2ov3TheivRpCxDju1HUNz
HwPg29LQExHGMiEVmylI/cUYyuLqZYlWJBP0bd5ooSJiyHHeub45N3trtifGgen/vQNu599lcVJ+
oK5a/rq96rW7TxpCMZZklUx18UERV8K70zHwZNTkI9dvZaVk2LcNGJ0qgVvJjVlB1BlZ5tfbhte2
G0gzCwcBjJtbxF7xhFx0TPLv2YUkHwjW4cE2+9Yx9zSDmy8NCLZ5I0hYXSsBF5KTgopnGbPLZan1
VitlXptbQ3xMHMZjHySp7OqfUjyHUCzWLUJTLpR2yVaQu24bTyCwbHiExT5XaWkMAnzqzRoVgcCI
M+sRQRKBzrHT/Ptoh43m9hpIuo1u2JqDoKlAz5/J8+shFdmcGnOSGiruMRSX6IAnzfhomzi+jwzq
xOFWiXoNwAKiiyEugE9c2+UQV9lA72wnMXX3elC+GmN4rw8qVXe5G4N3oVUnP+q4Dx9i2aq/qkke
vONhyj4p3WQ83z5h11vO+0n1jE2n888Dc+mrlGgsrBnQoCf5TXVMNcl6tNssDhlDgk/TLcGUMCLg
jM2H23avTzZ2X0ikeW4Yj1gEND3oi6i37NDTrL48qanuxwcurtHu0qibxacuk414dAWXKmwyNENj
UAypLPyIPI8wW0EcSabdJpbbW3N6p1IUHb44klbXLq0l03oYI6dJj5Of/CFNaJzAVeOx3BpTvHZp
/BQSALS9aRpcDWBaFsP1RmdFXlyR2cxMyvwth2iOHrIKrPLBH82xPUkI1pMhSJm9M9pEt063P8HK
IeRHwLXAeAgl22sKd0oDuZHR0LdiIlhIu4v2d651hlsmjXmwImQMENkEtMYhnrzIHPiPaQC1OVlK
s0kqdB0NCJ5PQfsCTyagYXFHX3XYSnVuITAdQ28ebRNGDL1UsiO1PGgNb6971ZDA29PYpyy+vHvF
JINbUoLQq0LmeiE2TqLhmFppvYWr2TC0fDZqtTaNKq4wpDnVXUSRAt5mKCzKjQ+5dpdA7cCcJ7D1
OJTLnbNrWU4Se4y8JoFTzqXSJcsnHTKw4ViZTPrDiihXW+KvIlm8fJQ5NQyhMrHDUB9MnpdGK1q1
Uh6okRdAQBI+gr4bfzlKGrwfi3xMT6AqwtHVhrk/5VNlJhvfcPXsshACAjFFaS5Jb9XI6BStqhB5
7Lviq6WFw7s+bAPjOAbUh9y0CWHoDorYnA8x1VrdVcZ+MHNGHWzlb17KbbW/faqunxD2g4hIE51H
/hGO9tXxbXU59n2njL14MPKvqTzX9FqQpjuYGffotq21gwXpO6ypFJlwaYurEjal0ihznHgtM0jj
E3QwKtTkdT06W8WfdUtCHEOIlF4DLSM4J9uwYVWBbk77EuRs+w8hinKrq7K2fcTK1O+AFvDnojYR
p2pTWVICuEdN38tjWHyX+vb3NE9WsHF01pYkaJKJYbkIVEIuP1Tqw3yXIffs8TOG9AArbAevOX2B
ZgN5tubjYRVEBIYHB1jI4rnJTHDwORzwXhSG1vTRKYY0+gmBVRS7aDOW0fvEDnufIUS56k691Abn
djD9LRaftQf+9a9YPPCy1iMFkVWx17aNfNfbKYyEGYHzvh1q/cFIDfURZEXXb6Rca2aFcxACR+AK
l4CNmCau0ZVh7FnhkCf7IAj0e/h55M/grBClmzv4K94xLTtv0civHSQo3MEcCYKeq55B1A2IxVdq
7EXg4x8BUxK/qBZCVYLf3tyClK9ao47+UoIAjruIWJ1wYi5+GGMPorL0UE2j88mJyokS3hh9un3p
144T3h3MlsDn01+6PLdFn1e6USYxg1ohTJIIE5Sty9RpHO+CJjDUXWNpgHDLJEkjN2DudScroW5/
vP0r1hYMK4lISEhJwO1f/opa6bq5ZwLPs31Yl3byGCnlc5FFg+VqfYH27W1za08bFNH0rl9m15ev
jMpMWjukPKElhZ6/vSF/HTpUF2JYGr+A6Y43zK2v7v/MCd/xyokHlT4pc5ahcmtqSX1Au85ynst5
Bl5BchttvWJrl+SlpCRQ4yLmuTSXNa2t1koReCZiOum7TJX9Bq5JdHWiUx070g/LrwbjEEq1WR5v
b+zqSilRAOjg/bgqnfEMTiNjUcD1DXP4iOiSUHCRynRv55BM3ra1+hEZg2bgUEwnXBVmpwHsbY2t
sFKGHeJqxmNVdrILTD/ch9ZovbmBLcYtZLDbDANDp7Lw8JIeTdDLSYE363o+7sPMDJy9NHfBhoNf
20OCd8rpFCZ4TxYO3hpa8PZSF3tNW0XnuK4zUXSRkqzataraqRvLWttGSi8gC0HgAthaXD0n6zO/
qwjXR/pPiELNuvFTmgrtYNtD/HUetc23Y3WBL4BGmyeZyPzyfGoJxVATkIiXZ0F/TPvQKXdSUrTw
kcIGtL99SlaN0VgWXTUezOUgG7IFQQHTY+iFqlZnB4gWi8lV4TRpYcqDreq2tdXNBEKFUJzQUVqi
Nc0G+fo6skJvoEXxhIRD+aSA2NyDwomNXSRHxIpvt0j5EWST4Lwn673cTIXpnCnuyG/gAM4h+Wn/
GbWfPOdVNxyUoQ83tnNtga/MLV+m2jSlroBK2isQydrn80gaByfGgfw4+jdTTfj7X5YnZuEMINpX
DcpuZLAfYSQ+H/yNfwDCPRmTidxe3pmT65dG/x9cNe1BqsYEi0L88nI7K9OPKoXGgtebuTLtSqma
PjdJ6zsnIn3t/vbi1pIdroAhpvBhEllWDlSoqIaBioWXKpV8UKn53ZXA7B/NUHYk19aaAiJv2XFn
JIF+3ja99h0pfjJIzIw9cevi2CCGl8qojSXe1GrfU2mUYxfl3uRRV0Y0VAM5/Xbb3tqbRK2TjcXD
UGtd2EuS7H84O48lOZF2DV8REXizhaJM007ebAjNSIOHxJNc/XnQ2ajpiq7QP9tRdBZpP/Oa3qqV
BXqGY7e/KK0O9aFqijqc7MY4E856Zy/u9DV8e9hrp5+SF/9t2r6vONOos8Bsc0aAlOOiX5aZQlTQ
2ZCY6lwo1Y2zcXUw0ozNqhnS/V4vbnCarE/UtASlNvVfYUBzQixnGsPOMcfl+D98GVhUMgFAM0CI
X27UUs3qIbdKLHISqBIorVbvXKWkYdRb6f8SUPzG3wGZAd2/ZzhWS1KtE4plXxdlbNezg2vQD1uk
9TOiRpY/SFwTfH1K9FuM590m3aCMnECqauxRUp098KkgNPWEklIvGlY10hv3i2b2KVYW6/1cieJG
JLzbov8/msMLvwm0AZHePYRFroADsYbqwVZnXGcTBJl1X+K/E4dCS7qghzp1t7a2Md7YN68HhuvG
ElIqZeNDKnq5lG0al1lhLtVDHqfyLsmbTyPT3EN5ibVzViwEAaJc/q71y9dSJ6SrDYgDbAtyTC8H
rWCQxlad1A+J60qgf6Xh9ccyMxdudSs28P6b++bGW3XtQ4HLoUyF2gZA3N2HTm0S6zkb94G7Vzsa
Ze+dVQPTrQTjtede2mWA9vytQXen8veHIhUDt5sUh+BtN2iSThISj6gfWmn04ZStmhkmybg+5KA/
brGqTWbtj/IVVVfaG4ZJR5eDgtfB7lT2bRYDLbG8MNHAt2y66THk3EpdbuXf+6PBQB64aQr9VIZ4
XHdf1RpaXE5V74VpjGBLLE3zPU7kk79ZfD0N7tDceBevjke0tuk4W2SJu/HmXNeUWThemDfCOfY1
O7MmLwsB8SwBhO4bw+0X7ffnba/+lulTIdrtTo37zE0V3QtLV7TfM2VoQzHY2Ymy8S3O/ZUlA63G
d+GFQtC2L6dqvQU5sjNxS6ga69Ak+hDU+vCXTBM2Bo1SmoxbURHc4b7DabVzHhv14oUL9uV+YjZ2
aKY4KuhaXR1tBTGvBtb6CQ0ePXz7oXj9fYy8vRNIR/D27jU38Sqs9NievHDKDe9oa/OIg19yizV0
a5TdxtcTD8zEOHgh95gW0W+zj6mN0cDb3/J6F27fsu0/Mj4gBdu2+SORLmbNELXReSFCsJvV4mxS
sYDc71rDGGZD7/lvj3ftqzaMEVWJrZ22V5aB4dZ2JoZ5Yb86+TFbyWYp7unHt0e59lUbvteifYT3
wH4UNVZFN1SJG3ara58LiHWp3+m1Q7/dkETWYFH+9rswAAJSDxZN27zu9qgT1VnjcRm04rhObvMw
2LJ9gAOdH97+rleHmEgBLwzUaLiq2PK71UoKzR6MAiusdtXbQLV5Q5euzkPwP7d0aV75oW1+X1y3
vGbohSCMttt/ii0UpddxFOqTNv9U0iU9Wd6orEGl6c53sxqHZ+7/LDR6N039obHip8Hu7V9J1Y94
EaG8at7Yq/vHbvtFsCNAcjHHaLrvvl6sJW4D8VwcvbSvLpXR13cLMdOB9geS8vaq3Ukkvm8k89em
/M9Bt6325wHJkqYT6MMcEbPtjoPWxYdYAd4/5Th2//3qUrkno0ZCZBMvfzmU1TG7SspQZtpkaNBg
e4or9yBrqsF5fUv959qHWTx4mwUMzc291OQYF6NijCXOH30GvZpMwbWpRLq9fQQ0395SQXx1JFm8
LS3blOrph+zl0SccR+RQ1cURcnL2qCIUBlMIDZYc9YVjlTt/CSXSts0CqIcvQ3WRJ3a7iP5YNzAJ
8WTqvALSbHXUSeclRFejPrQJUdnb67ZLOrehIBJAbCEE28BLu5Oip6ae1N4Uh2btJO6nCe5sdbaK
tOkuZklbNyhxHtFHrNItfH+mdsaJ7O1fcGUtSZA2uCj7h8biLtBWtcFInHxUQj2erZ9xZ+faYakM
8RxbWdPcuISurCSFND5TBZwKAG2X0KvJCjtoUIkkimYB4FJnOO4MzoZ+z8d59tAq61ZxA+L4eo45
GOSBBDAAjSGdvVzOuizQCHK3fv9cOYFercNBzPp4XKHGPLNnx8OQdClSIiK58bn7kTehlN+nZOsa
wqjfxWlDbGMUBc4lqvB2WE+bqcT3zDP6RzhbsOtwvey9wNarLsqLFM3Ev1vZrf290aNp68FcBAvx
8ru73EmcGKPQSK1ctwuwoGz/xdTECCfaqjfu1+1v/Rlq/x4LEDAe7TQvsB19ORaCaz1FhXSKkn7S
07CbkA5BSVi2l9LI9OHgtUWev3ftZL4MeZ0494QMXnJ6+4P3lzw/AjQTmDUuQFLVfZxqpEpZFF4+
R7AcmnPs6ck7L5fu+1z03juAIcPRqnTv/duD7rc0I8F6J3/bNtfGmnn55QO/ZnUEUKK0Ba/5C642
xZyjB9VpCJVcW4cfNddI+nfldipiL0fdftUfV5RbpIaOUPMczV2+Fp+11SmtwwzY0fpi2nB7A9Lq
+ePbX7q/KbYxgZCgW7B1iUlUX46pKo016X0po1rpVzdEa2iaDlijFZrvZv18yz/hysQCXSHa++0z
Rrb/crhJUNOsZ09GWLDZp8kakk+Fybs9ST0VwSjz7FaI9Hr/AIGmlYCKoE00tr+MFU31WjfN1khb
uSl8SxtAa7X9oF3URFXs88Rz8DggDXCjx7AHOmyrSUAG2pKkB5zUvtePZUJnxZmcoyHRlE9uF4+j
n1WZox26tX7W3daBXgYw8DnuYzs/dmaqfYoVFFwuAAeHW4aUr28tIjduDg1ldcqgewqBN5lDU0/p
ErX5mHyDHJzcFY36a5wb5QOHynlC9Dh/z3N1q8L0+hLZQsat44iOy+YQ83LF13ys+lZp5yhe6uWo
Z0ZySMAxfwYxpt3XaZq/m+ltP5jx2j8pmo2+19sb/OqHA69F6o6rDG2Jl+PHE6Bhy2EZqGtNH5CY
9zqUcye0LNC3sNcgTbLyc2u05S+whM3ntwe/svlo09EyIEIH576Xu0pRyxzjhY8v01UJ8Z8pHjpv
0eF8y2k4zNbQ4wOodjdS+6ujksRtYj0b4n33RixoFCH34MxR2qRZKE1HRg5+BAddLURH0XuoT9yZ
tyzA9ii9bcMj171JW5vbE/WqAK2pqTVgpAgsAcl+uVHgQFFlDVKdqfdcxUsWTs2SHK3CelK2yE/D
ie70P0w42AGeLPJYEqOXq00rjFsT6ftISePph4fCVZqqKZV3Wnzv4zRr3w9K6h3fHnQLHV++k3w4
oOotD9mMd3aDIsEyrNrgLjz4nX1SEOIQPuKY8c+3h7m2rISVtGGRIWB6d8sKL33TnS4R5e6XjtvL
kQjCqYoqgkXPnCQw+kJ7kjgMixtxwJU3Yisnutt9hmDw/gibslziIqvYxY4Qx7ga4ue57T7WfVXf
2LnXDivj2GjpUK4FVfhy+UgR1VHvpyUSGKh87FspP+lN4Z6VpNTno+PI8SnRO4/cC8rwjQv7ylfy
1kNZQ5eOq3K/ivGKxSU1WxnpKLL7HKA50qe86e6MVdNuuYtfuRWpznIhwGygZuXsnnojLd01yXoZ
ad2kk4MI45Cag34hxQZSlFU/ddU1/rOX/KNp5OLfv95Iv4vg6IojQ4cC6ctZtkni10lz1sicYhkf
iSnhk/mZaOMkWOTopff1lI3qwQHYektP5MoKo6wLEIZO1eaOtYusRiOHjFgsPMeY1Cg+TnLpem+u
MgO97FJb6HJsp9VBwVotz6b6Ft/0t2nS7qxyLULEJKvG5HQ/8aNZxHPZKayy506MVHuWckgMmMIP
tZ6tdTArsmzSoAUoWAcInCXqpV61XBwoQNg6srN52obmJj7/Xa3LrI2KrGwOoz476nTj6bpyryBG
DEwB524Am/sIYt20DzNDXyK1m+VX14zNwFHb/C/729u9TT8W3pDBuSMO3G2HySoHS0srGVFayJ1Q
W9UqNA04/nA1qrw+Ldao3sjermx/CCGbeTzNPBLzbZf8EekiMSzyXJdr5FEWwpexm6bHNXfUxxpZ
66dh0JLaBzPVt5dCLYcfWadiI/L2Ibhy3OlYIhwCKIMKxL6PYMK5VwYrV/kJE2witRizjzGegC3K
fVNZ/mXVaJtjbk7iXjBYmOXtnogcCiBo30qNSruRD8IYcY2WmzDlpU6q6hb46spLQb62qZT8Hm3v
HIYnQ1bGCKtFrpHMp9w1l/cZmsKfVWNUz4u7TP7oFfJG9nJtTREGJMQGNUhrdnel8WIujValapRj
mRH0nWfe9UKmvib0KgT6hmAgwON3ipuJp9hokxuP8LVvRmJns776XbzeDZ/OTgqQV9MiipDOv9W4
Ovd0htK7UmhaExBhp83BlpvVxtv7aPu7+wuFUIPDQzHidaHXVfQ0KbpJi2xhzHGGjsNajo8dLzVq
ALGrDGagCyeL/3t72Gv3KJpWvB5cDLyUu0O7GGqd6QoHM1UK44AGjfHBlWoXaApcLuTF87Bb6C4a
5VLeoNxci/NovXFoaTBSsN93cS2Vbkc+92s0Ub7KgnE7Oj11gU5zPpZeMeZ+PkEN/zagsZTe0zsH
0FjAb0dtMNb+2n9sO8M0Amn5YFGFAtGu+mTWJgdoEmuU1h12mgUmZBCPUl+qYj7IuRv8WZ26E/qU
3mXMkUWJG1P1eyO9hdu5lvABy9tkDrd6NAC2l5ca0vtJ7lr8klqZ2h9ytMWPpViUoO+T7JzJxTg4
it2AOhk7quhrJps7b6CMos0JJ/Lt7XHlNIDaI9EGVIDg4h5zmvIC5u6ss0Yog50tKnMht806H1CA
FI96ocKRr+u0vXEIr+xKICjccr8xfK8h2qnd1HTXZSQ9pVehFDdyCgoqO0nY2G5toend42foxos4
5KZG1fDGd1+51alB0uOhGY3Izz7bNxQqdyOSiFEqVfMo4rX1Oxf+qFs52t/HqptxCe1u5NHwg9yd
QLNZuonWH28Y3r6R7HOIZ5xI4c9ceA96j5Op38u8qBB4MIz29PYCXz2FYAo4hgRxtLV2T6hSN2av
qBorrE1ZMJnSetS0omh8F2f5u0Vp2gNEBPFkVSYp9kJt3bfaBmbY27/j2oRvxqrke2C6QFi93PSl
2rSa1W+b3tQw2atldkiE1PGnz5Qbn3wlHKKUQzFlkwEnKtJfDmVgRDPCilIjki39XWuXfahnmvbu
7Q+68oy9GGV3nyRtByxjYJTBLrUvw1LGX2tHd49a56LNqI3uB6eOywsYq+5g4Mnx5e3h9wcXFjBb
lD/4W8SJi/rlRxIJZtbirjIquth7cJ2y/Vq0S/5FlVWW85LoXu2jqmzeiE/2X42/FX4/dEZIKzC/
2Dd/Kno+nY76ZgSMcgWXDlLH842slaeiGsR4kHYmKLSK9kM7uFN3KAuqXzfIMfuttP2GLfyEcEE2
/erO8rS592ShOZF08wmaAz1T86B1OSiPsuidv4RcEXvSzXQRDQI1QCV/n2uWHoLRcPicKCHi/1RV
eRtUfVxF9urN7yTGrhDp3Fti7/to4fegVHmZa5bZ3t/LiTvmwqxrNyrAHwWecCXormFwPjRm0T2i
y+n04d9uKKjPqP6CqGZ5CfZfbqhW9CxdKtxIxlCu1XEY36WL2kXWqPTZoVP65gNq/vV64yV4vY8Z
9jdZk5Ib5qC7YYvRaiyzTN0oyXXrohkjrtrEoN67MR31Q1VLJ5Cxs9y6jvZ3BPO7ga22tvDmTrAH
0TRGaaMd77GHhD0iOuOknneobBOvnLen9cpmZSDaA0DjcQnY57FmN8ZDgtx3VDkUYBBPH49tbOmX
CtrxjSvh6lCAI7gUMOt4JfrUN62ZeXPuRtY6pg99Z+nw01oRzHrS3Ngs14biPSMxpnvoQrN8uVl6
SF4OvEcvEqPVPmhqOR+BQVlf5sm55fB25STwLVv/d8NH0OB5ORRJoYfUfeVFo5JMT93qcPwQ4Y7m
OEmfe7F4l7cX7NrOQAME5DjV5Q0F8nK8RWvQeHM6LcqzYgD4vxb/xno63ZjAa9seGCVNXwpQGx72
5SjwdoCZENVFrtPgKC6rvgdp4gzWRUDmjU+GFdenycjcW/CMbWX+TEO2jb9J8W14k99lupcDO3EP
OnQsjEjog7b6+CfKOxOrs3NvKVocAEDUT5WtyvsRp24liK3qJoZ1H/z9/gnYFsEbQ8nnFeSlqdk7
XmLr0Ty2Jkwx02kOXdmUx65aJlSf7FIQJeRZ6a96SX/p7fW9NvPOJn1IgRQQ9J4cPHMdtKaZGJGT
9tgELqI7TzUHJFPS7oPMFNfvMQK+kfxd21Tbzbp9NGz8/XkBe6NQzkq1yEA2/pDRtvsnG5r229uf
9irWY2ax/KK0bG2oWYK+l4ur1o2bApvXo7r28ruaJk1oDz2Gasqgh/TYHaBtinhsE0zYy0GuzaHP
vFtCylcmGDNEkylmj6EOtd0df9RsdAvZsrXytGixzMlMQuyzezNAwKTSgmoxlmIIJ/pXiR7AeOOM
BG9PwpXdhUM4dWGa35b9inKVGdM42b1qRuOcJA9Z5Wofk2ZwjilyVUMg16X6ZTi1cnDd8VZV+spV
RU1hK+5zK24L8fLLeU+aXhatGWUZhIEzcnWjFfRwbL4a/WKJNGyHWdWTG1fJlbsYORjWHGwMw7o7
9E+ctJ46o1MULch0hbG19u/hObgQoQ37/PbcXrk8yGPIZTbi51Z8f/mByCkkYhZCjxQjr5vj0Omz
fZi6RJgWAFvkKYOUhMJ6mk2lzj60GEFf6ll44u9PE/ohLC5TzULv5xkjiY7oyNOxRvZKzx8yswxd
R5jrja10ZT0RzGAlcT1FaH5/nFw5625vZkY0ZF7yX0NBqvNXq+3DpHdnf0ynW4TiK0dnA/dT8qQd
xwfsNtDqoo/U6LURTbO6/ijngjZgv77LJuGeQBfP92vuVTfKcdc+kvOi8oxvA+/xTqY+jZgCp0ZU
9vhpu/NkgjcCE6tZoxmSGN8CgV8djwYvO4gEnPrHyz2EqhrR64RUapab2cGJzQUyVlcHCHGWJwKY
8fL2nr1yH1DcgC7McFSSve33/HEdFbwE+bgKOyrjSUfWhpqxt3xLU+mOIabT2pKc496j2Yv4fKos
xxnlzFsgzysXM1V/8FUerNpNyGxb+D9+BGIkjUiH0o7c1nSFCLRKS8WnuRodQowua9V7K8+nSQ8H
L6/zjwBHUPILer2Ro1/GS3Er/H09KaRNWICR3FD5fSVvuXi4bMimtaOaCnsZJk0/3hW5NQWJYRbv
ClSY3rl94X12jfp/eP4ZG3g3DSUqIgDmX87FMq5QhNhc0Vyu0xLwlqD6mIxN4QSK2ojpfnaHbAoo
v2mJ34N1//X2hnh9X7LZEcPhZaLvjYrXy/FXfWi0TInNCGvzxvTXuppPU7Xaud+qRnnjqnp9Y26D
bVqTAGHBU2w/5s+Fz3VeQrO2IqfOZOjmaX0s2tQ5G3P/gQAk/uzhrvRUG2l9Wscpr2/cYFeHZ44p
d5pbCWo319mYCQtzJTNiPHkPIo1OWmXF7+dUQ+tBxuIxHYHDHmanFItv9mTAN8Ktq7ONSPE2C9zU
+96Uh3KY46wOz7FVVR+lWr7v9bm5ZMty66BfGwlyKZEP0BWi991B79Ymb+3UNSOlTc84OcT/Jpmp
Hs1pSf+yogc+ZENMIECJ+Qgru7vCeG7bGj0hC6iK14tnVJdQ0jqCGqiW5yod8Wo8YE/sfQXPqSbR
igbv57/fwptHD48floyvrMEyo8hLq7WtqFhnI+rKfnmvpu3opy2+Tm8P9Tpy3Rp+ILrpmWy2c9v/
/2MDF7IwxmbyrEhJ0EAL4HkD3U5so/7y9jivnwWEL6noUBfnVX/1pq8YVQhTtE5EvpweNXd5hybz
lPpFrBp+E6+3ClnXdgu1M0QHuP6o8OwOZiJ4C9uR8WJzkovf9wbZ0DDX9dmeanFjw2zH7GXSxcdB
Ct6KADxC+86p0gqnJc1xosYt7c+Q1ecu8nBVqX5KdzG7H/qMbrnfxUNj3nj9rk0rFwwCjFsjnVL/
y+Vzh3G21CK2o06lZe67luIGorGsQKnKvPC1pvjn79eRUIn7lVYpZ2R7ef7YL53R6m6TuHaEUJEY
zm5plJ1vDmXyNHWVN4fQpW7Vyq7NLsAatg9hN3Cm3VJO7eQak1RsIn7RPrdTPZ1Tp7WfLDGW5zVL
1D4o3ay+VRe89oZynxEPG0QVrwxjuDcLpBDZQU5nimAAFUnC2hXlfZ6J/KBZg5ThjBbNh2VU/9L4
gWebigjYSFw7CN14TF/Ost7g0JWlmRvVsTIG6VoqYVal2XFuVfzz8Ca8sY2unBboEy6qBJsq7qvA
f9TVptdUxqOoa10A6Ln3qDJV32fD1W5Ud6/sWHbPphC4zeyr6q6zkMSaraQyZwsjxKMOWcQYSsha
ahPsIucWsejqeFQeCc/QGqMl9XIq86mMbSemAFkPUwsvWfEeV7sS/6yq7B+rYroFC782ldSSUSYz
YORAdXs5XuZM2HIr0gZgWdeHfhl4jXOAn4shlVvw/letRsK7Te5wi+2h06F5/XKwvK5EX3qJFyFi
bh2HKlM+Vm6O+WrdymNudV1gKkbBLevI6aCh+5n4TmxpXyjKGjdgU6+PCz9l6/htyky0X3YXg50R
Y9MH8XiukLeFfJR+qaWlTeGaDeXF1qTx2TTbpDmimVD/ePtS2uscb2EupC5Q+BhEgDE1dq+Y3rmJ
ju2sF5WrrkKxrevenx2v/9Gr2VT6i1lNF9OrxlCJG2X0rcbBSdDyBrM8SHNyv9R4/Tw5invrHHNN
7W4vFNYIhklNtrNFz2qfDyWtEEXTKWhSajoAocYqCiOgPDYMQVokleHbVayWh0lK511nkej7QycX
uocjtnioSs1dfbAUb/yEsbBlhGMKDiDwjJG8yigbqzvYGjJQMXoeVrgiTWUEy2JiyIsc1XKAdyLX
z1uf56yJUlGC2YpzQwaokurLEOS5h3BNUJl6qY3BgohUMvrzWmn5Gkz9lMWP+arWxRe6Xd30I1H1
NjvWNjHCGf5Knva+yG0r/qyMejfoflwZzoI8TKnIBBcet+vmX1OzTfLZltOs2OiuVvP80TS7JHtY
cH8ejyn2z+o3SguNfBJZU2cXQ5iK99WaU8c9x6qkiej3PAHa5HvtFPenBm4g5lP6mnjVnejKCZHq
PLGTi60KE/+YyY21Z8ttQbwWYpxEkGbJYq++BS9LoBioMkNrUay/xkyV5ehr5pqLi+x0uFuedLvs
1CdzW91LV0zmU5og6B/hqWxmJ93sSxeZaB31LR+qc3VuhaeWlxrG6fIJaMZSBbVWdnGoe9I2EfPr
ZHHOXEq9oYEBhvRRe7Cso9L1sRtiraBVAe2fpMWhJdH7d/Oo6etPBIR040GZLeyboQGXuGt5lqy6
R2WBWudPLv3I59G20/WnpXRFdnSxLEkfhhHfhONSKOrwzknqcj0VNvrMB6j8G5tKqyARRKDbpmS5
AH9dvaAry8X9iiNjs/yirb1oKK7bZIZ3pY0C8L8YJNSNOMzDLDMrnOFbm0HTYg7b+5qxtmXpu2md
pJXvGK0x6sFCj21TSG7gbH3SR2TtcGiOlaF58Eop4gO+YUM2+KXRJEqOUhHKVverXdNeU5plmM86
pCH+2VpmjcgCOkJ2mj3E6+B0D5kCBQ1DU1sapXbI2lpbzwv9LCyYO/CgymNibA33wBtgt6cBwULW
foFJ1lZ3GiI7ypFy+diWoVcqk3lyZK4j2i8MZJzR4TY9d5h9TbZzOsMRXkHWHaqOQ1r5dR8L+672
HMjEK02S5oIAfu89ayIzcjvQRgx0H6c4SfqfSbwWWYC2R95rYWpXY98HWGMD+jG91i5QW44VLiZv
npnigL5EiuCy1qT06w6jtWp1aOXrsoa1AiLVX0bFc34oqBFt+ESteegmmTd+rBWD5290o+pz0SvL
GA5CoHvjkedS4K46UXymJuMqyKfHgziuLc09PTD01NYfHVqc6yGeelO/Hy27tS7SdUilDmUDgOSk
y7hqv8cVTYK7urLd9cNcTu2SBorsR83P57VIfoqsG4H1qFqcecSzeauuaqArqt2foN/XoJ4Up8G9
Zl1XNeaucsdEnHO1dcYL1LC8fFjUXpfPvSX7fgbtmsRetHSJtfpVkzvmz6LRsQ731Xyecj8zPGWD
o06OGv+MzUqRPwzRiO4zyp+LuOuQNSzeJ1mCngtUnAStLapOJnV35L/81ltN7znu1FG9S2FUrlGu
2L2uX9JGOrHw+4bmwUFPBhQ2jpVlg5dAvLiyv6dGqyT/ZuPUWSCEaF2GqT7m46kQQm2P+jjpyR2L
24l/BVIT3QNeu4pUfdssVM4CGkjp/M+Y1MV6hBrm5qWvjdY0nZMZQQqeGXfQ/qW+ryaJj9ijKt8r
ccc/MtwsLs6dLtG3K6jWJU+ib8fpUUtbZbqooq+Wz2wQxw6MeWnHwO7MXpwmW1vac6pPanqWg9DK
u7zulukf2ThOvkbdkNB6sqdSyy/D0Mz42MpMTFxSQqEhpCddpv2YADD0l9xt6/G4DGq8/KgFD0rg
AkZCW9Vu3E0C00i6Tah6Fm7ff169xkTmN25NmBtqkprqd2ihwrqrUynlcCwXxKa+ogGF/MPs8iho
R56dajx5wvZEj9kWfMgwhXAxOIFY87wJ8niexZk3sG0/IozR9F9ByqmyCe0RVePvi2T78Fgsfe2Q
5IBfEk86dvbyUrhA0B4dO6W2Cf0eCXH6vkvtBUiJ2s2lUsdMuTC2Y39YZzlnn9KEU31RyVCXs1D0
DIi5ZTUy80vTy+6nwY4HMtPeLX9YtmLP0UgfZBPMHQppfaYDUJRfZSlmW8dNljNzriygCg2PZtFr
p6K15Dj7kpq2fRqB/AzvqTGbzYGIvaE22QlL2MIHpka24rUABZ8lde06rHMX4IFfWVXj4jvaZJgl
CaLohzbHFzwsJlcxBh/EcpIdKijXSlArrt2P/rAQhvojwiLNOZVjx2PRAt8NWFsdCY4qM+1zgpPI
6m9OKF7k1WqThgWqY+k3y248eWfYS2fO4WJUznwH8N31vo39pGTvk8nTR8RP+7Ezzl3nxJ6/9AOM
Ir9sbaG3B5VzinU7PhGfRhXE8P24mrFymtY6y9IQxHDmCHQi7Wz9UfSzKP/ru1blFzZUur1nbGHa
9XOTp2aRB4KMeQ2kWeH8FizmwJriYeYtT+vgGfKIDwndpX8MZZ1aM+CdXOIPMbIFR2xQ2gF4Wb+k
pxpeov6YZDJtInpnEFwPcD5idHq0bUZKEJQ/uZXqJRyaqjygawApU+orutH1upbtc94qLJWccS4M
gNeolq8Iz/qvTIvsg9N16cTLjR3S3ThOPfFZsoxRscj43zbr6cIruOa1oUwdRQR4EVvfrNx1s0ch
arc4lb3b1aexLgjAVTQw4Dmj4XOE2Imt3yhinXooBqwev3XU6se5iy2H0YA7n2TTx5ovpmH6mbkj
2s6um2TfOyNOPneGVIE1Js6kHbNqLD8YRhJbT0u5znkICGREVacY1MY7QXYxi+MonXa8X4qqS86a
MoLcbDOe0buqrOcPi2HEy3Pbuor3La4LLfPhDNvvTQrIynsFLcn537bCHENrtMkICPviZ7laLOdi
TJYWqWo1/iwgwBVBaQrzQz80xjMGyKvpe7XutREagsVBbkSgi9qoKHMIZxnyQ6UNNpEwypiEdhhE
LoFMpNacuG0T6yz0fjExhTX6D4IuQMajwDT96hqz7QJHQ1324NrxmBwaU6Qf4okNGWiOUn3Imlb8
LFx3iE+6Nzby+1o5RvlTrqh8BtIpbHZzKjR1OSD/iWNPOtO5/E6AOXrvlKJt5s+DjsIcyN1kqc4r
sjlIZVZKXt0TJwkq2X1BMNPxmLfE63HrvON5y9S7meakefBcaY4+cr6ueszYrmvlG0nu/BeD3SI5
80gPTwnYFXFqc6LlYJZNXIAJmMzxWe9oId6Pmpjnr6ZC28oXzTjXIfYTiXcuGpoGBFFrkpzy0U4M
69BWus32sYzFCQczdTDOkhj0eBrX4P00jWp20sxEsTPCO89u/HGy1PdlUS6/crWupoPFL/lYGIo3
hDxhpu7b7jTJpzWWmkcWZRIm4Lq+Si87rIgbiMAq27Y4FHJC3572cpUe8lbDd1pxE0ecG/jl3jee
z8oKc14p5UQzbVljf1XVTjnMDYQwetVuVZ8Kw+3jx7QrjORL4XROHc5C7Y1TPptqE8jUsrojqjXZ
/NDLbqSjJOq++UHVZCxDxSl44hKD6+xbm6+NftkwgBkkhXnxzokxG80Xw5zsE+7NHdCfypBj5VfF
UqShN9vZ/Exm4cwHYyjcHKhmq60XXUAcJVtEMrmII7Vx84RjbeTOHTcIUFff6tzODvKiHY8JUP7p
YM9eJZhRfaD3rS9VfMBPZ3YCqHZpe1ohag2+6SZF9aXpVGM6Vqoh1oMzLqM8FG4T43aD7Yx6WXCO
s0O97NDvzEUBHdEorER+XOfOUXG1KxsZ1A1K4CpHiBArOZNXyWX4uFJFBUgBQtubgfb22lCNvpLb
SZlFVrw4WvusTAZP7RzglqjpFOZt+hHl5Kr/x9GZLUmNY2H4iRzhfbn1kll7AQVFwY0DaJB3W7Zk
y3r6+XJuJiaiuyEry5bO+deHRA1eWNZSbqlhJW5EwgCL7fxJ2t0jj4ujiPS/0Cx/W9UHEsOgf57P
8Ugc/Qu78xT+bviNjqUm65/nbfcUO5wI+au2bEJm6hkdv5016tOy05olyBC/9ZEikufdW53g4wyD
1tx7sh4ga/zmCO49odX6sPjU0RdNevZT3rpb9kbiYfSN2u/zZ8Qs6+ZG7oRKTvpcUrwp3jlUvMXB
WvTxKdJfdMa5XeFoOBccqYMlS3zpg/vADuHnkX0LoGTzMnl/Tg4VYdKbgjgnOORMy2WdN5W3xiFu
tE4zM5aOOU1azMu8v+reQybkNQZlw9DVvnrs5/DkPMAilnfgk115esHa5POt2PfOtL0IimZewg8Q
j6y9zG2qgkKMyyQLSbTOUnV2QcMVpE0SUlrbN1M+pWN8Uuc3cs3ZEZ/stk1unIe+Sv9l+yZ+TA1x
4nkSNvE/d83E79gmdiyOjiiqIFsXj39Un8+Rc1MmuEO0J8wcWedUSxaKIfcXEX0cEML/GrOPe9HQ
0nEWcbaPP3ta3JtiaTkGSkTjM9vP0k31ve1cTffrjILYD4Y2QvEJolKqsGXapxs+9PKArIXfkXEO
mfeQzCaXJFx8jVeWk7z1TdxVph8SB4VcMvTFgXsUz+2h+6V0HLU5nKWJ/jwd45oVNSjGk7MTfpfv
o/a2SoanIBmdIdPJg+28BX2HZ62L2V/HNh+tnryiZTlpimNesyQnX7F5nYx7rnlMEKG97uwgr3Hf
3CTndWT2C+Z6aquZC9QTbVe4b02o7QdGYPa+o5YWdEAaAq4FMSFftd/Nc3EkYf+H9WzGJeys53pn
bu/e007Dhld4sm2pQ9sznMTZuXmf0sD2xCO42f7JCcNel+15UrA+IZd6OkijecY2MbCsckASWii2
5Z+/dbFb1dRDLUQrOfNVjZzRJWqpbisSsv+5LA3pqvkgWItzx2QwpzabyFTd4tX/57TULBfeRoxK
wVM2rMVOxuuXkE/mVWi9RFMp9zS2bNqTSL0e0CLJ+1aPX5fJN0eemoXbodkY6EsRt96fMXDNXurZ
87qyA3jks4gu5mpGSPVJB4a2rCl2ml+zr6YeW2/vOjkLLWr3SA9HyUSpxMWynDwjtQIFJd42YqEz
OB4qwqvinZTWHstImqj4+zGzZKtUGMHeG6t3ePIpyoPIBj6nsw0MWXku+sqjQxpYm42osmxT/IK7
LWXASW3DTuAFna75jm8TnE+DQFPOKv4vcW4W1dE/28LvE0lDx8l743rvfbOlt802+r20nffT9OlR
ZutJrI5bT92L3gFbOE3q9KsU59pe1iDmwm1Q/MhcorsBA5lt8EFYqTdgpYgW1nKwgztesyngoJTe
mG/HZoK8C2SYlJNvT8GffYwV4UwLLv+ApLoc4VJzlJ4V88C3wzWRb8bzanxwY4indzpjZtCExomb
oD4+8lr2Oz5U4e0yT5bOFwQIzuNYelPqvsTtplwuZ5dwSCTTmV+IuMv+C4O5xcvGwffR+k3U5nGd
kLmYrPv8mflHEVcd0O6ZnzGdxLnPNHB8RrxYIxA4+ViSN1cWgQoGUkTV6TD0LIs8iqQdTPga1yh6
+UY8/4K7H4TLG92oLqN2an8zMfg4b6R2/jvmrY8qM6zx28SlPBazbhb2azdt/rmdmlUF/HT+HP1Z
z+Wo2dpy1eBMKyzdJ9sbwmUxvjaJMtvL7AbyIdnj9q3t1lTnc+N1z5pLerrYFJnvw6AkH3LSiTfD
Luh6qcQ01tRsHqorOrMMEcN9APMYMsff9YCJSUHgOj48DOFxnfNs2bkYASSaC3K2Yb6E4E7nBfyQ
pWWmeDWnx9Nyr8973RQhcdGqEBEe3orhYu0eB3DmtnJhVLKv7m5rcM34GFgUiWE+D6dNK0neJTv/
osa+8rXbfY5bJ3Tvfd6Yo8AYO+k/g+OijJ6HNdRPngTiv681HoS7urWUhGbMAktJ5e36tgS2A3Yh
pQmRxeRLUGG2ZFXIc0vY0Rc/fD5h073cTGQ8oLWOI/8qzEYXxLnrhn9FJaG4ZxYxbpGOjjW5G5CQ
UUCYwjV5E+VJd4shIa5I2wifjmpC/umgj32hbeg4x2fHsZMq9zDkDfapuHLv3A4RYLsucX8lCr3r
oEHQHBVYHt2sYCPf2xyCvdmuo9QT61e2HtFHEnXJfkk28KBiULobc+BQpf4srYkgFBx2z6ITaTKW
UxqRoZnbdGpTHgB39m5w8P+HJm2/Wnaa/nNq/eMd+Vq7FMsS81dNihqM56YDXb9OQjtvCoTXz+U6
ri0M1D4nc7Fbx8OMNdfxv9BfuOAm0l/GXLYZK/BE0zXvPdIepzrYikxh/c2/XzIl5XVCdvEu0FyO
xS6wc0s/mu2ljvT6vvZZr/KTJ60rB/a9kewRCJ2Kmx7IMJi3JqnCZExeR/peeIGbQ7mXPh447Tju
lyrJWqcvoBbOL7500g9XOGn3kAqrvU++lCPzjc/wVuFO3tacW0UGzzfUVlIAeFp7nyDI+tLi2djK
Y2uQjPYjL+XFsztx47zS+iiyht33HhNK/Um6SshKL5H3hTs3E2U9utPHduhI5vYW2/LY0gAaVqCr
rD7ZEQRfBtDSNl9oCP7dJzRm0F/DIYCBWi/AEa3gH4ql8YNCx6G8p2/R6kKEo/7H7975q3U2LXnP
PPCPvEuWm2nu7JC7a2jgIqRob7lRcAiXrBtEV6l+z0TVTcecFkOyDX/mwC5btZB4wv1rz/1lVlHw
O7wtPvlmWR+uLAOjgCge5ocpZdcuz7Tx6/JYdv2jHef4Vwwf+K/22vmXyBwSAevaWb3ctaFvKi4X
pqpuGwHDtpFAlqeexqWKisBtLnvwAH5mtrp8ifrzddi3dSxUd0af+d0mJy9zOL2HMpl7Ek+aW7Jt
s0fvI8uOV6SL1SHja5zogs82zhfRTzu44ZZyfdWEdEz5HNrGVJoT+vn2Vn4jAKteixS32VjVUBn2
EgP0vEmT3FISouPbSouQKdt+tPLu9I1+Q8cyNWW4KvtJbtxwVTrN2j62gMJnxZrFr6slwCErxt2B
CvLpxxN87XvYFTFJCGuhahkcxQJEMlUrXT4qzzRKsjwyQ8OqRkAx33MzxW1hVWhfRn2Te43MvoZf
apdJoIKtTcpklWnZDTuhOzEBjBewBF9cQnczfzzu9LgS5yjud2LC+nIykCMQcxuZOEfdgH504dxc
dDjxDU7k1s75LNvmTc8xmDrP7vQxe8YwKx3x0RcjIY9LrvQ8fbKylbIk07v7BtXutgUst/1b7yxG
pRiGNSqWvk3fzCxlcpVW1j+z2RkeDmdV+knEYXPfRs0WM957x7cuOpRfdCgrDNSSms4SXxHt26pt
uvveyiS7pDUBzUUEc+Sw2anmAazlUHkEdfsgQzTiub/a9Sh2d2seUSH1azHEfr2UPRfNA9uwJHEg
WQNVjhudL8V6Ijgp5Lo0N9Qtm108BOCaQKj7DJXbi1tJiLTi20ZQk6wieCfmMSaxruyFo96Yp+c9
3wP6LPOj6X0M31jO/wV1ikW492f7zA9um+cocprjoT13Vn1/jMSvlBwmJ193QOjiVsv7TGF1x9lN
ZfaP5UxB0NPWUHzWyUF/2PV06vwcU1kXGmzivAjMc++uwePpwsr9qJvY+RYKt/5Fb8CWMvf0YNWn
zTDqAr/2OQ7h2X1YAzFTQ+k10WPATLoXQXhO3+wq6n+GE/jMWaL71xAfaZCD+886NwSteoVwPedH
ZxwyzvuMFbBARm27yqEdDX4vmI2fj/WUDsWonZtAr/eBn/olI+Noj3kQy2PHRViFyraMeucSxXms
F9J55kwkbYmFXG9lGqSQiazGvB+mWw+YESeaxhzLk9zLY43YBdy1OYOHSEvHK3a9gRAt4T59SmjR
wnFrFN1exIiN/3Umm9Ak1aP5SPblEJczypy9BC/a63tHrJP/4iAeHS4iBuzlum6TJ4KxDx8IZ2w/
PE2GIYOvP4+gBeyJ9CvIc7944eBh7Ypdbspl93g3EnlK5s7TtN+DhcfvkjSNkvlsp+ZvKlNLmLin
Wv5YkTRh6UCX8t+P/pHetWw06UVHDQia8drgmoXN0FydAXLhui7Tsr8o3KRJ7k8HICC8x86evDLJ
VjiHZFowzXYt+xtn9AXdV33c1Z7SkjnE9752JmnsFeyaQXYbm6MvE7JrzGuLIZg3ZxiBbW8P+hec
TivJ9cOxelwSNIoPvPDUvoEEZvY4chHHx3Jt1eZXYxNKdZkXTan4qdOlz0EQMvcuDofoO2cqDycl
ET1P33CIMw9iHTlc8Awl2NLX83HpVwVCeTjqzB0QqzZXsHzg9KIzHSmCKs2Kw41bWfhdw/yYsSwP
eT1lhO7NINPffd7WujSrT/PEbDRVXjx6/K8UXv8wdlv2ZmeH1xnJG+jjPtmbgSs03a8TCoepZkK2
UDXi9L27zltPy1QX1b+CMSOUNjCDtqWbOM1DQvrOd9U0qJi9dGVPQF2SDVUXH2phrEdygc7NJYC7
3/fWKWAWonfMud1eEF/Q21JrP/yYpDCE28ggfSagkcHd9Y71Cf5iFldIQ298SJOo7p+d8dzEV1xm
0rlDbMKV79lwh/hfvPNH1moJJzYSufAYybZT33kiNj9fI0VwRsfkADZf+0dH0328Q/gFY9BVbbMk
HPdJu6cXcdSQXE4UfMnWuvErYyaHf7uPW5doaDEzoLu4UZ9vArvz5QCAGd95DZuxz+vs8M/nYfK6
8e3gzn+vhT+eb8QH8pUTiZWOFQzv/Dtcg2288LGo6KSioA5eN4Wj70dvPCWfa2Td+nr4zValO9P9
3TyNXImLJSolD9cw/mnmQBEjPfLS3c0krgd37rFM7luIfMGW5zmGW7Wl8cqhTG7MyTGo7Ge3HceT
wsAd3ii33tpE1wngysvlBKHzdC4gD3nIyKqoXjL8bw/ybVnKiX2K7n0Y9eRjSBCk4FjKdvNpMYpf
qJGpr8BLu2h+67bGGQu7B7J7pPosCy4LjQvZJ7vHu3NR8bwvFSmK4/zYpFTZ5YEPhXoX2cndoZqD
VhXzFB7zU9MOuF5vX9LxOGU2ir8eRNWbF48nTDDLQOZFbzbaKM+okD6usqvClsWYYZKepefeLOef
6Ry5t3aunbs19ev3A9wJ69Fu4MKCQadJLvW67mXdi/W33qH9Krix/qdFINRU9KkNWbnH54TfWDXD
yx7F53gvHK0L4KC9kG7zmYV65UzrX7lv3us4rYssXtffw6HXe0606IPq3pCNkg7OnxbPnfPiHSHL
7oYDgDcm/UVV6/KeHNH3npQOoseG5ZvY0zbnEZF5MGoOrjLs5+narmJ495QJ44u7DAqooDE/k9Bk
GXfVUOv/hsDrX2KXlnTUG3Os81BK6zzorE3nAl0OWGi3rgTXqD3K/lqtoCpwk7d3QkYZjYYG4Kqu
RfJHBqEIL9z+WfhlTs7FvzRMa6YcO9ETvej2cR7tbezf0Q1mr5DmwSN4F7heOI9ffKSoF/CNdMqd
ttn/hD7p5hvSCM6bsFPVmi7dfjmmWZlL0Ga+fe1GcoOaiIiQCsZ/qtyoIZIN+1hUpmwlEDlJF/3q
pgYYINW340WIs/4Njb38SrvzFaF5NpV9QlFErtds4vL0sdflmzOhMHOkn1SrUICjG73jurSH2q/0
G4drESt3VFTEckflDZ2pbsmjk805p+s6MEiyWihjd5fXNmRZoHBCf97rY7vfWhy+LE1Z/5MBYXxB
6eqygsVrdLfyTAZsYzpAm7mIPr0MQ9v8I60rBupmm/sRkKfksZ6l559Z4FYojnpp/yYNv5Qoso36
jN80yZHP9Q3km55eusgkw4UmrTX4kGc6/T0W0wM2uwpkOlHN+Z3kXMF6YG8AUOS5zlM/Zmv2caIA
Cl66YNo/GrvqCaRxNM5dPeihQ5izZgfHCuqV3EbOkZSjdHj7U+XDF66oia9BbZP6It2kXZ+lMxwx
dF8T/W3S2f0PSazYctz4rvvlZCrCvhO0R/d2Di7WyTHd07/UIfLm1Kbrq2kyW3ONjgTmdWUIe0JS
1T+gsfLIOxGoOUJ+Vw48htkqFfXz8oVHkAVwGU3vXVzlbkfRxp1cq4PhV5aYkmb1Vy2N3tHi+Fw2
Due/d+fhYwLSlIBsZQBbsj+dq5Eef53MkI9zQYtr26VUtbO1qIYZfYq2S+NF4igQCE3ZVAxIQPqy
Tjw6FYbMMMKvNuZTxTXb35AgO7vo7AzZtdk5lpupettK2/SLU3idt3yPB0Q0+dGGmnwRabs037Wo
ETdkAehoQNBFxnATchmkTpNs+YrWHzHYEfftg1i9zORmWaK/jtqn7eV0doa70JISiRSFHqCeWNI/
VIOpudjC1SjaxwTymSNFtFqekxqcvD67RT8M1p7+5bYZAH65PEXxAeKec+uGdaVObq88MwnFc2Kx
soJ2QPmRqS5DchTqlsHRAUi5dSyheOlQF7FInxIqY6EAdX2I58bGdwmeP1WqaBXn/SD6sKlafpjo
spsw3SF9oqnJ46mLnhvTDZ+XxqzfWWhqFm7Hnb6I2ovuuWuUW2ZWSzZRO92gej049+toxZjjtJ67
qm7X6csJjfu7M2f2Ei7BcjDHrO0/xUgJ4AwDOxdCQ+gDdNvdv0vOgNkLedtr5577X9dp+z03iOeC
fJTZ+NjNnbqXAI0ksMB13SZTj5LmcfD/srSPCA8Df/w6J2Pflav0oN76TQxe3sfCTQovVebH0Izm
nvvePlLw6cJtho0YSk6nz8K6/D+okwNLteOl5ZAOJzHMR8MXn9QucrbYm48oh/44s0ql4frgd8Px
HpISHxVzXc+mao9zeDAwc/MDiaNDSCK3oyNMjbL75Iuj3x936hL/tRMyyhxXPtm0PgRYQLmxt76f
/hxfNlw+qAl8kjUvExP1Leiq7VhNHLklQCZ9PeTKZgzjvmmXb1HajX85DxGA9GJoPrmp21S3q96W
qQ7S+m+KJPCSpjVEa+dFA2oRWa/vNSkYkLEMxuk1yupoKPtx4izgJiek0G8QEPHSDCEXmjm5I0y4
HpraBtyxiDHEcdnR7D9l1nC/gFYPW0HasW0rJB7Qxs68q+FL33nTj3AEoSiO0BuD/2euDU/JLEZY
LV8vy1m2jd9AoqGvrOB+1HDd+DmRnKooGnPQpmmCv+cxrqK1aZdyiGUIvxB0LA3GkoJ9lawR04vK
tHvc14BFkKSUp0p5dl826PK+Uo3ohreh7vEzdXxcZoeRH5FyIggQSkjd8E61ter5RZB2+UAXzayK
yPYh+KKDSuFpE6xKJfef8K6W2Dm27ehwkCyMkw/eFzuDe9cjumf3P0msKZRPXE6uumHS5ZAo9Z/p
e1HzoVMKQYH5ketqlp/fcTI3fglFHDUFSsLALQa3Tn5FkSGMwUBcl0ZIzPZznzWXhCLypyE81j98
q85fdzmXpZIsoe5dMCUJ1BkSStipWjCEJp2/ahSG3bz9RmLNxo6A3H+m191+3Xid5qKtnf3xZBY3
lTd17m9yzY+nk7yt5no4bvrlwGwS5v4w6PUu1pZpNhpV7xe8KN2AaZe0wiIYd4KxFCpSkCxZzwwK
MzFNLAh18m6jE9hG+XuQ3YVLvdSftiEU7f2JoCMuknA/RlKrkkBTH9hG/qV1FpcLQNMmWkpLri6s
+ZC51zOO4fhWb9heLHFBsui9ept5QlHnR3ntJgd0wZpl+zWsjanvDn9F8aQ6CqijJWUg6bu0C+5Z
grCyad72qOCsPByM7MB/Fzt0wQu5oQhEPH9pvdLdLOAqYKxOchEZd2EWn0zzvWnb1PlpWaDEdQYU
Gwqe0Hn3qF5bpuOeCzLaSzSq4HkG6VFSUjqLIjskmyq56ATMsziOKD7uDvJ+xiLufcuVjUpO8Ewv
XCdzPLq/MkStf7tI+QMfod6iq8cSktz+S+7m7uR1fINL7XSxOnXKfykFJzVCG/dLK+IDgTIWqC4P
HbgVk2zjR1ejLXsmNlc0l+CYzPe+V2tbHG0XB5eQ3Qyahk5ifdV6NRwBWdJ795vDfX3tWxJ3n+iw
W5wL+1dCsyx0VnJlxgLF7ADx3Ds8LI5TymNfHwOlKXWYas6BNO35eh1H/rcPcayvaavqkAmk7S0H
jhOuT7Hhl1eMst0/qxE1J7hQtAZ5tt5k9g607nSJatuJVzsEKitjHYT6EnNHJP/8ZEnescTW5mLg
MJOHLku33wHvNfjH6IPILTHlWLkLYEtO3ihQq9h1GguGp/XZW9zusfO28NI7+/GcLY1HuABXwstM
k8E3JJLU3NsBSwOiwHQLnjXSh4O9OQg+L0loRbFKsksfKGENv0arzF7HUJ59Cdc/0tm4R9MbJsBg
fBTIP3aw5caFH0tr505nElglNrPvVgmUIztN2L2fWij7bezmuL+z/MQvWEJ7gtxiBDFXp/eXJ/xA
SF3kjkPiphPpJNc2Tl0u9VjEJSrPQ+ThoUJmXRuxGCfBht3cCYnmQJkYjjBJWa1A0YhCLQhFFf9I
iMzOa4Ln6Cy7zK5/UMWiBW7AthXURmgvB17symub+oE4XLVUe2Dab+cW86zd2Mwv5ynY2yFVb/Jx
0Si3UHvb/jAOsG8ecw8jdK1/DuOWPEFUm89IUc7/8EQl+AyAuUFoELmSXtL04/y0tyG6l+nYw0q3
UfeuFw8Y5uAmLF1Et2e+wOx8QSej/5gd5SSLQZd8CuJbUfbUEFF2w/SXRy1M+rA1c/Z1hjJ+oRlm
+Ltlmm1qIzrloZN99Kn19/11Xj394S5BxtCR7cer5MMB9C/R8L2TDPVWRdrkalnDv6PlTUW2RdZb
L6LxcZTWZe7ChleGmWue5ehCJXKXjFFCq+xqx9j+8TTA+7LfxPkqGj9UyvZzdgNzzQDl5YvYLWQa
muoGHFetjuWlN9NytV4y/V3MENyrOorvN+1O3zZv8x5FuDnQqCErUTQtTZnNUH3R5j8joNQVe/Tx
Genpf820C74PPszUkUzkDB6TBclMKFnG2t4NTfYL/x0RH92Nf1rk1U0W9YoOLv52e6GvvQ+l5xg+
9mHD9m4KhLqmU/okFgBwPzzDnChfCOZIDj8Q8mYvcL+XLBs+T0PqQ29y1xZzFl66/dweBVkPk6t/
olD4O+oDKcJ0Ps5IFHP+KbWjQWyetmWbv9YrwZlFu6DEOb61i8N6RdqnLlS67HOJUi7+lt46sKoo
2YJiYtd8jpo4QSO+qPW/OLZ+fOm9IXm22yDvjy3eBNDvKlHCpzPikXZ/wbfO0w1mgNo7nfR2sfM+
66rp+pMwm8VLijjtow/lW+ezxQD6vqaYQppZrK+zM4n/DvTijFakOPyKx9D9rlkofjqrE36dnNF7
hc2eP7nbMD5I4Rxb6TZ9cBHcFU/evI9VBhD9CKvPlKxPf/w3I7NEaDObJk/DJa40yiH4dz97OVV0
UxrtqgJnHX56PdqofMi87mGAL76maKQhzEhbf4+nM/2luPUffOjSf9mI4ih58eBJJFp+DWbNnCMv
KCXMM6mV0zfhKab4VMpHoDJs66Owy5tfK/dXhPOkYgyAvN0leF1m/R/OGiIVtb1f6W0Nv6W8K3f9
sbfQGTtAZtu/Ce7tT14S8Ec5a+L/brOb6cJEAr1fdD5w5g6wh/60IXXPWu8CuZa8Z8KOT4zIVPhy
diWfvD4cvnM5J1B3tf/gOoR+IoI465lOuta9miMdHt0JZTbCIWeCXvFG8zsIneazifHlDG3nvCRT
b77YbvVNHmzSv+yL3/509jr40R6rNBgu1vOeYc3ZsY6E9RvZAeMPQ5wPomEvbP+uTR3w54u6BRqR
u/8TQEB9wZC0oFY5Y545Mw/8OR0E+ScU4JQIMGOL7N4bQwcsMsPAxDFCaM2ZCmwD+8H7Jmb8Mcs0
ttUxy+AZMeXyqJBHPvoIOHKVTPbVkBvWFMjzPKeMjgkhZNpw1A3skRVQ4fwpW/oTRh8E8VsttvZz
D+mNtNR1DHCzmMVPfdaTxm+FhEhZZ/6v0ZsoN6RxaR6rKGNpiFpaKbyuOSWKwTB6zhgjXxZHYUuK
8X/9gVdBgRiEqf02Txme/gyHF8ax+ObEekAWuu2/XGsgwnNt/UbeMYl44edAua3/wAoGPGQzx9F/
51Eebg6w5r4HjdxitOLY2H/UOwr4u16KY/yzNsvUvXJ0BcFTP5yjy5aX1mvFsmKjItVO/xX5YzSg
SOknb6wQl9C8LLdhsWxQU+wRP2SXVTSFsVMfzfxER+8/4PHoz3sWDIV671bFidHHzOnBdRDO6OhZ
MZ0x/bLKc1DfnLhBZFdA27f20iayTj4pSs/9ZzGiiK6iSKT3GGHsf2Rit2PRnKNu7hoWgPnTNDIp
XBADGeNemtUbU/syO7FMlsvGctGJ65YA0LV5Kvdlx4GXLWf7JiVi3J3LTtn0xwTfELMXwb1jaAiW
88SkECFT3q7BioijxTRnKQ6dT6iGCl1simpB2VpiEnZQTrhPw4xokaI5GBiW2dnt/G1B0g2XJAuD
ss6IMjjixnuZIJbSO3/cVM03CXcj/3Cm+WCnh5Xeru79moaO7+Nmd+eK8qxVOk93pLsB83qtacly
0y09N5rHWJHdS5K2h/iqnYR7ONWkTL6gglk1EMYWuD1doDgGvsXeoKf7HWNdAgfCmP0QohDI2GDN
cRSh8Gvizgd0mFWLyK9/asJE1SU/d7u5kGZ+aj74XTSo7uPD/NL4a92v58rB+HNL3NGwDlCVzZoj
NjG6P8jD9gmasQyq/edYK299WSBw/Xuc07N/JTBjRRgfrnAxPAP9gg/KDGP7Ei9QeGggNzeoQpia
5DrM9aT+xfHUbxAzCI7fMDHU0/c50B608+H7ACKBkYyne7t47YsZMb2Ck1Mp4xctvqP6ak1sINXY
ybgpAtdRzLkjYtNSpKQbPboINWqLvSMN2ovjB23w0ag2cZ4hOE9+vevmbOdLDaOVfsXIgp/AnZqZ
eFs7Z92nAaVwguxxCuo7zJNJnRMmf9r78cSP97pl7VZD7icB64R1+EubnG8rFXdOqk+D4MndlPLL
PVgQIYM0zlH3SnsHB7BNXSQUU7xEYD40lq3rq9PsQB+5cGQvskLBU0TRlZ8wS+48N+lRJuNE1sM9
1nUNW5ysUOd5fMxCEOTExhx9uEOqvV9hF9eYQg6FR6XCSbzUUJyYn25RQfWa6essGHqqhY/oe+Wg
tlBdg5NOzeCeszxlqtbtCjY0+UsQ/Fxch2ck2XrHd2iATti1cwevltzJyqqZV/HVROap3kFqc042
Zy7/x9F5LcetK1H0i1jFBIbXGU6UrCzZ8gvLko+ZwAAGgODX3zX37VSdsmXNkEB3771X53yf8YLb
7zb82AdON+C/YASfex+12wfqSeAQqh9zL0EHV3KW478lFqK7UmfGI+mkEqs2fqCwLq7eDMj9hDgx
O38wmeTjv1H1Yrp0PgPaA67eMuehLaw6LfFi2nvICk7KdL1Oh/Os1k7fOV2e55kXYwDdpyYMwt+k
TMP6ADbfmKca/5JznJgAkmHtiF3vbJwwEiN9jGJddjThTP8KtR2cwh8inlIfyk7mNqXxM6+WPPzH
hAl38ZMacVYderezBu5VpKpazJHrxEcwGKu4cu5YbKsTjgFWPyBkN1DVuS6iDj87Rc5qJL1ct4x3
YajTAZF1muswU3Ho2JnpyGy9V2dFbkBVogl/jTZyIZhtvUD/cBrbxSch0YDezdqyoY0gA///Jgfj
I1hHcl53BluQvtmQbb1nKaBSn6SLa3Mpei8QHHOkWHtIdKImzJAOc32wfCiLPecCbu1rr3rkBD/o
w/quzwcXX3BQuEz8DwlTYPU4x3Vd/x68uuBdpbf3N5n1MdHY/EjB0/rzcam9fhguHbGidjxJPhI7
fEQz8/lPl6yKbxnK8t4/9YmYZPTu5wF55l3JMoYo86olqeigCiWTazcU3T/NUZLuHanr9CiKWRNY
xovvbqd8DRpzD5Kc6OtGB6WfYttzb1dwaJ5joz0aoKBp172RYHx4M6bAn756SOse6USBqBAdq56d
IY9L2o9Nu2cC6tT3sWic8DPeenZ/stRo6Y7dIFjgsBs4i0uXeDqRu4uKwjS/b+PIYwYhWaEXXh2y
1vIQcGBy0uJjTO8sA//+glVhQbBWftf/UP7QNNeYKxbxxiBu9DtsAyblYdqMd4w6JrFnGaxsViQP
E4zFz8Bpiv7MTDJ1/LP27BB47yMb4e13GQd9+bNrIHcF+E/rNZp36IzbhHuJXVXdTk9NhBuonvEE
rWxkKA9CM0/waRvNNF+nIGUwdTBsbxruu9kjYAMTqYmn/QQTtXruEoTpbieTtcdkjAQod9YZq/TP
CCRwKhjGO2VVAguEkX0Mxzo0/gFAfxTox0Qs3XYhUT10X+QhEDj4LQLneRiYct57CebpMhucgv6s
NeuSvxDUnlkwYJhS5DuywRiae59d2Hc8X0GDRLQVoiAcmjvraaRi/Su2SM3XcM6BTzg6WlBIYpUO
r5tbpuOv0sFGEHKuNelwRQCaHUaQCGL9SNojzOlrGj6nMisTg7xJraOi/VokTXOiOR+IPUjRym8J
OKx8ioBctP9wSaryX2BuOzxZJQ+OHEc75jVLiVa5iqCWEmQ2yQwGmeMXrWD8Wunig0yDrC8LttT+
McJ/UD5Lj5zVcavDuLsYW8/UQBvEJ3kJKmqpdReTIiTSmWzCRTLGWvdHdzOXEmi9mZpHm2lo9VEO
s1OTFZ9Tq0+lcL2iz2qNNnAmtokIn9+2tN25SxN1B9WO3n+2k7J5xpYvJo0nlXfv2uLfutY+g1FK
c+K/v/olTfJvXOmLcXZywUGdKVxgcZJF+RAPX+7a5Js926KIlw/Rwa/odqUPyGlXQCmB6YKGw+A+
0UUjQPeKhP5q9dcozlRbaH0ckFrVZzsyXCcN6XrrTywWuiNcwf3jvQVYariZnLDqx6wLsZs9DL5N
ULms5xYnFxgY7pdwMA6zI6/Jj9z+HKyaYTnqVKIcJEU9o3YepV/fjGJIogECurv6F89fx/qUUzAt
5z6mvK8pAevG+dwYbeBkrSo3/RkuPcCGPePIfF53SxzW8i8lfYFRF9wsXYpAf83vbTDHCioHw9UX
JJ8l2Nd4tam40Ey7pwLDlf0o8HzBqHC4rrM+caLwm/tFuSdDpgy0al4xwNYlAIBqFyiRq2OVVr56
IGbpVIdktkP4N4/dWE/70G1Dc6yhddXUJPiVV/6BRTT+YVjFkuAQ0lW995yQCdCOpB3ZWyukj6+7
qBz4AUuCguG4egYkN3V6YOl03k3iVi4Xw7sT6xWTvViquj3O4xyX/+ac4wyHaLFK80bcOrEnzng4
5jQ8awFgnALRu2XGCDJiDqQl8b0h6L7s1uXGzQapqSWWUfOCRJ228Ruce1PfY64hxV3rmx9gjJeq
PVf94uI5YbcGdIZ5agL7Fs4pQX+kiWi4I0ZMC+XEta1XikhyW79hiYzjSQlyZ+c5XWU/8yQPzvoK
UgLF7jjYiUGMFZpU0amj6ikztqj6nj06BkfxqUkKGly+aiNOrVgi3JMYl/yAHNm05hjie1sQrDO5
L8U9n/tmH5a1DIZjOGudfpFB5cTK3GSe2YVSVL59G9h2+4n7K/wcQm/lFhswE1X39SIY/h2wlUJi
EP7ilXee3zkEvnjO6xG/yMzMKWNRkdzu53L0p5+Un5P66Rvi1+wI5qoy99J1CHxSiMVjZhfC4vLC
895NSWapqkjR6pgL1KGF0nPy5jZkK5KTcpqlwC2a1xuLqGQHIzwZ0nU6qmay86sftLMxmElN2YWI
DQNuzUtT4i2azhOpsHoGU7Qt/aMX82Z3jPWnjUd4GIEuvOK5d8qnjXbZ/m5wpDh/BGS59aspWNB4
6TlYqw1nqeulf/hYe3uyY4T/ibDkWheZ2w7zir1OJbTQLgsPtm94ZUSbKNZ06POmximecMSvsnKC
nZhnGn6eQ6UdtYN5ETopaiOubG5vLtxI3W8gi6fxwHgx7jv8DJOOgiwUK0r1OaQUr9/ZpdDjJMfd
INa/6VaM9psRgDt/I9RF/stCYjX+Vy6N8f9zVzXpZocIGkr/h8Q5baZD7na6Oym3mni/J5PqOOGS
KswsMm/tIUjsY0yepFmkO1fyJJnvg2HwybCfUder8LTqokue+0J7+g6kqZpfmm5IxMOonLx7GZFU
61+qx8p1LM2WDg8u6lu0C5ywZucOrX31RzDszy8CuzT3CLeol2mWZld7twxZxegh+YTvG/P+6MW1
1KzQToLu9jegad+v2ibBeLNMWhZ0jVwhCJx9oMP2Li/cTf4UQor0hQwbeX365MbvMm/gRD6neR15
Z8VEKzzEPSfQ3cxzoU7AngKcPYMLNDgp2UeR2ZWM+RVyh2tuUIGNHkSAYVg5lKwKgyd8OFt4jjwQ
TxUfSrAs82lMUnwyyNxmI7kjbFxdNQ9YFGWEBuL2ggyl/A3udMgkZym2yjm0iDVi5s7FPaYytnWU
2L16kTjjF3yYVi57Q1gSGr9VzhreDcbrVifb0K3+36qtxI/x99bkLkn/bqK2O9yZgfOfCShHBnZJ
Rvl6wjZpqgehiNqw1noLymMhp0Kc55BRVQl2gt7iOq0boS5y6f1ys6NGBK9/8K25lq7YawcsAKZQ
/oXkdRceu81pZ4qPdiP035NYS35Qg3XekyYlZ8cD8XuXfAAn6/JjrlXUHUu1LmLAOZK60R9K9RKO
GKlfWrKpjbo9kjaLMulBl8X5pIEQK080ZqV1H4ZY2acMq2UBrbsiuKHr+3Qtq47mvGvm4NNhNhU+
q4YD61KuSBp3Hd5fQoHcWRoySeN52dRFScnssC66+rqgjNYwijYOMzavKWba4GFUedz4g+mzLiM7
niYQV9PbiGHkdr71QRx9tJb2/T9ACcnwvkSdJLyV+2tM3K5DMv0gQONCLonwzn7oPg3Go6q6tP/E
ImDpninu3erbDK4enjE6OhRyRBJ5jXFb+PrZsZCL0c28csuwV8r2OWmXm2XFUx7l/5gsJCR1JI0T
79Je5Sq6L3uJmX4ssHEct7nWy8mCdakOIZALAZNhxG9x3xQxqd80XNf2tQ/DIX0cmg210cwLv6tJ
qN68jCVui/llSj7egdpHcPae2po501UyC28Ogs8+TffNWqThqYiT8XO6hf/JdKYW64gOPPMnWWbo
jVfGfAhM9HJQXKinWRp4Hw8k/37nSVgxi6fHG6j5fXSG+mODRmCo2DDLNhT2EQ5OfGo5wUG8EYPz
KWGZzm9IUXP3jkaMHrrrl6k0P3AemO32gxmZ9iYlaeJ3MxPsyks7Oz565Vg08cGmvcfQOZ8DVoNg
XyXDojs3IMOu/Nk+cG/2iFDOTJ4De2XfTLpEXC9DeoK6EVOLXzjANlAz2Koe8jRUzp4A6Dz+We20
DWd82n21L6oI4EFCuYOzqCoMAFB2zSxCJLuVWTzCikqTdfwRloFM39ehT3HxhkPihjuOr1LRf/iw
eXbMxlZB9iVR/JMTUqVZReYted86kvVEK6ucY+1QeTWbk0bRz8THexU7BMpE4XVb1ru5TMKHwvOp
PC5NqNjVHKnet8MTnpulFC80VgG7qtnCGodvdeoG5rKOEuC04fOdyALbNGbQVFfBESie6z/Ltqvm
Z2GZeL/PsBK8X26C6HnMAZPIO7LD8Fu1q/sk30WlyCNQCvGQPJhlbtprU009kdCiCtniciptaFie
OAaQ9mssubbEWdvfNpSihft1S2svOlnPv/t0GfgwSs+7miR1qkcScAOt4NhTymQdIZDu5OgBQXiH
GZFQXxYVJcI/Sl0Jl6DFdVES6mjGmLaVGEE+bgcUX8anCZ59+jCnisLxAMNJp48MddvqzGmDAsXA
z/GTz36g6v1lR+UzNuTTw+dP8JCRGKlfL3xfHEu5vCO2jpUL/CJzZSSg2OWfTOtVXzRh0zCruadU
va+KjoFmzNIl/0XmOJPmfdzVxfY5g74ABMdOqB5/AibvnEcrCLtFH1KFpxQjYFl7/gE4EC651tXJ
9LShQjHvx6SSYjlzFjiXsS0wl0OikNXZr+a5LX/cMDfjQY6bxbk00YZ1jw1DAbe6LLe6rKKQIATY
ZYueezxJeDWjJSmukdH0fg+DSYkn4LAX8/KPTph05B6V5+a06qJarq+j8UCAHdnA7nV3dP3W/W+b
VKoCVveNpe8c/XBtFhYELT2f6LahOWTkc3P7LIfSbV8AuiSRucRbEA7ySspkrh8I5NTHnua7+Y8B
OhMmZCpMdzOxU+Ahvre8eSZaaF+H2XyvBMK4L4vNvDCXSOKT2/fV37LAf7rbVrEEMWNXd3La3cbx
FRydJd1+hrwUf3MNoomNQeDEdrSUwV0TrqP5R3nvPRVhVyFgLmXqZWIhnkTgSfmP68SM6iidvGwu
TuJ3x1baMiCZuU7P2rvZODAq6/i3x0y1hyxiQMjgFMJIaQgo168jhMHuoeQWbr40OU7XoytPS83Q
yZ8C8845GyfBzo36yH6M2lJh7GiVPHnsGc3dbKj+sj1MA3lEEorbqPfe6E00PqG+dQSoFGxrJv+D
e7ZUmJX8lUw5Pmts8seJKx4URlxM8TMXj/slZYnjm5BPcDUiLvsT7mYacw0KzOcZ7elo90vjk3gv
yXzlDHsqpPSgtZufodF1/2m/g3kfY4t6w6gTYGwAe+r/mtqEtRqyx2d2FsugmmuddIEH7Txt/UM3
TfVyX+FcVM+CFWjBTwy3c/izaMPFf8wThhl3DjtNx7sKkwFUGBm1/viTEWYoLvCw5HWY1Mq8PerS
FK8NWNdTmpeAc/llneZSyzyfMaEWfRR84czrRnc/1oDgLnhw4vpYBhtZrchzU+dhqqRm2t1aOp4d
Em+yfZSNaM0PjENAIMz/6fBwtcunEGsohAk5p9s1bZ1o/nS4LZOZcpGhJlOVruRnsO/GW7C4wdfS
WE6Q5tAUtCp4AnlXnhuXWetG7TBXVccQNm3j9cAXt6YtkQhcEsh5vWzTZi/CrcHuBX6NCSm23LzT
PwMGpiFus4T5vddMTnhHGRW5dwXeu+XOIf4U4gtt+mb5GQqhnKub4spn/C5WH9dbOunx7DPEF3+c
VIF/Y2GCMJe5aUiZDmnfPGIyXTsqriBuDp4YKRioawynSmK2CKYL0JgGj3uUck5VHn8zXQ2G5Lpd
w+GQyG6NjpIpdfjqAz0kNFgTaB0yfCHzH5rm1WQJXTgB0trY19WpayaovgmAKxVYIx98Zbb+FsqI
nlg9rvVBtkVhDhOSY/1kcpMGmcuNXj5YaW/hA1P/rsjnPBRYEUngedidD5EU9kXVeKrvAwcA193K
EYmo1Yz+VZJdokSm6GBUvsVEpJ4Z0pHehNDkBiflk5TGaM7E/GkMmvwiOfKIIi244h+5e6ppl3CQ
Jeeb3SXcgZcYPJ6EhKBYuEQRgaa4MvMjZtkm+DbwJAqSoiHrfRycrHYkxKXVhMkYNFqpABOHEjPJ
CBJw7gQzsYGql4UkUz1ac2BbLwsJCpd2n5PRhEBo9/XozhpyheOk1Ne994/zVGJGUoTm2u5aVJhX
wxPBsXLJPKZh22FabREy1vTbr2S1/jDt10T1nzA8CQ5X8dImt92Gs5PykDLBIB1GsHXAyDiU+srS
RcmXnvugUk6b6OIIcntfOv15W11pn4F2kJ6it57suy2xFEOi6erQPvZ9E/xTQdD/RwbUFadUJMVD
kFNiHupqoapyO3oUWmVaQuzgExuVSYFV8y+BbVUfC4qtS1xUEKPn3JEAJ7Yq4N8GReE2s26juTnm
CL8v2OBrwlqkhu9BBvakxfFoe0d+j+CFaFf3x/P8pjrXfDntUY6jYKYAkdHuYooU58pfvh5rJ96q
10Gs/49wUY5dc5cFsBmIAyRfmlZeXOZKEWKFKb8DGem3mBPu2/HDxN5Xao7Hh7l31Tu/0RR+Fm0z
LV+iZATEUHtuurNX6bG/lHJEGVX9UOQH9GN4KEU6kUPwLOF3VJG+OQzQJbCcl1W7PPtY2O3ZYTQN
usSTTXHPo9V9sf5YRsdtrPKXhVFgkA0h1fWhxQileQqIWjIuEGWSgT/FSl2wUQT3yji5bvfHNrMo
9jzcVEUVraE6+KxfaL6aTgKRYrCVT5JAdCf82s9cVGVM6Sk+ShJmSuroDIq4ALiR1JSFpAcGXiR7
YLNYP+xRYlSbrZoZ+W+nCof14isQIU+uW+T2RoVioSrW7UHGQBqUR4G5KQysu9qdUOB2KTm7+rA0
lYPjDAyceChQGP9jXueIvwsk01/j5FX1Kzowzo8YufkBfRBQbLIZ/4JWxi1fKNc6Z6acyV9GT/Ka
OhC6SGGE5UBwPY6fC3rx+hhNBhgLeU8P1jI44BZgAMuj93IEWweYhfA0vlnyGY8BqVbGgLmqgA00
Gwo79+rg7zUqv3onKzqecobelhKrAacBlHBwH3I4OfWlTwWG4jwoNnFVKa8/OryXPBau7vr9vKKv
XJkYaklFNYDl072HrXHgosmIdc4D8AFrHnzcmHrfg/zysEkl8auhHRuOIw/MPwd46o080Ft6VLyo
7jFt8jY/lVPiXtpBqvCekSV5yqm5YV5orcq3hpEPjD+6BX8PdDU5WQRGxvtCeiS+HVYW/lBdrB5d
FiLLPeu/ur+GBwdNVrM0PGKKx6IIBHaHJSUtwu3OqzovYiKC+SNrurhhb7FOp/hMJYAwqk3jYjFD
PmKXldnGF04DzLtbVU5rBrtow1uJ8hykJzur7aGLxfA05yaUp+imiEeINvEpWocJQmtKFqC661nR
FQbHji+qOSODFDTJ9FreQTmTiMdrMjB28T68wRGzOhAmLPECkCxpf5sl8ur7ZiKue6Jqa2cWrkb5
X4vCdpcvXjKcZlNDtwsIGvwq8YEjlNIzf0RwPGj9KJ/YiRFxTzjnFYjw/EdLojMnKs2ty4pacBQy
licCXjSRzytG7RzeFXAL3cPGoMv+AX2CqP9lVd8RnXbztpQABofcZQ0qMdykwCShkjuXPxm3byhv
AzdNrDgysIZwglfP3mJb5EyvrLwC71Bf5qu1+JaLov2QU7qd+8lbil/S3XIwij5AJH2sRtuNJCtw
5maLiQBQTL7nBTs/0OkDRN0FNUlhEzliu0UzchwHjFDi8b7huh7ZnkTCtCEczfW1Yadf5+VXtXpy
hQrUr00WAAhLD+j+UHpH44PL4Qm5usQvx7NmV+VDYqt4zeLWahbIlHqpvBdWj+jm76qUQkHIkwFo
D3AZL/iJaYqVBwef1qi/+GMMWmru+vRTobykB0ZyTMErOfjLeWhnYuFJXixXgmci+U4smIdfnPG2
vAcyMWZrik8cNWVZLxUfJYORNoEPjT+j+us3EYumuUWFRX9Q5pEefu3eJIy5f9NC3o8c8iDBDfjs
L9xVUzc1baYqg4eYRJAt7kOsn4xzagPiw2/x51x8IPJwTqrWypNp0lUcbT9K+1r5LAhFSE2T4arg
mJYYhPxcnZKxFSRrB8a6u3rDQsssGN5rw0gSReM8mHLFf5UAkyiwztdHDDt0m7FZ5XOEJD5k1ew3
w3Et/QUAimy4O4skNcuPdaiH68CzTrYs3pxTO9yW5y2dcp9zVTvJoQ7Ecr+pzcP3vfFm30mcpCSk
e7Vc6oDofVb4S4Ph31bYQPPcQwLdsetrwFg4x9P9SuicDmpzxvuuUGTmOk3B9jaCIC1PvqaR2cVW
1OJ3O5Ow2jUM/P9yxRZPyUTi/kRUrH52jBPCPbiJRcydx3XEzIQG7+zgdqBNGW8Vv+PollDhWaFz
J1UIXUWRLM2sp8qnESABf17r4ufE8jiTkaPw5G/m7Euwwwi4PUAxmos906MYfymTOzhcUmAZT2M/
xMQ7Eyk6egSwh31itfM7mpx5xVrh0cItNQg3Yvbz12o1Aa0bngFHUsTONjbGESZvK3plj62A72sf
z0A/vACvFdRi8ztislo9ytotFiLKDjBDjsx2nJ/6cfQJuZMzqk+lG1HHLo4mfsAirw4dYWO1yLhO
xAbWFHA08bq2Oo19MCw/FJXuclaNKb50zSHMZNVd3wqrTXBY7Aa+qUK9UxkDIWoa6Nmu2ks2wJwB
hWum9WW9vKVFJaJjGxizHE1t1HeZUmjfmuL5pasdMZAGdQjX0T8EkHSwzRqyw1v4U2Lql4emsUGz
W8uahziUXPw7OnnzKy2GuMtk1wV1BuRBo3UNfnLqtr4iADhU921h5fsMYgJTZNc1vzEWFvJugH37
4flwc+7AFQXP6PzyA6TOhprnF9M1SfRCohwjDr63zRrCk/m6BfIBf1ryH4pqEV9CMG/mir+uVw9p
JLrLMg14SAFEpO8ErYGoa0mMGudVPdiHsC2I1FcNElypdR0cEBWWA5ZCSx5MLZKRDkufhhumK8fM
C7go/S/SurXmGNLP62M9CJSH3Ie/fRxYUJDvgU6k1ybHyJKRS2zMudFBdAGIOJ9AFs6EDUyZ4tQ2
FCcPZClb91D11iHFPbC7gvAbJnQfe+2pCko25cx47ej8Nttw9jSxGx0BkW3vXl77zo+yR6y6Ic9H
MoiQAXiBc/DYZq4+0V9dHlk76DR+kFGdOy9IU6hHySrG+epGKpguqyrkeKwwfju72knT36vKQU9I
Kj5gu6tP/Cqa1sI9k4ak+007BJE31SQC0d1ZY/GLcHmdcHtMGCbcBkpzNi2xl/dYxi0+piiwMbrh
Fnddmw05JG0g48W8fHp+Sruxy6dyftfsAGP2681jtsxOXL3Imzl4N3epox6bkZ1Rp1mynPBCBNSx
p7l2Y7BgWmHc2VRDPztNzC72G0Y7Gkf2W433i0667nuCcPBoZrru+3wEEYvlFF8+g5gQLPhunuqo
u2fCD0gMrp1WuCZcDn9jSTxm/bbVz00Yy++c3/F1qml2yPTzQTK01PoNHOg8MnCUG/pvbIHswzhH
HhgE/u9g6GJG4cXQdFkVb8lwjiyeLY61JvWuY5zG13WywYdIqvaBdcWAdDwsbR+l60PgCmMfMilD
zPXVUj7BeyFQPv3ANYlmXqw4OAmhL16feaXTxX82w3aMK9sGk/JUTfTkdJnMhrMBXh2hYQcKIhgU
jpt6Joqx90NYrrsY/M072i1fcG27nHOh1Ot8pLqUSdYIHQAy7p361yQi8w62nBniAOLtA69E3tyz
ys6ZPqMiZjmeq8vxyMxCug8Al8WPLkBuQKms6m/rFt19Ocqx/m/yA3dkJwtjaQr9BLopSx0QraiH
gVVqbWcULhNu6pchCkd0peV7O2PVr99nliQ07/O8qR8J6m/7JxGhUE/4ocy/GUpfvZfe5v2mmhq6
K0zqscULYZqvQTjNUzu5DQa9yIckZxs3xajuzdb88IVLdoiOhsnJnLrj+JyWArEx5tu+t7quvpcg
d50vl2gsAcV4tPGRxyKnl6H9kpnnx+SAkAjD8zoxCrhAt9Hh84ZArH7Raaz9P6hMYr2TbuknzzEx
+SDDwL82V69v57/aS93htJhU9nfsh5QoOZVAnewMtrOdStSqmd3Zyc2MHzFc2s3C2dSrHMI2fcJ/
66/8xM79r2+qNLz6IvFdfqxeXvpZ5uY6Va2OSUB43gTeFW/uE62JzN8G4gj5XmNTXw8jNNiXFTdg
j+KwTJe0ZuT+2sPjZbVGsIhT003gvynvASyRRqgxRnziUovEjwTQbrXTCX5PloixY+HcpBgvCdrV
aXOc3ARPWIo6sw/BQh9gjLOBc6lCJ3gaDUsF73Pr4w8FBLise0QwpoqtSdfn0hbs8KJyn/XeBpX4
bNbR64t9X3it2bVD3uLMFmDusKiokmAPNQEExDEP/gt7JgY/XIxXPwHs1e4pR5eIgQb584sw3FFZ
VPb+xi6RoZ7/ClhoKH0pgxlQtHzYh5avGW/NVHlMVrapF1lVozLfl4q5ni/aJfwVz2oJvhKKz8vE
PgSmgCylab6D0AbTnjqnJ1XAC4EbIp/TK5MGj65+a4f7ambDZEYKLger2tNU7Uv2OqBq1tP42YVe
iVzfj0IQHI7VV9p0MCHGLRwrBKkZrz/03u2vkwc0EFCgw79bSzjjR2EWi8aVNDkSQE9Ho6bFp1Oj
E+53LPCgWgO8i2lAj9Khae00MDqomzHPkgzl9MhqFeY16LZFvBeNsYBLJ9Y6jtjOR8BIDWtF6LL6
G2MQL9QZN0TOTGzBMOFV4PZQnoZo2rOqtlMMcDz/nYI9ArwfdIDEmgYQS1CKZedzK/3zLKZyYLhj
/81+gIIdFXQUnMQ5Y7qdq/P5iZDnwuXN/VjCiUzMm8Fl8g3hHThDWmlj6RxccGBuoHE6CyvWs0dt
vO4YwxDuVGCanifcq1gFJciUncIwFGQgIJfPstlAiDYMrtisErZR/aPaYkgZMcEEXL1C97+2Cb39
5i6KYUmZ9kVudjnxxMDfAXHgPCssMzn1Wq2uQZq6pCiF4wMHbpbwX5C6TDWcIJDHyjbOF/Z6TF5i
TOvHZR0443LIXQPDXzl+YLSABxvXrB5jFOpP+2a4jYw9Yg63dAi40CwNVv9j8Ev3dWp13x3Qo/Ff
N0vr801ovf5lTtK+C3J/AgIXSs3Ob4OFhTsMTmBQAdprob5FglRqu332jZJfW+SXwEPRaNiN14aE
2PJ5zhncNVHEAJ3R6s4LkvalNDEmJGnw2/Kr6ejbglA986VFdl8C7VDE3qrKObplNLAO3N68tm1T
Dk+qHfyCPGfFvAGn28z6EpvC3WVB7Cb3Ht3Z29JF6ombU8IjFBzoxBc79thHmK4/WtfgmV/Lfvu5
tBEeQN7MttzHOkoeK09TJ9BoL+QgfcfK3eL5eEQBa/bgdXIydcecoEuyZ4Vz69Eg1AzA8f4PH3ry
tz8gA+qYfCbm6QK9EJa80OW/W3sMoX5z19c4bgT0NrxWVHF83pRsBaNP27HVI+wXh1ibJZbsskDj
UfnxCloXPG+yu7ktT2yZ6VIitSNZ9pphSLWveZ8v4OwSdbUSNXhXgrEgHlsm2FsNMZdP4zcGDzzE
12fd+MhKssuTb0l2FmRJRM73GA9R8uHZlrm5pIR9YcTJf2Jkve2rqSZeTGdehviw9TFojwnI3nbw
k1w+V4VX/hmWG2iQgJ1z7Lh2yv04TDxdwG/yh8hriQ9TPKAV8kFwGds8pZaOi3Tt92t160TarqNI
kn7UF4deBxMzv7pSeClYFfaOuRSxnQjMLXlt0/GiPZwh2YzP4D9nc4r/WPwz+gj5iX/Jo3b7qTkH
l306yfjXujpjieZUVe9kgc0v2Qo/IfUVLo8JbCR33wcG1J52ubV2FZ3sazp5OfPbaAEVhIJNzx/U
ONaZQ+BCJEbViGsdT/3P1DLUuuZ8eN+4CMGGwI6jw9+aMr7GuFiro+yBIeABmJdDt+TxYySssxwm
0Zb3frtyJAdrXpegOcTwqKcu+bYVr8uRQEbq7FiZ5LcHWJHoixqVgjE04i/bByLa0G1Y0ZwWsZog
E+J/HJ1Xk6M4GEV/EVVECV6d23bnOPNC9SRyEgghfv0e7+vUzk63DdIX7j1XwVRlF+X98XLpIegL
l2g8FXpMn6smgIIxB8gudwuo4m7bdZMBQqUKN6w3JvB9HhbXhGcMZs53wvQpoQRfqgc+S9bWIwmQ
d2y++A3w/2T60BLeRIs1Lv2lKxl37+IksPwJk/7XIGWXNmzY8HiUjHD58bbjm8afwvyn8a5B7qRw
E3oQW58l4ih5iEfY/FiBGJmop1qhjN0QoMTb264DjAmWzFl8yaIi/uX6Cs130Knhn5kRHpAI0pmJ
nM8Jjufv1QOEEm4ar1fxww0GgBiNx6pD88aEOkDIj6Cj9Y8GlLf+qrEAKLzHBCosgIgQLhEnkxYn
pNU9owQ0DPNE8KtLpfslI8uI/mBpIqMTdFQ2mizUwA2zyObKGfJ4ObFuxm7VzcqeSnIQKA1llZPV
lWDBjvJg+C6UUPE+zr0apvIg8l89B9O3hBrM2n7qkpwGO2dqt7QTBlXFePJPkvRiTbdNPsipO68q
COI75sA99toEVS0fv4qUDq8zF1HzlzQeS1M7jX57S4BSt04GaltDR9EnOvkpPfRiO2ayWYS9jI3M
0e/b/Bo0qI63t2IOQH+9YESzeAAwcNZqLLdrwchB17mHxT9IzTcr6RDlgde3y9XCM08gxftEyfPh
do1BNQSidR5eIkwWg8DZI4n2KKjc8S1njGju9KrUe+WW/D3SJ2z/WCzMQzayduLvJAViRVWGxWDT
IrmunkxWjQSwVGn1SzJxTU5aTvG7o2JjkRsK3DRB0+l/gw3xiDXAIvliHEi8hELT1O/B8sXqmIxD
94ZqUUUbTdkLpaKVDdE4mVrk+0Sg4ZsB1Y2WIEhGe/KWAIx1RoaOPSb4qPt91LVus5vkFDyw8tET
RwFj13iDX6saLsZTxfQrY8vq/nWQq/vcEmMNXgef99EEi3jKDAPXz74wbJ3LwO3NXVfFDf5vSGld
vWWWVdTfmnXnNO7aHHsxNYXNcN9uPPx+zpXehpcLkbT8M+sJ4h+/ilNfi3YNEjgsY8Q2OS2H6DLG
KDDJUCrScjOFUU+SFBCn0X8k6p4ysIf3v8LfzAVCuKCqShQgxtgtW7ccFhfKkGbZ926dKiDdfhWY
R46WvPkbsedWp5C5LTkfmqH+BmhQ1r5iZ+/si1cK+2JRsDKpWuaYF7wTwAp5VgsDBH4t/deV4XvO
NZ7M+Tso52T5zMdy7q6uN/n+fU7yN8ddWYawE7ALpBeNlI80owY73F4K3EmYjav/90+lemSQUAI4
6stK7XqSuylVIxYsG0bt6fgYa2Xtaag7deF656rBb2fmP0zESDOKkB+hObAp+jLd+uo9s2Ur700V
JdHO1fzEn7Uuu/ALE6knnyUoVz5tFMlMXQFjoR0iCEs/coh3lNZYPNGGknThHozW2ZFqvJDb2vjs
2Xn8dLdpEPKO30jCmYOCNULymFrD7A5GD8zIrF7m4R2zFNyLLFapfmAj0EX7TjNi/6FX3pGa7wxs
7wFJQ108gxdjQRIKXX+gmRzEZhqsecxHA9CoXecVhSj4VnkK6qhfLux0B/+jG/t13jmREgSTsPbG
wm1S1yv/sStYgjuF5WJ6Gsm76z+6QPCYMEph6hEhyOah/2NY6yInkg1qjNUbJfBQjdSeVEyDWoem
pCVNAfZ8iHOG7VF/oSGl7WoQ+oTPhFGo+D2AzYXnFSVG+iP2Re6+gDKcoX3R5J5h0Cj5oBGgjNea
be2R0UfbIsJHu3CHswRmz+oxlPwFezNimYPu2XfuitkR5RsFIzp5OPy1cudtU+JjeYulasM3PGAB
9EDGcDj40EE62xFeBYZBHMguaHOQAW8FUghxpNx3Tygj6viN3R8RXB6yymLXC+s/mabI7SmCdXA1
JvPe0qTCgOhgFthXui3OUesyemNlkUFTKRqKpWTi0d8uwVxfl+FmKBGa1dlz47BKP0/Yb/Dz4hbB
ajBbYDyoCifnbkUSmeNidEERPgZjRlBksI7GPrBFQqlJoHcR/Kw8lrY/eKfKaI/OE8UHnUrEFa5r
JJw/CYpHdymZKBDdVks1N2TUWwYWFLkSU8RGhtzNZ58Z13DfdizvMYal0/2QOAmCQBfmnsSQlmBP
VWzvMSBAkc4T1sETWqn7IEiGNzRO7Tc9rEy/E37Nby1HBpqV71csUoq1/YfNTcWMy2qfFdKyLHl+
t3RZ/owIe812E7SDcauhugIrYXtwz7BXsZfjWyrq7eCXt+Mowsy1HZzG30VlODQvqe1H7xCuDX3q
tCBdhZZiVkvclysfo7iJ4kOVtAwKojhnEdHOC/SOtBmSXchOiaeuKEy3m7mPnY+Iia74mibnPcNw
g5eic46h5KoIWz7hDTkQfnxPoMs6M7kJOq51hb/Ip2RNeqd86MJlxWQ8VQXbSTWwUIutXK6TTyo1
ZRrkcjI3kkb3K+6FuLvvale920H1N3rb6rlPJcNi515BRA+fAOVX4VHztqtjbHnjPjqf8mozeeDl
YMwlc3Uspyj5keex/BujIKYgWJP5T9WIhmyHUfcQCOC3v6pJNGRtErXTosZplw/6WiQdtpi9a9ii
lCLQy+QUIwNOrVPKABPnNekk+Z3XR7CEEEjgIl0LwhaOBQ6Mb4luwb7ekAb2MUFzCtl0YKe7b2yR
FVuBsLA81u5QkOzZDL/rpHY7+mynRzfpJCY4ZRRr3T5C438dErb6OwbrrmGm2PsGoipub2TOVf04
2yFigQQYxf0AgAOEDjg1LeAsG3+9LmsJm9cLkl6fGjH2w8G6zNzR5gx+vSXk1XNOFd5tGvSgBMkF
dGASW5IYXQaCEpPTLmUL9hxRRwIQBXU8jmhXdcFzaJ3Wfob/h8uUw1LgtPVJebtHYb/cUQmF+b3v
d/0XnWkzHn1PRDAQRg2PPfPzcYdLq8eUAzDtEIjWHBxJJsiG6Fy7HJoxUcVdUyB5B3ziJQw8eWkY
8gkjl2PKeql58KgQ1ksUiTnaT6n0b7EexVx2Jz/Kw6dUz2H/IypIjSYrxI76yDJXfqRkhgFfq1l3
4sqOYbDBkSedoPCdydAu+T5IA0lFFYpBUG4neSb659B69V0o6sKBahuM68FjONY/iXkd/ybIXtlg
WBt7zWXsMrvT/g19zXRp3c0Os/oLw1q2G06Hv+FphsZPzg1+i6faj/vi4FFw3IJLujL8GtDMYz5f
CufbC1zsbSx6wmaPGE8HxXaGNVGf2D6sL6ufDcly9HEjhRTYWPR9vg4TsJgPVse5oGhCHtI0KaVm
JhzWsCD0cH2qqjxwnDhPCBh7b9tNOK0Twvwq0exjEcp52+ZsFBBXq4DOVLf6px3j6hIt6LS2CaP3
5Ch0IAZgSaB8BKWkpMLd2kYobnDcAPKOZtpbkPYLLgLTQidmI7KCHVhZZ4o8QfraiqVyPnMkiBel
a7lsBXgceyA4kNzTwUE2QEVJJQzHaJ0+VzxBzQElHkTkSUMkQj7cPXPAua8kgqTrsxokBR6rza6l
VlqwnNX9DbkcRY0DCKGevsipQ9PhISNCENum7ylCuJ/sEv2S73BhgIE2yg9OXRM3j94Qdt9de4OF
rAOI5CFJbHAtnZHLf1r9BYxS2bmXpves/tW4RdI/u/gXDxTMPT29jUT75vVNlJ0le+767DIoO4ZF
oFBULK3vPvdsD5F8eML/Dr3bk1LEviHmr4s6sCdBjMvTwjo0e0ESSUploj1m356X9bu1z4B6kwtJ
VhArhCB/tcuchrsGNYTcLXwL1f6GTg054knuPNBB2ZabflLli7Lu7B5DTd7mBgIGQxbWaiA0Zt/F
p8PIXDvpkV2yYG84ZqmMjunc69suZAzWlzBXyx+CLcTfgZLoCgQyR5/gE1Z9HJWc13e05FQbkbek
f5Tus+leeU76xIEDEAvd8gRFLIDUugkmqvy7/yNBvlxjuSCRwKvU/z3JjKhnd8BPsgdMzsnZ9Hnr
fDsjxl7fV1X8WOVF9IHXo3N/sFtt4xfTck6ipOQqdMlNXvto60XuOv0Iltl1WBrdlA+7PB/iFDEI
zuWNoQNAIN/kvbor4PDKNyQ6ISQsdqLOj3ENwwtkK6vgBZYebqmk0kDHdRSAS3f5A+ipEV4doFXt
2XgyMzuM/vUVpd+Y3fMV1T9wdFZkbIy9nEl36MZ7PULwBGnbz/Nl8nIy5DZ50GS80Hzl7XfGXEh8
hf04+jQObUUiFyNXpOr0RHwtmu+XCg+CVsjZ0xC7HYMTuOL9gxIz4WP5CeogiTkD3HS+Uype2lMt
keseQric6pxT4UUnN4jS+5pOcn0K+xXNxyjXJSMfJPezO7pgxNgblz1leh5u0dtPSArW9egWUe8+
6gDmeAMbDSWA14CxUvWgqVJbflvsj1XiR89tUKnzzSO77rvbggBYRvAk4Fb99S2ztN2MSAqxMDHi
OwyA3hlXsGAH18VZNr5Vsxnn35PTjO2E7ktJ+9LFee3slVluD7rvC1oHKqm3zK8Igt4YHqRvFnKO
/+MmcAj2wA/T4MkzhU7ukp5m7b5ppDivJFlEV8SVTAVjXvHpkyGmro9JHTjLNh+TCQ6MVeMOdEo9
7UeGFtym8c0Fu61FKJZvm6YjOGIe32Vat4lczbsDtzt4jKB4sX0mTppx/663Dh74W892j6hdDQ/M
EsV46GgqEGHkNY07esZq+Z5sqxksqt78Lk2f2qdoXga829OckJPDeYuzLTLR/MwkxfOQ393kVVw5
+QPIS9kwgWOgxi6fDK2tH1nTPpPPOdbHfGafuDVEhpzdZhLEW5iJU7Qqyr7bQeuTjzdHLu0ScYzh
Rixe4zy1RJDZTRSMJKtMA7jFg2twgwP8Iv99ZyIneyXyw/fOCHwlv4bO5uagoAi8LQM8/S3AdElc
yjLnbN+WWWby0BSecyY4CcmKX8Lj2bMJpZrqp9gbtiVJnphwSpRN5HGUpddYoMGZq3YrAB1xCJi6
/XKT0qasI5LxgXHQTZsJfHaXYcZe+TQW8Hz4PqhATK6hgTGwaNoDAxg27EDFb6Azn9jIrZxAiwdD
vyiCZ4Le7Bjqdk9ZiR17O6QjnQICd0UMwi0Q2Hrw5bbx5MwuW70p+i37RnfvE8Zv/5GNr+tvB5F5
KD/hE94jO6wuCrjiul1LfGWEojWlOZOrV/71gAJlhwzS2SWQqsjAHgTD8t6Wg4O6eUqcS0mIkrgW
brAm56KIuho+Vrj8TfxeF58cZfNzkxSyO7OqxSq7kSzInsvEW25gYtcwSYxnJKQBGZbkli89zYVh
Y8ogyqPM8fSEgZbY6mmfdnn3hQdxrR/5Ntv2jIWOXDZbQD+7Y4eIp4DHPLB/Skoe7gwtxmaLrc8n
mMBnhL3jomE97/SpIZW7JYGIgjqtI8JGKmTtPfb7eONprFUxnFwXjW3RnWvY0SB8mIad5EDiBOhA
hlk7jRSq2q8sTF9WhIHyxJZQLO/1JPGgjIAbTipUVbZFyX6LnCT3pnuZMuQ7IjGN8xovOCs53lj2
PTE+CJ+djrnAU8YnRDp6njLiCfGvHqVTolHt2Xh9dw0Jw5veKI20QIbL0bFNcc/a3g+PJSfI2biL
yVGGwN58SMJIE5TCAVwGWF+juH3EN+seBSE2ECq7Vo0Hm6Pnf2Vdmb2Rm9r2p7aKnaNpJsJH3CFW
5ypm3vi8sO4sv3HJa7B2sViLP6p0yD8FA8qDz4I0GD5nFBtn6QwuEZkLpvV5cLLmalZMuZtFVQFY
Y4mvfhtjeu7PVgPDZguWRPVBamcBtGNJa+BPDGAdj99z5xDpwFRiZptGjEqUPc4Q75YzJB/46zlw
z3+wDjVSJvZ6L3z/Ob9fLAu5rwJIBMgJplp/1nXaYaeW7Ax9IomZQLJvafdchyo8Ttw6GHPIcfI2
ytZwR3Fa6GvTsqt6chUmKGYX2IcJQC26vRlKMIMsQFbKX7eeCLE0Y7ruU2Mg5UaMZOQ1BF76lM9E
1m37PK8+pyYug0NMynxBmPoaPdrWm9I9NqUhwqx4Y26vrHKe0dCw4GCmG6CGKL3kJx4keDdwRKbh
oWMoLjfIavqfIOhyJk/pDWxYUsqxGJsx0DiiLsnnK2nxNpGFkvCcGBcpoe+W/XNHVeaeaBT8z2jU
HuvhMjYn4kbb9WlxEWchQUOKjZl6dS9lD3ibfI0+Tl5y2cRqv/qlYiw8+f+YiBraO568P5TU5oxO
FAGyy1kMGWVW7r+b9pnASVIUg/Mgev0cgzOKto5jUP8gTsM2asn5usGwByKJdFX/8cYCAfuWyi4+
QGwJ0zcdj/nZg2hZ/8W+FICbw/3qI+QrxgH+oGEyTz53sLjzUYOfWD5Cmln3T+oFQ3GKkTsxFMS/
DCHfa9/mNEI+s4ZFhv03G4j+3LEum6cLPIwYkDxuov0KfB+nQhva1xEOCJVWktvkB9F/EsCODwcQ
sEmbP5CpYHmlbYD2KHekX0CpXAqCFwukpJc0Lsp/oxRIzATgs4mhTFx6eBRu0Zp41ymK5Kyy10Wt
89VYlsXbjgzadOtOjSUhEZ/Zo89dM75FbZx2m3GY2uLYzk4IESJZsgdWavzivtJk6bVe51+SCQTg
RqUrlgGDgJVzCq3LLypsnfEPh8zdN0oTeXiSNbCPkx6d4diFmPSPpBLcKkOHRfvd0AzVaVEI/Le2
liuevsxTFziyyy/EPU1NXgSV1oMtdJju8rGLQRVr5O872IcRblQB6wCNPYkNJ1fFNiN9IEyJ4vOa
Kv3HuIgjA1SITnZ0zM43smi6x7xzITemYaibj8qmK2umCOf6K309pFRH0jJuUUggHfNL6Z9IzNP2
INZO9GdT51F3pdRb+A99J/oHXW8CWDX68pgmcQzeSzTIbzPc9MMd8YGY5iyssZRROh/YRzwVwRuU
9ZgNscBWBZYm88FtlOgEV0wY6sR0o5++sriXUlwCymT7o10X5dwtJG/ej6LBicSkMfwQiFjEthhD
krVAGKxkLhinG1EAirxHE0j0JRwAN1HiyPuTh0eTVFD7SjQ7b6MijewE8TyHR6dK7d+SDEIAsO7I
QI9FHU27P1e0hl6iKwevw6JvriE33odqsI+QhPwQcWwy3vou3NR7vwzS+QDigFgYBPhguLvZjdWG
LFkQpFy4+kp65Y1nhTiX3sQuDoymoFx3rBG02iXGqs/ZEOFEDYMebc8EC/NBLH39Djp3ImaSNuCH
Vh3L5B4tMcc6pDUXHT8pVZuUdiYhUXmcXiBaEUVBT+rgWnP9/qxGI9TVpRm+wRUnaY6e2w4PvKb5
erHVHP4snYqunVCOcb1WpXW/R3KI+m269vJ9NFVLV46VnyBSTtJ8i326sSz4aQf2IBvFO81xRmxC
GTgDgSJu8rBU7hTfj7Xhgoaa4b3nZkgemFRXBXdeXjMnb425tn5HFhTYlPmgVsho95UpisfFM3G2
HTpFtJ5T6jY/c/FUjw1tK8mPnkzi+4UxK07tYAr+lcA3jp60FXJ9kJEHpiCOOAPAXDgs/DR/4jJz
zYZFtvD2Zi2QYOYdrDkfJQyP0zA4X7j5/d9xPZCmiVF5OJL+U//tfaf71U5kpSFCShnE08mWZQtk
NvOeIuIqAQyFvoMSE74ezbBvmVJsR29Chp56I2vdNJgIau2Y3l5nstv8LS81EKipX1HzbSQPr91l
q430tg+B9uw841SHjkFesG36Igif2aJXer+Q3HRbwc8q3a8rZG/Eqk7T31M0EPK3mQkwfOWBaQk6
ZHpJFxWk04eoOkoxtyRFCsd3gmjUm3kp9m2MJn0H/ACj+IjJ92/oz/F7RVlLGPOS97/gSqIW8Rdj
9X1vOn/4DNj47aWqdcTI0GFxArJ9+iTBAz6TQMr46PY5onWimVHsQNb6bIh+SrY4LwBHFJz2EZuq
eTpHTby4u8oPWJBUxDY/2ZBh92ksp2W6M2MRv0A0YG4QMrVI+NE1AcMFnznxStB0NuRR0OW3SUpk
IobQPD7FQySR8viYLu9IBkeLDIPMJ9mPxMiPgB7C+YXEOAXLZZS6XyKTZc/BLJFUM7f7QuiD4CeK
cFXumTzlLNmzOmzHz6hLk/WObk3PkEW7BJJ6nK7uSfFJM/8m/M+9QZOi+oXgDftotaRNyfGb3WFx
y5pDT0Bm98CqK74A3o146ASeHYgLHZjplZia+tJAZvOOqfofx77EMWDSDvb9RCTWPlnTUB2LEKrH
T0T6/qNZKAp3HgkYeusrwF1UXxbWxhYBSE42yWJ6WatND3CgOmITnPFBRo7nc3mFXk3sQLA+z34g
mf5WZnxuwLcxMZ4iLFwfkUsMwHcDoUJcErCysMQSmWmvf4rzEEn1jn+ttQ7XdeUxumDmGbAM5UI0
IJDimqTjFcwAD3YxM9v3ENe8QlQw3cEsJn6msAy7/bQu7aUfa3feRV6Idb1bKUi+aIvy7MjWYGYU
XvnjOQmA5u0oNoJkX09ifG+tpj3oc9cAHbJFdOokM+e9r3zxB4+w5nDUXB+bvm39z3L24wvoyfIr
7si02JDIoonHU2L47pRLRz10pCuQfItiZhOxIKPD8aboCS1nSjie7MZ4P6mx7fA8dtVdgMhGn2zX
LeGR8QxBQZSQLG6XCqH1kYCG7sdKZKfz5bqWaHUHKF5NP5POJ8JKl6cEjy8CC2eoum/HQaW7TaAe
UMOKDikhmXsOo49cNcFPKLZrdTeRH3A/wldZNn5qp39ALUqxW8MAt+wqMHSfiJ0wYs/0rGvOs1lv
zgX4S6hWCX1LWO/hY0frFo2/pZdFv/J+wOkdO1O94q4j7TmfW6wSmFTr/C5vPecZc7vCkxYjubgS
x5C6F+rzFCW09QcTHTsys7I7MnnrHXxJ5BpbwEdpc0oSeCQXE1goNOAIELKFDLS3dDRNfmFza5/T
gof0hJvTcjeLnIBPFXGFIukDo3Ogskcet0ozRK+44kjpbDKdB3vcR7gIEKoaAxkjJHgJsBqdSzEy
PweAHui82MupFoRlgCmyy62FwF4CpUStX8msTXTnuPVY/K6qCoei0yifrBXo+2j5NtSPK5U9fw/M
3oENa6W8XYmfI9iTCkXcnuhCGtqGdm6FA4E7kKAo/sc7fFUo9uFDTHuq/eSvRkY6oT4eWAR1Ie3C
JqLtZ46j6uwzC1pGmo+CNUz6SjwcNksYjQm+TV4ShDAXW4998JcqZC0PMxfU347omx/9RGb2XRIP
wKwMC5oVYYPP1oQnsE3OuCvUmRCCLD33w+i9ToloeC3ZVniHGjuVORMVsfwjhNn93TIFqm8vTB3v
8d4IlqBT3K875QLkRkvojA/Q2ozz7s84oVJbMGVg3lgFNMpZgWSL6Vil3xr4Mu59mjHL/tNXpAMc
LZJEPlMoVuEXDyDei+0I6Ck95Xz5/i8lJte7swVqPuZb/eLUJykDt8K76of/aKIH9PsLX9E5XQTB
sTvHCyf0kSFTuD9OVFKAx7x7ZCOko3LvAGDhJ3aQ8qYnz/JQnlPMrjg6fMSjnEg+8Pk0csNeEtyK
2norUka5eucvwGIhp4A5YRMXOBHXmA64hNw0d8R9D5LZuXDn5es+S2Ct76FuCPHieQN7Z9wuc3Fw
Z37iB9TRiLPMGKk74TgiuFtlVDOTCwVOrRlQV0Av40TDIRtk/cBzmhJoNjOlB3pcwZ+RUyP2BXCs
kI+UZfJydnNEeMyIo1i+N1gc4MTVSgYsiDv95Ra9/z2gnUneRsyJcPBZEJ4TM2rCdUUpXzjnHQLN
rGHUCpqgvc59SO7msDZI9QHYJKeRJRUx9t4UXDTY4OVIiUmz3TtxzHQRW0uzi+IljA5IDGT9GZSs
Pu5yQ0n+luQQTDZ6ynJxT7IEImiI0qJAXVA2In9lJBvRvFcMCsRxGoB2M9ptblyKJALPCildsrvZ
rZlDz7qRAyGmrwiswuZhBVNVHJikpb/aDkYplkXkaIdmIhJz23iGhRQtErF9i+yXL2edl69cGuGc
+qiX4T0zNax8SCmrnYJR8qfVfYicUZQBONfR85xNg7XboC0UDJpWtArVxs4ulvlS68XsG3JuEmKs
wr49hd2axHsQneSzgObqMYbPRCGdM13Fb6TV9g8M1FiYJDc1/g6A+liTBYTSmnunD37IktT2DUW0
BRSaRggYV+wHJJOFLpk7sZtGPykpOGfGlvrs6FvGGJsUmQOC25pMo2OThGTN4/qEf+pPkXlCkR3X
75Jh3i1HWPsXfi0bcF4iItlVaQJ2MwgA9yZ1b+sfCe51C3agL2bnRYwt4pdCQ17B+ouK4wOKr4Av
iJ0HHb5BNCD2SpdjcUkJdkaa64R5dbG9CdsfqyC875sfSqXffeQP0vtuRzaqJyzqWXLogjF4mGK6
GnzgeeZs5wrSxZlbaAVJSWHIv+mJ1nkpAVgxtFn7YZ1eTed2FZpwDYbgrIGWiYOOGIyd2Vdo+537
1fx1w5vCnzHrzDQyTd0d7IY8ZJDjNVl+h7VaOmCBe4k2dMpm9+IoV8TbhQjC/irqmXjFhMEcY+Ui
zFpDAhonKmwLcHT51qtU/HDbxaBlKosG3KSG8rVB7isvpZ9mBImDuUEMT4Q4nTISKaivt56mm1dZ
Hpe4KcM9ETi8UmKE/AJOsRPzK9PnGOCQTTjxYZo4ZrtkKNlQwCYhd1s3ZelvfC1z8twr7uNrtayC
z0fwd5PHUmg7vhGIp8pngWrnptnRXkotQVgOlmZWnHctMCz4fOD6MNyXthBgrnAqH+SS+DQRkOx7
xH5Fmh47kUPs33gLnxPGigK06rprlkD5pITLsP2k/V2eXRG0HnTaAncCYzNxdlkvObT2TohcXlb+
KxHcK4FdpobmscfP2PCwc9hisyn67qjFMMj3MCnoNVlRrge82XgfBkBAE2Jw9jfspAy7/UL68p1D
F404dmLBW6akJhMR/NbPcZb+nxzGHGojDlDgpAlDJMQXrvuZM44llxIdIfnkbh/9XIqK6GoKFOLh
6T1Jm0x70ngAnnCJPqENIs4r8NrgcbAiIlYNBjlVZDdKTrfNkIL1wYuugED4VVK4e4vY6ZZ8IiL3
uEJtfWP9zHalRWldHQWDDsRh2f+5yJD88Ipo5bvncPGTEia9IKJZNdQ3rA0nYkontYQ/0aaAMGGP
hvHQxkzrwa8OUX1JGhUdAkYXZLsMtVh2FJQ+5y2BdOjNRbmwitMa+RenUg+tHc8EI2ku7XQLaiP7
W0zuQOpiN8ObTtbgjy6I4svqtPhFZwTrAmXiH5CyBDx4GMfvgoYB2oYU8tL5xemMwD8deQj3lI7k
f9aOJxGa1SAJr10XAqkLAz20p2JBK4s0Dnr5Q04T/rNhglXupJLlm9uHj4tekvpRlYt/lVJXy9aq
KCAoxkrYjol13OA0iCWE/8GSkEk5LIiCIwIF5yvd+yQObFzXAsq6pvipa1tSnzYjVRfov9W0eDIb
ukrQRcgC4dq31bPs/bm41/5a/fbWLvT2TYPhQfObOTRDW7r69VdlURYemzXoly2aVfK3M02nePYY
CI7bVnplv3Eq0SGEaBv3U82V+Ry8QQ6HJjZeslel5wSXLkvSL56JeTgCN42yz7mG0r2VzsjYXEor
7htLp7GLUQGSFb30GVlPQ+pb7t3Uf0tiQ0Jdn0zr/KEGA5fTJJF77Yg5aXbQS4gHZRwWLLvOC/OP
1rr4sYIKdgYGJLaOyW5JUOFt3WUcm3scJx11btui5bGedS+ujUis7rGjQsyIM+2igSsbKsI3Fzug
+zJjzCoupKT17U+G6ROwaJVjoLI8iUtav9APZ18w+Ri5YdBi0qVlmoXbKHMdDIpZgwa42Y2EDyC9
6wRwua3KO2e6rq3U/dbSDRWvczQoDrFFRskuQXiGu3Bm+AfrDKfKgvhYDWkdcqhrF8Pc6Gh+xpvy
BKsKY1f4UDzgszdmx7YbscT2ddMngNQBNvUsN4asZKJW9rh6ht4wsmwLoZH/Gif2EI3jzaPVqMfA
69xjTqqJWe+xIuesaQcHD7568vti8A70Y333YVt3Jb4rCPopOVRFOmIuFznG5VFgfH5p+lDzwYKb
g0SB9FhjwWTFndizWhE3HhYyc5r7IW6FuJbFxPl48bKwI14F/XY8w7jjnAuBIfSRPrKs1/oX26kl
+krZm5YfKm9QOJODAkBh640k2+5K1a/t1WWEj8asYa4LOyxOJxhSg8QyPzNYr49ey19/zWtcUHDX
WGAg3+115JxLzfT6uLpNXjwNNQrODWOAgf+oMSaHbJcRIoASflbXyVvq5UeZdT4pbI4NCW9w63ab
9OF4IZAmXF9d4HPBuZ9riFGOZ2d5p2mPl01BYUqGKCkVTB5aYSmCwwE209GwVPhNV2RwDFTSQ3pG
aYm+iku6BQ2UwRKivwIpelYsWvU21YG/0jXD2d55YD/BIwjXtLupQ1m8S3xH1y9uSfCf2gyCBN17
Zbm4EIFNUJzuWUoI/VL6wdjeIziw40dk6ImZeFZZtoucBS9hgDwXoInopt9TFKz5A1Z6/9p6Wr0h
/nabUzD4IMMEFhGXMUJHpo0NqA/r1mdC1Hmty36oGKZruWjgyLVJFxQow3zDhHXQo360JZpZzEFV
/Kvi/TJ7aKOiJqKFQnQz5dDFEKi6CVh0vphQHoMhQetdwOcVJ5usI0s4asV6i46LRFT4zXiUkiIh
c5F7kKKNrYzp75fOp3lvBwjT5O0uKAorQlj+4+i8liNFtij6RUQkkEDyWpSVKXnXL4TUrcGbxCXw
9Xdx3yZmonukKsg8Zu+1w0sxyFF92gxzPxr0wChhkObcp2WerVdrmkT1B+5Ilz0Sg8BJwN7frIjE
uzIMXka6N70HwGC+m96ikG88KpMzKvn4E8VwewFhhhYftZzgpafJupsqjbZx2Ao1sh2ZQ72yhtDB
LZRd3AYCSaYdGT3b83lEbeAcdGUP/mPKw4tNrAT7cbVGgh72M9fej+oQ2Z8c3xtTfJGMHHedrfx8
b9dtGd7wROtHD+zfFtpg2i/2JWW393w6BPAi/XIz832LyHiMm+80agO0HABph9uubZN1PHvjalf/
Vk8t1g3/h6B6yWw9PxL/Oos7yxHeB5WhrEoinOccBifIBhQnUZv3yv6YKzkvxYnvokhYT2Mq9Jg3
knP6p03dMSbMJsjfMxasZK0VvHyY+Taq+gtrzDBlKR7Ww1ucJ0mH797psFbCxyvto0eFVt6zlI7j
P7y8qwshlzU/igadJmJP37mZ+YfKkJmM66kLKtgATp5/DwUUz+2spC/KPcfZACiFFzh7R5WM+8Yy
7lFWjlkm9YvhH8tL4XEKc4Yyj5avzTrMN2mYw2XQ3C1k3uQNvuXWByQPOdjbHrUi979pzmT/UWE3
veEJM2jrJ4Vfy2l92kNi1SXo3wQy8Q/uLE+eA5UTVJ+Cu28/SvYpLbFTfOs4/Bcb+ZmGO3h00I5/
eGTGXxE4kBcIAKs3R+LGnAHpRdzODEiCamBwpeQ73Eif3LZystw3lPuyORnkSPal2LBAlFNkGj37
Hi6f0QxTeS4hoqeH3LNb3KBI5m5N2iYh0Up4Lw6ujR+Q0sWKL6KdcR71a1788JJ3fwzedxCzvnA/
2SoRTreASgxPqe+Q3Mxurf2sg9gmx3bqk/dVV+Mj7Cnm2Q0eCERvpEvj+2jkVP9QlYXmt7Bc7pfW
Ixtzn4xdNt9gOame63BU/6UwSQzB7I5RSGQVuKw8HeoiQjA+r+/BLJ1LT0iaG1kunV80MKdtWexw
FZ1Ys8YIhOsRdEpWe/KlUd1S4MECU9XZ5VYxtXblss7YctVRouczQ0SyRi9qmBDbVO1UVcdsmP1u
b6jMyIME006sMPJjQn/nlmVyGiYNwpkuY6IJsxKJI7WZ3RFbMjrHkaxy61B4nnfvFNaIEmR18weu
F/bzU+g4AOa7wGOd38y+DqLM4nQ6Eq0yq1M8BxswHOJ2PnzExYYgKjuVdKh5BPbMPjH9d2FnsNgU
VCFswEQkTLgSeqapjlu91sh1eM8p5OTOYF8BJYtp2umfzRgiEtihwF+d+wmD8X9rBj886oy0iqha
mPCASSAgpwL1lrzYINxR5YlweWffRwUNGNCCEgmsHWhpZjcIewNj/fa5zm5l1YTFTbMmbXq2/KS+
rwvSs7EC6mlydnO2ugR4S2Y9+wmb2deMby65yXwwfe9UDvntKLo634y1YXNviJMQfxfPIY8K924M
h8dyuk8eG2DdCdYFHTFV9mAe+Xny7tpYbk66ctBfXqB9V/PXhGMAUevsheVpZJ72DDZQ/ZsQ96HO
nypbfpl4GOd7sn/I80Q1C8UZQH9DKNiANX+nUqdl/2jXf/FeqHvycpE1uHg/XgLjEEKMkkKKB2Ux
CtMXexUrW0+oLOO1tr2BMBnRVfajt86Ze/K4jUIE4pYsuvY4TkVpNNJ0ohRGiGLICqnga0+J5Tak
8gvglNmBnHZgoguLZoXFPktELdQ/vFJK8kMQAn1GpTMFZB4j2N1VWc/4AZejgZEj+gUTdWb30O3r
xQctJemW8OFVeGCoPOe7sCWe+yiNUDfgJuKfKYCzuR9L220/qSOnnGB7zopvB3LGO2yTkayQpP4N
usmcajm77xg1gt+UG5n8C5uOAOc4eV2knV9DFAeGAQ2APOwqUBTor6flPIschl9LKsg7Sm0OfWx2
3MY6FuxHAu0wpUmN78W3sIPXP2hV1m/Mmu4fWMf8Mo5i2cNcD6PdMUBYtOXrYMXLSHhZz+tIyRDh
MsHQFFIKfpITba988mE4n4nnGDf/IM35A9Pk3H9EU1ULxC9UXPreyxx/vQNhaC17PIQBLnNyVQAC
2huMq6vpkni3A2iBHWqr6ke3vukvLdQmiAeBm5e3MZArC0ozWSnPnuBP5bsYrSYjYhT4HJ8tctt7
qK4FZsOpC57XdiB6A/F+Roz1iNuNt4FY5Iwr9M1thfUPe7ztngOgZeJpToeY2xuNAUkquNWafedW
VX7dNO9vvCWEzPR5uUSwcXKHBe1SnB1bF3Csi5jMrr84XJCEDrEjzyNZKaxNcznf+WHey0tOMieg
Nmp+EPcYkYhcyUKW+c27VeYVjVhG10ygLTb5gztVJPDIcXIGYGypaf/MndMFe1fbw3pinVssN4q5
Fht5MMz1P9TFIR9EzvvdfFU+dMETbgPXHLfEoOXdK6xpiPJiA4KCvCBihGWXjsNnN+c9p3KVPk4y
TP+QlwhXi7qiJbJ2l6Ng2YnG0uFDklBO3fhh1WvovCjR4+N2nUOIKYnXcuSwaV5d23mtWaKl7EaX
vo5c0tadaCWlc3opqeTTI3At8dwk8Dh3YvuWGXdWQ3bC9FOEjDgaTtQyGQz6IlOJOyFUdSZ7kgAL
WqRVn6H5IB/IKe2/8iXA4hBy0p4ntK/8vojSHqHU+PEPQLIMR03ia0qeuCMfkKXTcs9WgziLOPUs
gJiTB75LceS+GWdBijdKmy3q7Lsd+MbBWg7CcbX7mC7Tym2Dvx+JEKrq1yF1FvyJa6bvJ8H1HDqt
CY+ptJlMsaatV/S/pST0FiVI90w/0WHtxV30qyrt6luCBwwBBnM23vHeVwFqXdG+Itcg/RuVB/1L
ZxUmhlK4jOlhbDzvIWd7uALVxEaadXr9aXjfE7qrEdgxw3rPxsvJ+g88CqDbGJYCfljyC4IzThw2
49BlAPFp2j+EWG7o5CeXU6e+9HRh06EDv1yPR1YqmXPge7WxwKdGsXEqR3c9aOY7Yb/vGvYv/gmt
x8D5KDI4lfazU+R0ebrzLOs0NO7SnTyn51NwMjYMPIoJqpHcWsTbKD1T0mxZ6BNawcxpL7IsDn7n
tWxjoqGI8kB+pqHp1cCxUV6ZuecVY7JaPiNnXJZr3mK64lmGbduMU8tlSnzCPSvSkYHoyOl2Apvg
fbP6YCg901cPJ13Dob8gpER3lRVwFiIP/8brZg9LuZ8tjXminvr73KLAfR0ZNZ87a3YGZsPJQNU4
lA4SQJIPEvxDqByGG2NxYeyxxnB0EsJWJzc+IbgQ7HuVPDBrBwxkcO+YQ6DkOr9N+UCQCmVDCrMu
IaXyUxWivA8T6AbEMuOnwcaNQHxwZcSwlOM8trT6kchMwORplL37nnk5I4Y6HZ/WpCf2hMmDuiGO
g0zGtoiTW7uwVPiuxTieS4JBip2vJgQTxIMtaMxCsqPoB023SlGfAHk65o6dbBo8Q0QC68uUXl0r
W5Be1eBY+10zuu49skojI7GZF85+lc6AjryQLtxC0GpQW7ny3KYLaNfRI4KAAqhW6kj9MpqHlqik
Q0mDHhwS8BzuXa/CTh860k3kbhqBFByL3KHimghZyy8zrLRfnczo7jApQt8kLPC/biVU7pz6Aaxv
OC7ErJxZSWXrRU8GSmGWU7DzJkvS1WFndclpYJ/DojfQXNHXFpVJ4PJt9O10Loq+/9Pn8+ChcyL0
eYv6BvLAvd2Nfdbe4ajVajr7RPT1N4VwSht1D9fpp61bPAmVgUSEUEtXfDXGmdl3apyMEfJ3qI4d
bcy3DtpiQoew6GVCrgn05SsWZXOCMVaJd4lEvHiG6hF31xk6FhGtsPvBDgJi9Lfg1CzGfOewkGa2
uMJfQMWGk3inGbTlL34VoEkICNdWrPNTKuKc2h33UpH0/hUnBeFAbAA2cstK4tASNU7PlqEopn5z
s1QFQXdZwUBRrw5kjT6urYvOeFmZBZXMzom3G8i/QbvL8c++vFxY2MYHWaqaNoqnUsb50UmJvoTa
MsIgfi4qYYcblsXq5+cQ4T7iC+211bArCLZckiMNRin1fl2a8I9nlUW617a19m8tcW7FvkSnfMWI
Nr9kVpybHS5YBj0zXbyKenDG9zUDyeeqo1BmY9mbG1e5aDc97PzPiZVkdDOGpPYjUZr5JUBKvZxa
8LXyy6JbzwluQROUR5OVJzD/1qwEVtlP/fq1SoM8N+LlLqHrCse0aGqBk/0M2VhtoVih8fXVZbzF
fcgAFGW78ooyZomK0HQZdlXconIRQQakTaaMiK9jgOjkVoGWY09Yxagm99x1njwS1G0pIi7IKG+u
HICxROqZeGwlsddD20I3DhrlJBmyKe8MrgpE6J7+rRmdncMaEpw76ras/KtctGmclpzLqPMJ4IKq
VpDniFCROiC17iw9O8v9WCde+49h4Mz0JraFj6W9cTL7VANFQrtXYnPHNg8OelXDAVF+kXw3tgqd
g5zTObl1ALCMxF3acxqvnzPX1b8UjdxMGdWL8onEF1wK+xbdyEyx25f2Nc/CzVFF8/veVbj3ntlG
uvKzdQcLtIcjJzu7a8TaeYd5BvJyQERcjL+SHkLGrFpTiBndxOXrXdnmehUKxyYGbkul46YPiox0
G51TlndY8Mpl6q54PKfiwDlY1g9goyQKQ7h3yV3mIeh47Gwa7J947qFBHexezjErZcSeKQ56ljT+
X49ywtkEwXH56XKz4fwYmWLdhAIQ8+eCYQ9hfNW3ImPv1rArMobVXrt3sHKHB4p8iDj8jTCIv8N5
XP3kVWJ6YKnIiiULTg0L5+mnl8ru8OumrXU0TefbJ6UHauYVVmAKnyggeGPfoxMLScRSsRFYqStK
rMixCFZh+50GzR3a8DAhcS1bJQsXtC5TcuntzhPQvLRvlp+GMOHgNEmfFSmYXvzKX0VO3Ywc00mT
/SSbdkFyacLqbi600xCentJBTzFkkB/beNBtDKOoATkEl0D8AAmE2wEnn80qK0yFdWb2a8/7FPB4
cAymFtQLtGbVOqc1X7v5Cpg2kEzc4OYgAxJz+DYz8igPfRUuwWnEedMfWxTb+RxV3lARew//RrwQ
KETcJsMpp7sIt+1JG85kUXLmYfRxwZo08cTgGf6kFRAfPtObYbFYnQy6IBIhlPoh9Q2IXCgNR1CD
ui7OFegH2WDL4DAkUm0KbN5a8oRysVvYmLdfxTAM/quvkc8SwtT5ZBWZgCjMqMlN6vYYzOlo2R8z
CQvbfZBjOOFfsq34qcelqCM8eL3ZzUks5Feh0i5Pb3lvAhezdIFaH+dAzYn6l2etosNeiZ+5T0QX
gzLzWanvVK59yJidJMOBbdgM9QmIEYYDGuaW36Xj3v6cGX24d6wrCvHr18jt0efOFkhjFNRSETBR
MAyFZEyiuS/Q0oNyDOTZbZPRRXe4sFG4qXwGrWcjVbZZIIXLoU58CDlYOGoQ5g2M/CMPfcefkjJu
+ofogakfsUaOGklI0aBTJNiWnhvPGOt5IBiDpkoannlpa9/3MYWzVr8PwJHLR+WC1Rnh7EJ5wh7a
pOPzSPWlwxuG2T30uAgraAaTp8YDXGbXAIyQya8ACxujjg3kNa0PmIGdCuxiLQKhIlD6mKcX8hAM
knaVr9OxqPOg/IopA6ZbxYM3nEzdkVdRJWFm2KLXfXieZnswp1bYpPJZvYRhxNQC96uxl4XEpY08
emHaP0xog1PEnV1fOTDDjFKkqicgwA7V6M+XktYKiSgfUrWvELGxR0aswLwsL7Nn5LOaMb83FaQd
abqGaMEc0e7rmpJ/b5lwoDJifEGzltYk1iGndna9uwzpmXmNt5wDFn9iz0ZLoKfI0/AsCFr+4ZBn
xljlvrxr3IFgW7QWH7oUzngQVVEbvOI9li6Jg4SRkhcjIsCCwFi0ndPpQmxU/Ns3LhHLrRer/hfN
iOd909nYLV8JsrjIR9vinQlc1uYJSR1ROOPsglxo8r4Kjoz14CIXureihrg1tn3uZE3s8jiQ+n2L
0c/gPiFS+adQprlFMJJD2StWmiibop16qPRmnB+Jg8NNgSnFRa6L7Lbvuya8hcQwNVicS8RtCUH2
zoHNFJVakCTEmAR5xoMVWE2OpLOZvZUzEZwj+l6VflpDk63nCo5jz7Nt1/EthwDaqWFSw9+UpeOr
KMXMxhcbGvJ5u6EcriXqD0ZTlAnMxOnXdqpQjbeb8dBBmlh83gELDCqRS6Ef/rEhB3iPi0sdcqC4
8dGf0J+kNyTOBNMD+vE8u/ShN4jbYC4X70BaRPrWT1IpJMG0gPcwzfV7rlBcfvt1wlCu9mBs7ZG/
uMmxLWzrT6K88nfAZl7zbdj922itCz4rcgCryCD/+oEgg++fbF42CG28ZXJOvtDP+JQr57KS5va3
TPy2ge8EdRyRX7tmpAgmxmHLl5vbHiLn7zAhDINQGobrE1la6UMDBmo5xVXl6YgF7xZo04igOQQk
PBM80wX1GelxKvd224SaESjKx6fBYdV0HDqiqh7WgcH+C8sqkjn4fNKG05bIpB37Au9EhwRCL+2L
d7gK7n9ek+VndNag73FzZa9Sj4m+yX0XHgbZO7DSfWWJ65JM2IGJG62eJyGn5lj5i61IXQol8Xrg
b/VO+ln/ouu5YDbNYXTMUTzXJ5U1yYOSbLbPk8uwiyieMsSrOhEfebB67UOUkmksdm7A/PkhrSvj
gx8fJY6HflDMY5Lcinw7w5cgmLEGF0Ys8yWwbNRMowkkXUKd4PghF1pfYfUSwWP5ATZUG+0QwbX4
ZYimCH3rVHcxSRkFQoGC4bNE5ITTkDU0YaPWY6NmSIXAbnJ3h1ItQaqJ/Wk7rXG6HbXPa/wdJ7jb
9kFsec/IjgDZj7VJnnQl8n/SysVdzZScOdz/yV1W6KHlL9Z1OxAx5KNUrJYBLvuQM0kD0VvfebAr
EI0NvWCFifs7JBcJxlmxkQyHWwAEARq0fuW28YvK/LVtSuCAdAPQG0GTXSbiCbYxE5ZA9IGTJK/L
WqthL/xWL7cI3pP2DsUaPok5T78o+hafYK82eR0xgHg3xktJwcLuUHzU1tD+5ATK/8tBb9o3W7rz
q9Whw4xYMtY3ml8p26f4y5nW2GRwvDZ2H74nnKPP3ly0JfIvDl+BML8TrxWY3fZCQs90ZO3Hp6zi
gHBCt/VMFKBI76ltgMnOAKHjH6ZWLmoO0GXlSXi565yFVtnfVYj1n2K3RArjuOanEKotVj2rFOpM
pbewpQz57UmtFgn+VV6dkB5XmGBfof0g7ivx+rsBuqBkOc6Twtik8cB5yoKRGalM640ZpwAoF+r7
e5RWQ3LhG3QBOdsIove18Ar2HG1IQzdbRQy4eyh7+3bA2JjtRnfGbMXNW1+XLjMTngVjgypy7Hrv
riB37ta10++jKsZPzI8wdkJLFcUhSCgjo3GwtwYxS9o/mlkQIJSMGdtXbU39v24VuPHDwRCQhFYk
99Vt6dT+9IMdj+ksQGL/JzELL+XoSD3v2O2JX6JQl18WrfV4p9cYjebOr+Pkr42CpwBet/buWWWk
f+8aKDycpkjknSPaclXfj1p59bGnq3MjN9Be9yKrmD04UXfh0e3SkdwP4l23l7YbXk0CmuXAFnXj
C6KhIDSJsp1UNaAwNLt5nbrYkNC5RWaQuCiSNHW+fLbB3l1PQtj8WmOphnTjphVRvmiWcEBbE6wf
N7bsixrDkoiXoqMq9ofYq29RlZEbCoWi+ZtbK8PojLr+RTWy+MRelvzEwPHMoV64uxFzhDSmwxRg
d89k9xC3FIlRkk6Q1JuhS77AbeNJguXks5lrYs0sKGGHtwsYq8UIbdZx7wUu+ViEV5VVVEis/4Te
B1tQobTkM9of9o1+RjjzTGS3eqxs3/0HRWACfi4797tMkZOc8WDQELsNWh8CwJbg4BNxVD+4eEkK
7u9MFFdb4N67mqzzNjQqUAScVQrL+b701HqBxD7DLaxmOIqiClt3n802JpjWFL3cO70e4WUiLxzO
empmaGcgNuyTHSIQ5KeqCDQa4JPsU7zGYoflQ41PpqPj2akO/+pN03v5uR5pEm4XnWqg4R0DgN1K
/+MdUmvMaRVqvVzoKCQKYeJdfetqJN6M4Cxiep4DrlN3+mAqmoqHqmWN8B9eG8zbhzFoIZAeJxTW
WXLP7o9g6RN7BrcfDnmA0ZT2w5m8nM+5SF6sWXgZhKYwHru7evTcNw7xIDh4aZr30RKUyVePjaL/
ty6YruWBUe5gR77B0E2It3Srb52W/u044CnAc4KSoCIYCuHxvljkqO/R4S39cTRLg54QRYw17z0q
sZin3bGwRuqYyd0zK15sEh4AXb0rltIJATcETvfhA39tTlhz2+a6YBe18FLGQKAjuFx1+kgaWOYw
+F6Z2SC6WVAUszcF9YDpnJQcUGR+GRWWXM2t4WDMzisHNDIvogQTjMlojC7IRwZ6SRlMW/iAH3Jo
4IMro9UT81u6hp3EAtxX3RFVkV0dbASJz16C82wfVGQKMU2xyrec1ADnPm59ilfmEahNGex38o2h
3Pgb8gJTKytvIiZw9rmWMQT5gmUgYbYRT812/AeNrk5+603BubWZLLPUgmtzZrfjJP+I/EILCcNQ
+semTVF/B7h+0zOpOovL3lx2or710nEY/3HBO9k9pAg+rxwX30bWaeSLs9XrzwghkvgF9NS2UFxW
CbGgXHisj5uNPD2aFf4Xd1yinLP0EjSXVLHjR7CkS3ZKEoTLO93POM1oyNGx08oL5iqpTfPiUzKC
q/FLVUW5ouaNagRK9rNHT89qoSJePX9IFa5VbgC4UsUK7pmiCBQkRAelPAWtqF0eqXocsgIUqKh7
iI/ebw+1Y7ljiqH618kWBMExEtfohwIruFQF5KQnk1H6frbYKPyzmzAbQkFVG/zo6TrtlsSzxo80
9VRz0xj0tBGD1VYwMdJd+OA2cy8OzCkFdwORlc1/js1G8Ih6zQN8mtYpE1AXuOcLovepvEypYWLG
OCZE+ZSg7JRPLvrTrxGTmHvfkWQ8HO2YAgOwgoMHaCn4uo4Tae4bQqKbjY5w/KWkancdmpO/DEgw
g5McIO/QAs42AHniDVClWnGbvraVWr6pK5bpSYeEOhNbZGzvhADOwUdktVJVOwTodXuf0DbntyQ4
BPm1bdj97EOohmysMYDUzHbQl7u4OPEGAuV3XJCrzL8VcCbkWK0OiQ/AwtbfNQhfhu5prrw4fx2L
KUP0z9fCobXk7OK5ZsLYesx8O+i6VzoNQxxpYicVCyhrHQin0DIe/I8W18oM2WLEyM5/UW74Mahw
6f/lIW30GXfU6J0Z1NnZB1eebT0yMDfxs0xy3Z8pY0gbNHPgYiR3ba6Uyutl/TgjzU4P28rHPgsP
I9zBzxBu0VOzzWbVJMgliSUe9LjyKE4pc3qiZ8FfWB2aI3lkNG2osB0CjtRNm+DCOfhe1ld/oRQA
u5jTIPvU0iSXzmotZiS+7TgEfMTTm+Mz6EAzp818sacco5hMjP83zvu1jzrm0iQSFRaXaBBOztXH
dhgT0M6zut9uMH8buvofoQNviHk38Cj2fw2sGlRCEDnr3u7O6yTGDWGlcVmJELUnG5ulaCENKPik
Xa3WmzjA38TIawYkqSclNNRAQ0ZPz1goiYoBfUpXqvmPVWfl05KGaYqbKvUQbKLEBucMKO9jbrkf
8Ul2yZtIAcEwnDfWvYXzAftSzwsVocejmkezJqctljd7R249/JeZFjGShQKfhXKbefwRsBnM060M
jjkF4D/c2PiSPcTEMStkDIB7Lx7xR6L+Rplcm1V9FH6RN3uN2v4TWT+7vcyfDdmzmA+/kNQ4hAiR
r3LxPSLtDhNz8fdh3VY8vVMt146H9B7QIXPNsmjU+AFrtPxeV6ffOGsmtqI0GN0n+EHm2Tjx8EWO
Zf2f08viJyaD9sZxzAjZsUWXv5u5zPG+oSz6ZjaK8KpbdNceOuAM1iGsyvwzHGu4eDby568M89qL
hTQ+Rd2M+mRv8DFeq5QQrV3YNcivILt1f/uCamWHzbd5w1DhvIXCdf4rsuz/CU7jGESrqjrE2aOv
BThMuyAuEPExy7uktvc8apyLM8rTYs8SubpVCDPBIRF9rHcIGAEtGximNYeextS4SE2iEZ5J9hh5
zLlGUgp7o0r5OIccmXPervmCi0KnaNd2qhd0BHR7VonNTzb/dbLt/YiEze6XOqvJDo6pg4wCpgbl
mddOcDugORTYqySLcNW0/K6awJuMtiIIyxvfLQfcRpxXIwFS6FaVQKKCXDGPpxOHQfVrJi1/LMN5
u1HCK+tmbH39N2DDFyLhq2rSYEPm8YfEAod1GFepr4NrqxfunMQ/k85HpsOCbBZCRs3ntBs5V+ne
rCzoLh0TUJh/U1K+dLonqNLhviblt2Fne7DZuPwn+9F6NQiCz6tunQdAyxtyB1ZTz8qsSNGbcLVH
Jsyd6pTFCc60JS3VbVeu4VsNGmOMRuAOiBubBtdI5lCkIALB8xuyEHy00Mzoi6mU8zxNQ/qkY5u7
MJGEakEiSOar3U81tA6U5O4uhVh2i9Nv/RET1XmUuuRf7/yZLpwFq43NVk7z/G7EAjyTZpS1Jyvr
DnG2WzMSTsPq4qF1mqKx84Yntmr6NU+W5j6viczaIZlhcOb1Qf9UgoJkTJME8392kSMdYRHmn9xi
KJvjIMgsP1oWqfQRsnNCLZWe1z94qvSL6qaEesQW2EkchcfvSN1EyjnvfTNFwqKcOtRetprIZArm
FVo6sWPGVzyqJslph1bCVIHme9keY2P+HNLYBlSNcfUdCokofIwTAHQ8CgRntfRkzyEMIH4OGx/P
gSWCvg03m0K0JpXFqG1ti7cuXNCpVJbx7pLWrp1jSOmkd0Gfc4ImHZMksoQ4WHchyLLPbp4DLMk+
DwBlQ8yzwY2GQIjDAWL72Gb2IwGJHFRguuxvhJSoS9PV+Kd+GcpPb3TKT3Au9dcwuAgr+SDkHQuH
/DWufQjRQ824/jJVeXUqZxiA+5m99hcyHFqkONBI+c2KCIriIafuDZwGHqeD2jw9w35gOd5jep0u
sqZ/VjGCb6BPC3uujrcRaFPbUg9MTOvp5gMB45jmkZDJYg3+EvDeGeBmXvdZ0W6+uL5FEjMGEIUd
SLtPC26h+WDhxPpTpun0YBTWPeprx6Nqmyq5bkIsxmCA5so3S6D02mEoFWgikyQ0e8Y9fX4QiIAQ
cvYMgnf9GG5QdrYtjHOawH5XvMAs1P26WHb+kBJEb4oFuYtg2ncOerDHh7JADnBAPQEKmsTj4sMj
Ekzs1sIQeF50vYI4N6WERug+phHTsgj5MBJ7eEQY0857qPh58pX3qftfhtTJ36Hh6pmvlwMmjCpt
vjMADrciM1skgLFhFtN2JIq4laX+gAZsLw9urDoOCIGNtLONO1y6hA8xAuVRATByNLzPnM6lOddd
vgkvIVNAg9KdSA4WQObpFoAly0TZofBkWmF7V3/tw/+GsO5fvO2nRmJnbLjDXQLFe6ls1O/Y9fBg
TN4meS06SIVh3uqXYq6Cn7DrDdcohyDuVQghh0U4EtYSs9A7OUrgm3RoAHwUKDUCJCEwonhmK8ei
xnGqmUAEsHK8iZgLoevo8kSMcbMFk/CinUe2ayCXDOX7ISOmpNnBViDGi+4YA65NM0T6m9M7GX5F
kdzUHERMjYmQ+c+auPQiC+gL+w4fMhA+mHqRqJxyUuecAoDoToQ9BiR4uu3bAGwQDhmr8zuWwuyx
hJjo7oRt6o+SyNwc6H4Tv6PUx+0ZJ8Y9tQObS74dbOY2aYVbkuasNtt1TffmtNVXV1Z1eksJIR9U
sGpk4W2e/uBMbt4qVTGAbmOZVDcJ4A1G85ZgRpCxS+qP3aSal5jgHAroIvHuJTYnqDyzb76SZOCe
Zsshu31qO0lwmHzS7XfCqVqEPcys94ZVl9pNORZJlPp99+DS+mLZ9yz9w6tOTIbvx81/M7YfUmbR
WKBUlWP+rUKM1e5IL3msRQoeCmve8BSSQsSwMW/qCwr2dmICFRBGtpWdjDuC2fkoYc+zEWFZvFmc
SaeBYqnqS5mk2wKgLxAMjniHiTFgAct9pFPktq4785jyhdbXGQ733wR8ERk4q850lA5F8t6jJ515
c+vhqppqtlhj8LbunGLEvlK63UDwQRj/8oQz0AFAXDNez8ULR2P1kqx1V++9oV/+2Hgvnlg5DF7E
gF1DAAeTdY3XYdMukGT3EQSLuZBfK0XESyA2TFUMU8NOpiKBVzKvnzZa53vsgDgrxAhfg49PMHgL
vKlFqE8EtQE2moJ+5MOg319mG6SXYLNK2VJYXrMvQ8u9t3kaiXDJKnVLJjheJb5Op9m7ncvucJld
yrGB2EkRWaZzWGJTn+AFstfQHLrC8rsDKm0+feCewXspM6a2KeoeJh+6dc+9tf1qbWXrD99RNHDV
PDHJGFA8Py3V5pWivFX7Gup+vo168MVqilqMQ6WkMRtxDZw7bDfkuGTT9EbUYf1C6z39zGle4Cvq
Sc+xGDa0Uc3UksuEoHERJWtln0B4kfHVO4nbUivVxTua9e69B8iXcz1uVobMWlhZhzC+wTTkxHy5
Uxb8x6migj3mkxzrcDmY7xRY1sfasoDd+S5z3AMhcpl/1gpn2Smhan3o1UjzhTw8R/xlyuzdldgX
IHQSV3+T9lb9jLAwRayDbx6jVlzPX2lLtRWlNbPKPQhH+8LRRUvfo0Ip9xZ6AXPGS5BccXOx13KZ
fQBrzLh3yCurvDzCbOiHWPOzZIhcdt2w05PG/FQlO58j1qj+YJMowJ5Qo7Zh4Nl11p41/pQ+M2FO
KLjaxtrPWCHFdZhzNuJhXSI0WxSL2stA7ugrht7+DEdQsCBc0TuysGXJyg7bycdDPq4xRAYeCXcP
oMf9+h9p59UjN5Ol6b/S6OshlkEyaBY7e5G2nKQykpLSDVEyH733/PX7ULODraSITEjbF9PAVEMn
IxjmxDmvaZUGOckKX8rmNrDhuB/m5SKZXnbRnnY2Uhw8QRGxBDhYYdWlWGZ5UOA984TCJHxEYhAv
8iEvSbAS20AywjbwPAClhBssvdVaRRnRyfujLfqy3ZJ+cnfAUy6fLSzM/EMpzOFrHQ6zEEylwRim
6WoAYQDvgZtX0+avVFsN1Aw0eCgbBbzxpwidG8RjBM56mzIDfbkz4hiJHlUNQYdUCG2jXhfm4rUp
0J7eQtLXPkzIEIGTkT2WUh2gLexZG4PD23Zmtdk6iPvpVgxRWB+y1ExO9jgGclMgvgUCg4QhuWnq
wsFbGiqfd8TCi4cI9UMUTCseN/9EbQQJUmuAc92milUjYkguQ/XR6A3vxqdYAuN9wBUbGaLk3TR2
hgLpze+yj6aFK8oO3oTnvI84n7+2QR/QLcpLW+zKzOt5wOLy+43SABIk7VAXlJXo5ulPSMYU1Q7C
ZfQYxpXeg2vgjzsV2yn2BVwSnLhtspydLpXAnYwU2Lcf6v5j0mV6s8f0yTh2lorV0iDj9h0J3xAe
NR6V4cbgIlLZ/S0iO7USi+/oPkWvokUCZlsVSlZ9RL7dfkrVlt5iP2mVepQt0FCAyxXPO7oIIbLe
CFNR5dHK6BXeafYTdrnIt4nqQdrAkFJMe8UwAwVKF/QOjvVQoarCSwUBPrK7AC/MbseFWZHKIPjl
drGNfl/VNuarYU52BTlGFyAx/WD2rDbb7sZrpQESEme77GCT8v7UKUH6uwggORkmvJZH+EJcuDKn
cQcLq/lpU6SpKEpoFhpL0OK8Y6dCu0etQqafgQzRvCvqxthTUgESQk2Pp1yCAMNHKm7FQ0lZDpJV
UmX9xxSdQ2sDIod+C+AcvJbBMWsUJiMrmlX8MST1Uxne1KpMLVZxOqKFT8G1/TEBrYr2dQXIYicS
a3RjTvcfGcfRy4gybbjNpDntbR6dyObnvvyst1F2r9YYnOyMXKePrsv8a2rp4GiQlioe0TsLPky6
bcA0aJPxH+q0w08VPssXUsnizqbiGu0KlP8QszKadJ8gQvo54AM/06YCKhS3FPfDIEfPvnQyA1B5
OtfanKKtB9o4KW5UsHni9+wwpI5Idru+QAkew+f2B9kXVVQ2ZRElT6BmAhOQqp13GsUIjuedCMaW
Q0TVZOe8OJDRskMTdKa10cTYx/BtKtXyuk1q04lut5MYxuYhjLWcDjNIq/or9gBMkxXTZabEXYeq
fusj39/SvMnHEugRhWU67dmkUfPaCiWlBxyyPmd3jUYPjw0uggPd7lFlp5TCd2KDWw8w7G1ft3AD
afyhKtLEjj48atioQqaQnGDlo6dZGu0bxAVMbNkiM2n9z5op1NTetnxzKKBlJPEDQDoLdcuXCKto
tPP7wmrvcbRzjIPRjpE8mvgcZt8htWoWghFaUfdIMxa5uUfZAe3EO91BsJXc3xctWvRBIkxovJQ9
h+ZdYLdWnd3YDlZM5j2EfVoQ+zCwQyZk0AuEePZ1DD3C2KNQOKCuEmBnt1Gp8Kvzy4E3PqS+gVTN
UabHBPn+9Ajmm+Ydyp4ckqnRcOFzQ9XWXYStoLIdRJZjRgHaCRtWmFazRFiPfnuEJ/mEjg5+wdsg
gLOO5oLG8QP9JzhFDsJjm6gCmEpmEWYCEq0pdV7o5Ho7AyPT9xJsfU7jH7BIUnM+bSBgK18rSm7/
mIZRfaaaW9XbCK0BEqoU/5ZtE3ryRFsbY5821wQgPIkV+i7MYdDsVN9O9G3XmdU/M2YYa4DeiGY1
lEpCxAfLjgN6rKNEii65wXtsGP+xTZjW2GOnAz0hcP1kPnAa4j1ELPUGTKEmKUIU1buiVeS4QQTc
+WYl/XhAAJ76PE4bDdijtqGOZhk6sLi+bcIvAxj9rz7+eeF+yPSMyhPSzxiR0RmTN/wOuu+2YqjT
DYwpsnx0g0nKiqFE2d2fZGvwfxX7nZHCiqF2KC1gQFMD5XAwyVa3CIN61R4hJGzjc4nZSNhljktt
HQALXNjUvDNp4oOprGMQkE6TKs+qaVChkXpU/hNomT5u00nK9t6OKu2FnA/slu+QGG8mFUPRfW+A
etlIid6Soap6dIslCoSSIqOlsoX9CP4o1Gyc3XVDscq7Zl4iuwjejHJU+2EKEZYSmIZ4XmT5W3zN
IjQ/xGR/MnnN0k4FSaFhqddpMMEAf2IxUsZ4rPcjCLGBRhY5nEbZpyhggHM8YIvGAxiEN3IEGX4i
bVDZ5k1dZc1d5NW+uQs7re+2tvTEK05WDv9r5HbkJspy7xtYovrkAAslSYVl8dPSteoVnGPvbHna
sLILrUFDfkDOdhM2aJru4LYZJ0el/nvIqFM/ARmjwsTY4psWkP0TykvDN5npxTvNxOb2ENLF8fY4
2BjOHqSdzo2pz4pHekXnemdoMI+3EmgzrQjPrJItZhvU1ZB4ddQNAlyIFtidN9IujaIfWZJh2ZrV
mfIeracESThLre6yOEN22TLt8piG+DreOnDu79Wmil0r4EDGOhR9wR2CB4AQgTeDYBKNaVgbbwrT
EygPAdEPja5vQRiPIAEtbG/ho1j1Ro5+GG4oDfP28T26NRumg5u/pir6yQy0/os2NfmjJ/lQVBgz
ihCZgpw9zmI6Krpjr75Gqcxo1LfhcyzmGmuY6mOH9rrNejOwooN/N1C24bUHi4DkFUaA5ffRq5qj
5SrisIO0oKDkAPFpCk/OKCxzF4AmdA4FLepiQ0JArwCtZQlLT3BZo3veByhF4LsF9Rf+HIZuVv+d
x9+IeXI5NPd8R17lkfDC+dVFPW7TchShcYmEkD2LKlhfpGPMvOQpRY6Gt1cGIA6big88sYZ8B6FA
tjfUJqty25pCPqLjM7xCYKxeI14s3+nm+i0PvmlwE8jFz3RAGxc17+plQLq82FB5QV9H6CYjRhuS
ifgPqG+A5Mn09yWypcVNqVoByhqVg5jgoS1oBd2FAPtxrTIhEmj7f//rf/zv//V9+J/+z/wxT0Ya
7f/K2vQxD7Om/s9/G//+F32F+f97++M//23pUlUNaTjgKi1KnoBQ+fv31+cw8/kfi/8I1DCoq5pW
c6GnzbsOhfzCC7rHy0HM8yCSB4LqGI4tNEM6umla50EoGlp0Sq3YxUm1+mLktv3e4r44TqHeI0Mr
cL26Mqz5X3wzrN8i2ucRJzuUNvoUsVvn6vjI+Yd1qFL6T5VnG1t9nKAMIEUTHC+Pc/5Xf4tq6ljI
6LS9hL6ISrGgs1v0U13HspqnREbmi65nirLHpCyERDYCFLQTUz2SrULevhx8dZItHYlozWIdGIsv
CZCFkgcIVjeqq/FhprTZTyRy3gMSsl52W1RVD3vqcszVabY1HlBI3lu6Nf+mN6tHpBgOm42auJh5
wc6eaM/8oI0bfukmuHBjIPpD1gt8eC6HXZlnoRLStCjCOdjEn4ftALcVsgxj1yyH59Sjlt3ZMcgg
ckxQAwOv4FMsZugTEN7E2V4Ovtgx89IiuG2j5wQ3UOjiPPiojbQ2szp2E60k9c0h1dyB+k7am8tx
VuZWqIYJHcXSGKjpnMcxKx64hGGQCmY7ihJwk3AFUsrpu+Zzj9TkMcP74cvlqJJ/dbGEBTBT0kPT
MgzIH+dRbTrcg5dZkcsin/VP4YGOeBgUEVDHvCmCd5fDrU4m24Ula0AHseaf82YBwavAKUgpOBkq
n46riOQp0AP6I5fDrOwNoTqqCbjd5viRywUjpnpARCNxvXyAYoqxT4WxO/06iwsOzFYZaN7hcsi1
zydUlicEAVC+cv77m5EpM6K3Avnkhr2hhc+9HZM/KkQa935fGPlXu/TVDilRnuN3l0OvTSp2T2wQ
DnULtMZ5aL9GEh+FbkZbjHQFIvR/SzR3/e4vVujbOIsVanfxZItQQkoB5AenvPRfgNmVe4zYYDcE
IUK/uR9++4vBUV7TTLSeNe6s88GJwp6oT+uJazl5032I41LrnkzgU7u/iaM7JihZm3lcTCKkPysd
4Bq7Aw8+FMhrdfKf8wrM5ZWFsvq1TEFDxdbRZlsOCDwAQKY2S11Az/IY47Li71FWxQfy8oBWF6Sj
qTRfVWHZ2uJrJYn0KPAFmWsmlv+JlCUQe13VHaT/otriTSn1WoDci8iPL0de233wd/47sq6efzLO
MDgg4PBcVMzVD8JKEHnk6BHwXFAo/lY3VNYuR1wbq6Zq6AWBmNfYBucR0dCKMLOsMzdqARJ7JDnv
mmpIn1QUllGQzGmgUqSKr0RdOzs1liSAA9OEgLyIGpbGVPR1lrl4uzig/NWp+IbsYeFaGEh8vzzC
tTl9G2uxPGkn5wO8Or5mqDefHaWZdbxKLJIHOMtPHRT35/+/gIvl4wDfV/UuytzUTioGp5hhtofO
VLyIWjO+lBkk2r9YN5xeqCFTIuEpu5jPADNLrcBzz837xDjSrZPNOzvCYW87JbZEsM2KzPL+8jDX
diO9d4NrVxPSWO4S4Ogwbqs2cek/1+W28nC53Q/0y69M5+oK/X9xlntCZlEpIjtJEEgNXmn+jlAr
Av0ptGNpf8SLtg9v8RK2riVsq0v0TdjF6dkgLxJ0Vp24HfJYgnpN6oGFKmkzHgNvMMIrZ9taOK4/
23YsofEpF4smaFDxmMIwBTCoeocYbtYtmaGP0nUafrz84dYmVBfsdmnapooTyfmW5zosfJi1pL+a
MXyf+Q53mQ7aYZPY/pH38Q2K4O2Vj7i2CTlepCr5jwYe4zymmdIykAEXYE//ydqit1Tcwqyy7jEN
8ylZZmX1cHmUYj4rl/kZmrW6BW5GczRbOw85opDYmIrBtWQ3wasF1KHqululywGCgN6aC1JwZalA
DfQpFbtoDrKfHT4v/4zV72oCFEOm07FsOf/9TXIzOU0lU92OXMVHiWODYkd7j6AP7G9eHFR5L0db
/bQ2ybAUNBH5tufRZKTgjDgGkesBh76Fh1wA6IfX/Gym1ByLpLRPAwCYKyfs2kmgI2I652+GDqf7
PKqBSttc/50z4UCFwDB29a6mdjnsLo9ubS5JZMiAbVhYUiwWbgKxHGhLF7sGrkT37eAV7WGIp1Jg
aVt6V4639WCS3Whr2pwOnw+qy3t8N5wxchFQNV7Ro1bu1Nw3UYdV2/3lca1tDkM3VSoL9BwcYxGq
0UdwXYrOVxOqjZk9rabtEJTjI8YjQPghJZZXvtjaOqGAZkiEFWxVVxfbsUxzNbVgBLttU6EaHeRD
/22sTQo7rU5dDyfBaqiOVIDEtUx4bVrZDpD5DZ7eqrrIcOzaK7kQBck+PQIMR8NC7KdM6v3ORmDi
StotVqNJjaoIbtOs0MU4uRG9bARt5gKprbYFZfmPmrCQFbFK/ahA4NpxCLSQzM2xfzHa1kR4MjDt
xxpi4j2dSonIEl5vNNOoLn+OldK8vfzpxfwLlqcUeeZc9qGkRAp9vsywgM0TnFcTF8o+4HAEI25S
pZp+xqBvwMyJGKCw1J86B+NMBEdFg1cK7z7tEGDLcfm3rG1jns+OxeYyqcgtPk3T96pASj1ykxw/
STQMVbRQ8l6tg7+4694GWn6VSBvquMh5yqZq/XUqEIbZaZ0Q4rbNQbtf2V3z6bOcYfw4bQuYhCZh
8p/PsFpLcKF2SRWCTlS+BZyrAHeqTItGExJzlAPxFwUYHr5H+6jeXp7T+fMtg6NYNF958/NWmzfi
m+O/GWrg0NAkTzijK5CjGseGMJJo3+sIcvwjhhOG8oKu7xgd7cIPjM+w0Urt0+UfsbILSPHZA9Sf
YOWIxQy0RR9UNb/tJDWEsRC7TVrzxmhk9rnIoTVcGfLKfHMFACngtqM0snxTJx2yEpTRHDhAbfWC
1iaKb6JE2OQgYRqEOyurEdbJ/L56UCpAgn9xB2oWeQbJBn1hyvLnU64NEBfj0nBOAnS/PdfJOV5p
G5TO0ygw0PEM0NPPEsvB7Mr9tHbcIIKjGaYFdojW2mIzz5i0MqLfcjI7k+5e12qCY8afnMciBdx8
oFLtZ8+wloA62k6vnMigoWqouPjtFc9BK1xvun548BEKwvakGFv93TjAoXAvL4j1H2rPJzB7nRNv
sSx1GpRwWzXv5CD0lB+p0mGUrcpufERGREVVZaQVJzqbvp3dDFN76wHx649BGA7064tOeke/5MrC
UduJrSOrwT6KRI2u5HBrC5eKkMMNrLGD5WI+KwiRvVeo9qlXYIsacMEeQvwwvqPb0k5/njpppMN8
kV/n8LK+FiPE6avYep/0DuVlmm8Tncqi7MW90mV+iaBp3QfGtmiFE364/DlWDol5d0p2pm7wGF4M
E+eIQSMLcU7g6FFzaBvML/pE8Oo3MpA3H+pK5v+gMpB8rQuRPA/InUc3l3/CSkJAgUgy15B6EFJY
HMkJLVCI6Z5zAlNHZxipGjjNRW58ar0JOo7WRfZX5MJjeXs57krqQ2aMkpbUdTbNMmHFxruFWii8
E5ycHoQL9242K9chue1PcXhEozjMrox17YBC4FgIrgOb7sMi3ZqMGJGZwvNOMWrO4V3R0dmLcHlx
sB+Ehgubsq3oasHdRvgt6L5cHvHamsbbj0aAQ6VayEV0JNkyATdNOUWpoo07mH1JjzeQXerRTWc0
1bi/HE/M/+DiCkI9iFk2dZMD0V7s9b5j9eD87lEurkEMw5+2bicvzsVnPxrU567Mx5eoGWeXgLAE
yzdo0Y2tZKgupjgbMzVZru4V21OvFLTXUh+yHsrMqtD13y9mbFNwwCp05STR+vjsV1P3LmZuaOii
GhnturpLUQZsTHQQswRyK8125zEJkI06hsk8XZcnamUp0q5Q6V1ThaZCs7g3PItSFWYnyinxaBvw
MJSR8XNKQhB6VKaqHcn7oF1Z/itLkZe40JG2oQ0FLfX8rkotU8UO0ndObWnpdzke9vjs4rht7xyz
jAHH9cjFHimA+B5w0zDxPl8e80rKx3CppVL9VoVhzIv1TXoiEmz0gIFYJ6WPU6xRnQKu89iB0roc
Z21u6VxIFLLoxuva4ngR4AVLDMWcUxKmoLWyUagPVtBhB1KjyIrjQN51T5dDrpxoOmcKFRziUv9e
DG0QnZMHGCmcQHDV91Gv98GxCbUYEB7uh1sgWzS2c7/n1LkceHWsv/onKApwuszf/M2cyhbgjNP3
zqlG2/ouLbwSMJaGULKlWtanTvhIHvxFRMrvHGe6EKa9WEUdTfMRLQ3vhOSyc6fgz/gF+i7MHQq3
SCDjwCoOlyOuHGLcVDzD594Xl8bie1ZtDlTYa5xTzGF68NG6vo+18GNcDe2ny5HWViiZJCcXW1KT
vzKZN7MJKqBsyODs01gZ4Q4GFHYmSj9O2l98NeixIItVupW/nZKoh1JrTxX7ZJR1czRAmKP53JrR
s64gD3vIckV8vTyytTlkQwDF+NWYXV655iDaEM4C62QW5INjRB9xiwspiidlh7vVn9czdCkcppEa
41yNOl+WQxCEEU7fFICA0gHhzCfwS0GPsIpqQ4K5PLa1r8aNboICIcskoTgPFqESjfx26JxsFuNe
0qiZIU9oYP7FV3sbRzuPo3floCfd5JxQkeqfEwf/vUOuw3tBGmjWbbC1Jv1xeWgrn23uuNiOZB4F
Odt5SDHaHW4nun1SNO3V8GLnNOnTqYpL8+lyoLUCJpFsi5coNzfC/OeR0mxAPgR18JNj42uZNpX6
DtMp39pIpcqOiLLgPSsdCL65Eton2YPm1+oi+Xn5Z6wcZwYVAbIVSRJqLQs2DU85LKYG1k2DCr4e
meJTj7Xklnjpe4EZ65Vhr8wvD2WKpVRrVFiEi8Msx6M1bD1HOSHkTwI+2f5T7AUCGR0NTtDlsa0s
0znvlJKKKSaB6iKWE5demmmGd1KmDAF3XMdG7HvDuWp6OdDKJEq88QTFNhJOahHnnxLtQDzPIqGc
DLsG84uQPUjSKpVKfYPHX1Z/EhGg7yvPipXkgiNj3u46iAHae+dBoRh5ftVMPk0hfLFegsy390Ib
sEiRPUL5O9xStOBdEfghZtlDeW3hrOV3xLdAftAYBoC8WL/Yf5pVOXi+C81GdAeNheTASOhmBwQQ
hk9C+totZYkQBGiGB1E8JNkXyNeoWUNHx1niz78BP4XmsUOiqBqLjWuCENEyS/FdyC4QFQWytTRW
M1QvYhD7kZzEx8sBtbWvzq1M4kgJCPLE/Pc3dxeguwIVK4sPYCsIEFMXkW7KI6i8GXsRWGgd4m/p
PwIc1TE2L4rIcLsESh1ubRg7HVQkP6MbHwsXlBDsSYTvEVZF+7anI1YdHNNANEqkho+hwMTt358G
btB3kV0r4oNdzyQvbhY1BjCa9IBhvcKw9gWwDv8BIbKm+nZ5tGvHlUn6LE2yLRBd5uIsHpUckdo2
8t2+Ik8OcDp8Nn3TiPYGllHG3owRyoIk4Lmjbh/8ABDjQeYgZf48pQYlo6tUMFD6IGM4n3Qf+a+6
N1rlhFe7Z8XgUUtn+JCKMfs4dJn1lAorvR0S03ro8InaX56EtcOLZxY6j+gasvAXS76swdqHDnOA
Cn792QsRL8LRLqs3MRXXK7Hmf2vxrgNVZZFiWlTaeESdDxQRDFQM5OidENHgqYrShFchxYFyE/rT
/Tur8aH5S+jRNdrovdpvUMM3oiubaiXLptvM6ckpqtEaWNSMda1uq7GZH5eItGFri9OX/+JlgfrM
hZL0uxZS/ruxkUP6z5/PNLnF3AxiAihrno/et1K4SVbjnTxU7vZmDX8Yr1uYeGogp+PlWL+gnb9N
tQMuiiYCqOtlgaYsJeBqOEOnRA1d4MfhBw/dmduwSL0HVQFCivBQNDyKHEOsg203GlprEmIYXo2g
t+GKVkNxpTS29qyXNhUb2mA0jH8DamW4yAoMy6gjmHb40OJS96gVjnm0R4FBo6dkLxY+FTiLmCjc
pFL/bCb4tdaVMnEUoDG2CQc/d67cc2vLgY9iUsWg50pie/5VWocCRtvZ3qnQUnTCTWDf6k2Op726
wV2iEBsVPUi0hTgJLn+i9cCOpElATm0sASW+5ZSiwI36FCY2JEarHtoPajBb1fm0FLaTAgJsjy03
HteXA6+d8TaoPClpuoJnmX/Y2zM+6KWPTqJz0mMULm3kmTZqywLJInGLynx/5bOvhkN5lbxwljFa
PofUKYfs3QQse6dKP5kDBdlNESnadrBQcrnjJg6795dHuHbOcJCSydNYBky22OKoTfSFE7V80w5f
603omd5GRSEjfl/QHoRXWBoplLi4TT5VRp0djKCxXy7/hLVjldEiH0zuJNiC55OcQ0urq8F0TiHO
FzcdSVuDpKv1o42CLt9djrWWNc3XBgkL9Qq5LAOFMZV9c2C4En2YG8iMsJO4lIcfqQq0RmAKrjyZ
U4M0t12APL1y1KyMlMIk+A+qkyaXyGID1QKwQoUo+qmZiWmDVljlUfbNa6eUZXhlpKuxKDo4AASp
haqLWU3jCWkuXAvcKa3C2xgtHhQvcfo8SGn05ZWTYWXhzt0GMhA6cFRd57+/2Sdtpw646oSh25V2
9DTD0TajlybvOnh5+Irl13rqK6v2V1MV5AXcnt/QH7DxItigZei2eqxDs47CAUHsqqmSB9Mff6n5
jeY3NZ2MOzgIQXA/qC1+upfX0toMz0WZuXaBRP1vyEjMzGMsQMAQKHObHSBc/rEH/OkatapfORl+
9bUWl5T5Nthi6TQdxKR20EIXVT/newg+WT2mkWiP1YhqPyk34hMbrnL0SyRv8Zcm7xCu3wxQy+B5
wAqiCq1L89VW8knbQhAeqytrYHU6+BhcDwA4HFM/XwN6bADxD/iF6EMMyDxVgW0cU71BtpxiOCpO
l2d/dcmBe1c5uWhH6otw2PNJQHcO4SqI2YdEw/3qMCCJjWoloJ/gwTDbb5dDrn8Ex0Qb3KKRQup/
PkQvCHwfRIrvZpoDymoDV818xpNnRNUAeez8plOREbptkDl6yFLHxJnHseL/EqQZblVyBspbZQww
Cdus4ofdGr24gnle+wrUZOYLi+IdBcPzn5gxfpxfwa0HyD5ESIIZmElgenCjVIgDXfkGq8HmPjAo
zxmVtJgPJKettDaV0BXYg/of6klpmsOE22pznJCU++fy9M8n1nILzI0Efc5EgZstLuOyk6OFz0Hk
pmUWJDtZg118Rq1uunZMr2WENCTJ83lLCjA0i0gg1OWAXSBKo6WCBmhMyfsVyQjYaxq+y+UW9BOa
ExoAWorO0XDr6VGxB9ua4wcpyxv07LvD5bGvrXYJAJsbi6oRz+7zz5o0RRvovRq59tcorLo7mSnl
e+EFoYcQi1FfO89Xn3vUSeX/jScXZe7aqH0dlYzQNYxIdLfYfbXpodUHOOeqGdyXVFu8R+w1/K1p
NtgT8QKBB58GZR78xSlrgkOl3A/qje9/PvL5LiFzQSBNy9Jy3OCiG+2mrNN/SBqp2z+fZUq2hkkJ
VSUHW6znqemdCZpqBI1H4j5QD1aKTWULxA8xnBK/BFIi9UpOsJKRUEjlFtEpHs1Hy/n4BjzANJGn
oZvytszeOd4QN0eB5OI7dFr9+BCWvT8e2wLRTdxahgzt+78YtAlkC6woTcslMAi6SKuNMYfaZIKa
wCxGgZ2qBvzWfdj5s90rbRjvStC1kwN8qrApgFL91Oe/v0kYFMVsPZXt7Oq50n3uixFT6MThYkq7
1L08vrVQ1F5I7CQ5n1g2oSvSaGCEdeAGCJBFdya6f3s8K/RDmuWtenM52FpZDFQMDwboZzzff22s
NwPrh6KFe0UtMNWoflDBybkcMl2d7oImQb2BVgQ9P2SIFPVI0wzXB7i/BahACWs5qhnFlcxh7eRg
ReuQkEHkYV5yPtOh3mZW7o0+AoOKdedP5EVtaVjhvhgRG9nRgUkfL8/BvGKX5zQFEvYPuS6hF0+K
oqkQUq8q3021uJJoPffooo9I6+UPhSL9banYXbJD+6Evr5wV65FpC/5X5F8luzeTr3qxijOpzVK2
7Vbf09OV3TPEaQcA+6BY71InRZ/EIQXK9n8xZtuSJNqgo8C0nM+ygc2MwnXiuyM0pifwht6dXaP3
+drxp00H4se+sya1/PnnYX8hPOeURLOsxccV4BYpQTYB2FzRHDrkxzYhB/dNgOrG567ohwYhhyie
/mK0Ns1BNhScPG35ikJdV7aDT7E1x2vgxcMy56XG0u+uVNFgO8QphksbP1Ew6Ls83LWyCKcF9/p8
SANwmvf6mw+MepLkvg2VU6uKfry3kTq/RVQCKR1fbSzsISHfJ3ZYWfcAbPFMtqydUrIYtqJqJwQJ
1EL71ACs9v8i66KHQxOcda9RIT3/XTqqSTMyzHebAcedDRcrPPHM9yK3qzBGuHJ4rm1pSnK6BZJn
PmcW0UxEY1jHhu/6SY9PcN5ZQ7crK9hDVifaXYLE0998cIOVzQsd2rc5p2Zv5p0CE7wlNQnd2Xbn
eZhwvLXDYvhHS+MO4WBe8DtVudpnXB2nQRUUcOV8gi9WN0oOITrZQeBGUzi59HJa9bF3Sn169oA0
VTsDGdtr3fZ5BS0PLzJaai8UCbgOF3OLxBGixbILXURN6i9VVM8Kl5NdbC09tdsrH3LtvOK1TCiD
bJP74nxacy3NwgrqIBTaoEZNBMuWJ2wm8JbIB71KDokVIzhShTniWZd30trUzlBgqi6UBygznkfW
p6jhkcb9GyAw9NrFgf2AIlaHgLsWfC1HGghXUqu1eaXAyqU4Y1T5nOcBPSXRkG/QAxcILLhrDb8b
9S6uZdHsEaqJwivwo5WsimYmmv08DKnYL7tTaJYVsyQQz2We5vVDjTNWwXHgjwispVM9vm/bGFMS
K5nVlUIcWIvD5QleGa8F3HAmGNKSoh1+Pl4dgeh8wq3LRfNM2xVawXuhkfaPEYTjy+VQK9+S9xBL
aEZ1w4ZZ3D3YJKG2ZKSROxgZprTTZIjiTqH+g5uhPQD97J1s/IurlmqC6cwkSkrBy71ptpiXZLUR
8kTqxM5xqsBBlFFY/6AwJ+/RrUyOngDjemUZzQfNYnvy/OFtRn+e3HFJRrEQ+ukU3F5PgGoxPwMK
XHVPuHP08ZUTfWVrwiowgW+YvIEgip5/v9H0NNOvBnDOBp7y2ySx8LqIKd16Oxtt7eQJ4yaz3tKr
B93/59+TfTlTmygzCHtx2BqBhqnMmACv8Pv8Adkx49BFRYOZgKHtGqGMV06htTkFOjKzbnhgsmnO
hwpPq0yw5gJk0CErfCtkDEDWKpL+CkZlrXyCQALgCto6Ok/ZxVMOtbFMcVDfO4FF7G8jJNkR7FP6
29EalS2SP/FHLUWA6ehXOaLJvfKD8g7yNr7ZmCj0SRMdsclqSmxj9e7Kulo7L+A56mAgSLF/K/SX
6YSmfVvbJ5BCjnpX4knq32hW07cfI9wglE2pGO0zIAq9PBp0gvzbP//m5A1U4CBa8d+Lb251nUTo
D6QsxjL4zQT1uBuB6x3GwZRbjF3+ghhsAf0BEcnJodlLLHuVikDH0sw71bDLv6mFruVI7ZrYP+zC
YlJCpDmpGN8PEzbcT5eHurbcwCtwrc83D5DB8+XmIVFNNyBVTp4FGmurK2XbIbFv1d//Ig53HMS1
GQGyhOJ62CSlaI/Su5nC4SYuKivZGhTlrqE/1k56equINlCbssSyKJijIYzGBlBEFA+bLQJc6b2u
ov8IITD8dHlI66EoPpJo8sRc9oeytFHQeiaUrsTxTZeq32Kv6j8VNXfpX0QC0wAEioSW0sv5R9JQ
yMLcN/ROaRg0uzjLscQtOvWBNexduarXBkWVjerD/Kl+EzIoY9lNKS3ekwjRIx/TOsVNPsQld+MX
Tn/lrlw71slCQKryNoUeO/+YN4kskti1jkeAcjIDH1erUO2xmbeKbsLME7v1W4cW33Tn6FN+5dPN
Z9vy4nLm89xRSZ+NZZVFT6jBSsDALo+T6pX9UbwklvqtaDXnQUSBhyi8Oevxh0X50MRNdSUdWRm3
rZKPIPpBLeC3HrfiwYdt/I4HSupkL0qdDuN27JziXpNd8tUsnfClchCcvHKsrqQmPNe4WOaOMVfp
ohQQI4g4+nYcuIllZ1/SFg8du6+ltzGV2Hgma4iuHC6rAVmy8xHOm3i5bhvk0btCRuS12PN8Rnbb
exxq/0WkbSy4SBL/ygB/P8zAQFGYnFHuRFxCvMtZyjdHius0UsZ5RueR+4okTH+9vB1/+3zQRvhy
YDB4OtK6nIf9ZtnqkZpmCia5bg0+4cXJhN1susEqgo016g0Sd7odossp/1grYxF3kRqg0hENAv8K
F343l4JnySeEE/NjSlEHW6dQRVt+9P70LpyDUsERwuE4AD1/PthkYGEGWKm4HV9zx9PP2MUV4r64
aGnPyGrmf3rWEY/nJbAm+LLzGX4eT8CBpDqKPIUJh72DI1Ho6gbH2UL5EALySf50K87h5tIgxTGb
m3eRrmPQkWtWH5dotdvI0QR9vsNdKLuhVlYd88Iwt3gGW1f2xe8LiO3P653zGbwn6JzzMY5DXqSG
HHJ3LqDcDppzH3shWsdmT4U7LSNlEwV9dQWi+NvJrhOUV7TJs4/TVi5Wbe/lVYBWbO4KjKOsXUCN
6jkZI3Xclc3VV9BqMAC7fEpYHjTYz0eImvyI2kdSuCX5zuc2z4snqwCJgtC4OvxpxjwP7E2sRbbW
hXbVa2NWuMmIdcwetXSEfwEaoo56ed//dpzNgWbIHYkaE7h8RWpTEdGK6lFOKQr7qY/Rf8XwOt56
lq8hO2q3V1L0tWUCC92mqsdjAAD0+SQO3AYVcMXMbXgc3TYsjlvE5sd+g6epvLfyWnkqw2Z/eZC/
5d4M8m3QxTIRMsS8U49yN63y6YGVoWAyGw44hdtYzHxuy8T/FmDNuemwiLpysK6tGiSHwBMC7NNN
a/lMR69tQK8hB0iQ1WCnErvbDR2a3Tva2cPp8kB/uyzmgZJuo/43K2UsNcU8O7FArze5ixFA+RRj
D43+ep5l/u5ynNUJhYEPE9+CgbXc7JqiW8pUt5k7jbQknRQ7K9+Zflaq923ILXVEFVYGtNKKLLly
dP+W5fwa4X9Hpod2vn7KqdN8LP0yFz17+3NhUzwzJ8CuWusXN0nbOR8nvRiwzcMGzJuB0srHy0Nf
2zACxhPvKFYvQo7nP8BoEXwvcGB0AULc/x/Szms3bmRr21dEgDmckh3UypZlpRNCssfMqchiuvrv
oQf4fzclqKHZ2LNnDmbg6ipWrVq11ht0vTavdeyuMVnAOLEf9fLl8+E+OC9gaxCPJKbSNFyXmWqP
oM3ZR+moMju/VscCc06XoiTBI7tHmNS9HLCB2H0+6geThFPHC4Cxoc6uy4YZaialJ93yCai+c5Go
VbiHWFeeQ3jEZjFDEqT5apoDZImLGGQ1SAuHO+R4WZt6EO2SOT6VdZdtx1jozZlAbbf78lV8PM4q
/lRotIxIyZZPyF6HWAHBMd/3stexDukofny+jB9sVh7bfDc+Bmjeda4oi4SEIKmKp9aoGw0+tycP
mhTtzwVF/dRkKbRkjAp4jPli8ZW5S7Gt9Paf/4gPv6UFBYrsg9t5XYgVstESir98S6TcKS1l8z7q
QveMhARd0A7M/OfjfRDwwJ65Gug3xnyX7EhNgencG+VTnWE+onREOb+l83o2z15Zntg2H04OHC+K
hirktXUmp1sNVq5hVBGIEonhVTXf0UdXD6KNtWscN6MTx/HDyfHCWjBonJC1KJDmRPjbzkyuynpx
OUpTaf1aDnG5UZLRM04cw48OP9qTlAdp/dBXXmb/V1Ju17oj8japnjgduPGmeL7MoaN+01wpb7nU
521otM7vr38/VP9AwKDlQfFmlT1GtlpmOMNzQkzNvfJqDYoXWv0vpVOcUgz56OvBp4A3T49JJdAc
z0+rkMIeJkyFug5F9cvCSBPlvMJBbLoiRx7DF1UqdBdP7JkPVxXGKpguipH8/3hUzAYoV8PceUpr
Vb0HPeYa+04dszet0d37JsyuKjVGlPrzZf3gytTQ/yWO/6mtrMu9TmcCkzTa4kkN2+SHhwOq30m9
djfukGi4oJaWF/vx5OrVWYxpdnwiz/tw0jDBkAhYhJ3W7Ap6PVWoKYh25TnK62GIEVLvNaHrK53Q
tjKekdfOe/S0P5/1R1/YgjTzhxJJ7FmFdUQLuhhHX4LBIApQTO6MlVNZn6XNIukORuY/THMhMwDh
Itzxjj3+trDZjBI/RMT6ND1/xiij2Qi4ybez2vUHqwNFGmR6VJ+AOH/0bdnDi/IDfQq6Msejuooa
GqBTkQrTQ5S0J3SBSIOiR03FyHEcpLKVhtn9zLo4+/75+n70WUmjXap1Nv9QV3sZNxq8KVtEypq+
c64QScdKDtuDwq/retrooqg3nlWf0kb74F4juix4AEalaasdz1f0KuIdScR8SfbOLMMe7gacgTfl
BJtyk7Q11i8ZzswYiXmhdReL3nn7fN7Lvjkqdi3qssACgGeyoen4Hf+COes1NWz4BaU+u+l50hfx
Df0Td9x9Ps4H8Z5xlncKXQvtHdhGT2NTNA5SQw2WKCLAvUPKg5hFVuEPhxPC2X8YDvYi5eRF2mAN
wqMGo1OOt9MnJC/YSRXcLf3SDs1whmdW5Qj6fT0qsW///4CrYD8Ps817GfVuSaTFYshRRl8qXvtY
Cx6BuMfhMDcm5VvWDPMJEM8HoYGhgdLQRl0oOKuj6ohKzzIHXSUjwqDItyWG9jt8QuRD4w3erwxN
+xOb5oPDwogLkBolPWDyqxFRKR87E/PUJ9GI+EY1Ygec1ojjKs5Q4nep9B7WYTaOOp9/1I9Oy9/D
rtZY9rgJaqaSPXmReK3qyrkozS7Dvabqm9c6FBdAiW5wMpPn+LNWzfbz0T9cZsrRwCoQMiNROj4p
bTnpod7xhee+jp7AG140RTS9dqo5QVN3hq/n1zwXAO7wROOv9Q5GsjtT0iHLn2zZvbWiwo3KiLQn
pdesU1LTH0RdkH0U9BEbQ5pr/UjRpAxLT43RgM/V87Cpi3NDhKP0WyWS+6RLOsyI43BxRf46BnoJ
P38NvfqkXuNmCfrL+ZMmUigsTuM5W08xrceONPDEin60a7knQYMD4yDira5QMOj0/jMzfaoK2WPD
Mutdf643eY+JoOJ4m0zRsUzrG1ymzj7fOh8FPwpdtPHgQIAdXW2dUkZelysgvUG0ThejBfXLhQzw
05StPJEnfDgUOSCvwD+gr9VQIargUouV9AnYsTi4zdwe+gq2ZY6a+N1/mBVtVKYEBYob7PhAKNVk
ZRN2oE8Y8aKahh2hP2bSvE4cLpL/MBT+zYtGIkX8NWHBmdm42uKNIOYGe8Y+m8ydHZt4UcW5U40n
4sxH5wHBl/832mqjdFM2Iv+INKKOJR4ecTXQristHMwgyfEIaPBZCn0khJ19bbXliRToPZ6bIwE8
EBERlA3YL6tlnbFQV6Oe0QtJQogB+5Cj4qnrA1oKULIw+wxH/ZIynPW9wDkcUxCQ/ec5DuOneBsf
7SVEyQh5cIl5w6xyA72REzaQafFUDO2w6+PMuaAxL7a2hRO1//UvDIYdeRgYw5yUVSDAxBqGlabk
XClYPiSFTLWgTlqA1E1H6/nzwT5aY3A45qJFid4nDYzjrZtbba1MZZU+0TftJkC/WjZsJ3WW2z4X
0twbtiaHoMVydjrX8Ha79rBzqzegvppvn/+UD4IS70NiLwYYuCasAYKRl8ZjmyMsl1S5c1kmg+EF
jjL4VvgzLLLlmxf6qf39wU1G8xvDQnRjFizbaq3phNm4uALwakCdvllA87SdgzOv8zykokEUIHHL
7Ou3J10+EDIoVS8Z/ipl6PQK1dV5TJ5cWabn4TxWeFt7w3gGpVO9jnpV+bIUNwif5WlqMdyikLOK
hMg5qNiGgutUJsXxIei6B6w/81toom5gp9FwasAPUmkwM3xIUgRkM9bNKWPoKtXpGTDVUjuQnT5W
20wbNPXEUn60ZVCm5gHMo5sLbbV5Wy2yx0hzWcpeyb7paYvfeFGZQ3Qx0OKM9k3tUlsM0ZcYvzoy
J4bW1IJfo0wEquH42CQJaAldg9ZTDh4P6566eYx0k1HnQHmzCC0S7MNFYHml8+uLx2TZN1xrPNEQ
dsTQ5HhkhIdUpIY9+RRptMcDB0MuSWfajqFPJ/ZoBFo5d7up106FincxkIGXqhGgFCCKVFeOB05L
102qsRgQxO/EVVX155FEhxj7+WL4aklsSSoXRV6aHBrNxtWGxVcKd2svdp4ys50ecagc7xJsrAKv
n5yvRttlKFrCRBwADpyS41k1YrDGXkudJ0nrc9hWCniArRFb40VRYjz3+bd7F26WaVEFI2sGdwNu
6niwOjXIqFIzf3ZhhG+jNpp/m4M9PcatWv1Y9tmpfPbdAVkmp1NUo9oPvXEt4T7XRt6KLiufh9gq
tqZoRYxXl1dc5F49vyBANh6Q2fT+wzR5xwNLw0UJGtTq84VhZ5cjZPDnxhP2pixVRfWhn+Q+YgDF
Gb67nfafRrSwS+ErIXK6auHUnMSUZnj+XNTz4I/weq8KR0ZXMbaKu7pyhxPjvcuLWFfyZndRuVgk
dFcznAy7HpTRLZ5HKEHbSSbKtlOt8QfdFrnDLDZu/CIbUx4OXvhFCyMuDF7xsGrBIxPX3z05izKN
MWue0u+1JjDenIPulHnRmg9EikPORYmCaxEyIUnP8T5FwkORdmtor9rYTLtK1N0zpb4XfZpVSMlG
/FyPrbLL3Kz7Qd2hvUxl+w04VHf/+XH5Iwf0V0mG3wHc748W4QJwJN4e/46y6kCKqHPzYum5rdS+
oeRjf4Grs0RrXXqITPkVnIJki+6EClMiSyOj9Z2wTYebOTcxgo+kW8mfXYf+xaZA6fjBwavvzckA
dsFwwYgc+f2kAsgAttXrr8Vgt/+A1bUesUxWW18zi/7aqG2Z/DwxtSWuHE8NMzWQMRDollC3jjud
3Q11EmrJyzgAd74G6dC9YKWLMTVpL9j6yVGjbYZKtHWWGI1pbBt7VHNjWyZlPl9Maq1pt06ixLk/
x84Qb6YyjSbYnclc75WpysJrDUh1dUgjih5YZKKvc6gLvdC+ZRn/0rF7wzqBnFhFN+56gBMc+IVc
vqhVLkWLv1oLM4C+0HGa6RWocXWnSy+RvqdhrdDpXrSzy/4ESQzC6noRES0FOAHUjwIpyeM6niZD
qeSQ8V6sPKmtvdJOPMR8gPGNfT4XoxNtm970osABFqNdCQl1zEPfaNpaYaWVGHc7ZrETaeS+qHGs
aJvQm4rUB/7Vu0GT2HW8S5VYlHcFhpuZP1RzdGNJuB+XltsZGNZ33lDuY7fRysfWDMPoQqBoNDc3
89jVTXeFEW2xNw16LHdziqDkWVZJ7CixJVBqPIVNMfZ7ujHiXE3LosVkeNSS21mLhqvSFrrrO4pM
3+w2xmaxMsV8b5bo3mxapedM5k7e7NJpGvszfECzcF+lvd4GYx5V2MflTZruZO2N8nx0Z0EFbjCm
0L6u+iL/mVEW631HD0WzdQy8C18nc0JQvs1yJw3yIrMif0SH00x3dj6EyXd4IPmzN7FkFyWNcido
rCJPr+oGrW5JscCkNe93VmMpF0YTOi8O6VG8NRovv2nELDtkFTA+31vIp0Xb1pty8zDiNVtvOh3c
5HbuxVBv8bjNO7/LR+8OaVW99tXBar09SL0s9CcLenowRq2BdXFtTN0OTo9MDkKhToOawazctVxm
4VmF2kDhA78a43uvGWp3W2p27G5aCbr1slTVOkdu2y68fouKhpoEYHFH56I3K82heYCyXNA0YQo9
aBrdB4MyqX3hTLrX3PN6MuW1VVmlCQZgzs51iXbA9zrmzF6KUozXqiWk9HMrTjx0amcRHZpeHz0u
QNFYW9OotGKvSM9Jr9RMz+zrOuls0L1I689nbeKmnt+5MSj2Yi4h5ZujcpFIGnJBr6ZD+RKhiiaD
kWv+zbVbZwoau6pvCZ/LqqVmNGInrsfThYGeRH7tVMP8K5q7GJ3srnJq7IyRLEHwIVdF6Oh+3SeD
G3Bn2dM+wjymuJ4HVdFy38gIrvVGKZANuDJJTMJ7rG40eWiayNOuTFUo5SHECXusAkM2ZXEfFYUS
7UZ0D+NXrbeb8qZVnbyrNm2Xh/p2CPUa/SenSNT0IVRiGev+oLVOpQfFkBTWdxXooX1RVECsDk5T
RRVNI14PAUdPdveqq+hltNNnw6ijYEgUp/eHwjbD82GwR9xKRBJlAkZ3n7tp52MngsSjCPUs3uj2
FFJZx1jpqZ7iSP0RR0K9m2kORr4gLqSHhNCs7ZD81/8J8Qy7MDXUATYwxHE61XuhGvdzrEzDq2bU
BnCUXpXpjwGp8WtTMeLm0pLcTT4RCtFk141wdG3CwRuDyNI7sek9G3DOoFeFeodTcvqPBOpqXasq
76KJyp7tj0pazAH+sNZ+RuJZ81Xh2G/2XBqPDRIYGts7xqvbnma8jsPaGHJooE7b+hWKQlGgNxF2
qI3TVi0qVy5yEmZRjwCO5kRDMneWP12suIugzZTitgW46PqxXbnjWUmzZfL7NgoxA3bKqjhvsKRq
d2rcxYfZyA1tIzq8031v6qYOFTwlleqWpKoqNqjTuje9MiuN35p2qW3M0KrivWGmuom5soXv8U7A
Gc0OPcylFiwCJo7WM2Ikxc+wNznXuczbeIMgbW/ewMfr5Hku0KK9RI0+7Ytdqs6mfZ6IMH608nRq
N/lsWDFC/Tou5U4TWfdQz9Nho8yTgy0tmo99FfmNyzs60NHMvonMLOyecg/kUkCbSE9xCFSX2VV1
r2zo7ev1jiwAQaxaEqK+Vb3en6lDqfNoE3BJgmKMi/miHfJQ3kDBRiQhh6P7JGge/eZ6M6MfUTlN
u1FDSepn59iRHljtDNQLlf+83Vv1XN6qXuZZQWWL1Noaoynr3UTLqQ9quzHHnUJzEwR3hhOmP2Ug
H89yuiTxpgxN5xE/2GS6GLqFb+zmlikPsvMWG1S4yP4wd115KTIwX9vaTkb7UGoD+xnKtm779BEr
cWcmZVLvwTL19jZUSzDpbe0o2mXfo5CnbVrkobS3qUAS6lqFaIronzWmuX4ZLYVU0AAR6+lxZ8gg
5DVTP8p0qKtkD1UdV+hNXsdzEXyeDa3aGTT+Fj8k4CzUvKhGrYXuaZ6H0puy+TWNrLY/q6Iuv29Q
mJY3oRFyxl2uEXy0meK4q7rOqP2ilO4XpXGWX0GFj7yFagnyLGu2Hz4HGnbYtvYaGjnuyQT9J63z
shKKySkhynepEkPxdqcCDluTF7V5nCpBXkjjqKv1V6Ji+dROXXThxIl46ep56ve15mSnDE5WLxYm
Z1MjBRKMCCPv+HXZIEOWKiOxjd+83IwtX3Hq4VrrC+2yU5Aki2rcBJyqxj1h7LT6xOddVQ6Wvi7V
RYoVf96E1hpgV1oDnSGhpG9dV49NkE128lxQktrYY56fejMsS3eUWLsAhf/05AAKwbdelfRaEbkW
/an0NYo75S6FE9VdcXdU1UaDz+BurIhC7r60esu7KQoI4NtG7Zp+K6KZpCwzUpgFcMqaQwgo/94E
DdxT5u28/nc4xG5lbiDry+RhUGJV3cEzKdRD4on2V1Padk7cdIvqYgbk2J+R65XGCazru40DXR9Z
EZ5mHEYeu6u6U5+OdouMlPU6ky2L5TbXottMj8XFoPSCTdvISpyodb37fIy5ENgX5uQi8rZ6hQlZ
upNOwfd1ubWkDz9iSM6lQunEr7xInlLAtdZPIxaH0shS94cFy9ZZzTEakBqd40R9HVOc0HZ1rZXy
dlRavNEtHjLD1hLaDKuHr2dtSj13X0Bn9HpAcwa21KTkyZj7KYzO/HvcIHhn72GSzuJar0upnWGv
bXt3M37iNQ7pi7ty6deGEdf/JFMdWqTnPeyEEaVtnCd/1Nxk0TZEiqO49ty8KAId6GK21aWuPaPr
OGi+bTYN2MmaLhqPnDptz6sinuN7U9SWuI1KvZK4txujrDagvNUoUPAPV9wAicwwPRQmoFK/SkId
w2NIm8rW0TMr7YPO7jVnhxIwnufBaLYOejkECwrk26K3+sXOvOpKmmhhWvftnTlzhT16YVSUb04s
rPaLtSti1UIU5HmnQouhdrUKWSgQp8kghumZfkG0TeYSx6I4ca+d2XjD4lE50edaXwk27DceyHC5
KKTqtLSOI2Qn4lEb4k59VireCjt7yqLdpGT6rZpbebRX3bnf6G5upH4WG03kt3aVmSc2/vqw8RtQ
5SVEUwKh3bZWEh0iVYlyr9SfIzsyAsfNsvtyqGKfCr5JygGV7UQx8l3h5c+IHGzQE+gHUBk4nnVW
a9Jq0lZ/dkyyiqSDvJ/HItkNVRj6ymDPe/Q5tKBMugclUdILTZpR4Db5KTH9D2bOynPokayg0KSv
6mmFFRcc8Nx4DrskOagwr7ZmL6ZvAK/UC9nJ4ezzBGAtXkVfgsNJWQsoNsvNbXE8cTE5crAG23ye
Uq/95XS5fe3x7rEvoNM4qp/I1PU2XZfN+R77L4UnrlDEVup9PW/CAXzaDqxFeKKgsaqe/vuj0HGF
x0C91lwTCyLsdyRUN/MZGFAc6Ogrbd2qkao/9+XwUlRoEexmYYTq44nVWJb37ztsWQ06mNBtuDXf
S4e22QS+jcj4HMdu+ADGRBQbhCzrsybuDG8bV/E0b7IwjZ8zrxKPdE/TLcRbVfvibfPndzA+YCUq
09QEj7+K6SVVag2j9Szb3r1Nhe4EoRfbHUlg45B0ulUm95/PfbXmdMZIiiDnI8xG+RHWy/GQmRw6
Y9Zi/dH4ToBRfGy+kxvvROVotb3fDbKqVHUxfGlLifRHC3d7Qwsi5Ry5SfdUx+TEXNY2sbYzQgFD
XZC5RGfOnfp9OpyaySpMrmdirO5KFDmtWs9T/ZFPE19qna/g3/Mzuu9+6Heff5hl4f/ak+9GWm7t
v6p7zajHjioYSbvJznm3WFvrKj4HwPb5MKfWbBUBdSdNq2pgzcKrcpNu1O9w+0+gxE4NsYo1WLp3
oRIm+qMdNIG5Cf14q+w+n8Uf3Ndnq7U6OQmgTfD5TKN5ba6b/S5BbNyXP3C0tX8lip88eYdooxx4
XFv1iUtkXRV996WW3f/XlyoS1Bq7gfml0V6YZ20YTMWt2i6WshZyvD436LXlbiPjoBmKr1iND7pd
US/mdsdv3gxEOfue52xrfrHZ9u6XLV/mr1+mAqNK85E9FDtvxfCtLZ+l+P75yn94IGCdoYAIlJ4Q
fjyEHkt9IGqxfzL/vjjXXryXaBPtqhMX1od76K9hVqehmtLEizOGqX5nZ9XP6Uk5TPvPZ3JqiNVJ
UOy6M4qCLSS30XbZplhPbP63IVYnAdU8Kpn5MsR5fRmd64fmkJ06CcuCvzsJf63U6iSI2KwdgTwI
caP0/P6ymHxw6uKtFhi7Btkv9e1/m9Nq97eRpypdwe6vfs8XyoNxXu5Pffy1Jsi/+/ivOa32sZNp
ca3QhnsMX+pLfV+92LdD6o/nvdh1D/EPc/a7p/gEnO3UdlhdjF1WjSJOGHOaApQAmo1SB969/eN/
W73VzVjWUU5NjNUbtuPZv5vOOHw+xPIB3m8IsrylV0uVZbWvwSTORVtl+qMjzivlu2t+t4bZN4bn
/22Y1d7GGDlEIIZh6njrWfs0O6/rIDmpurre3ph30OKESGeDxkBEbxVvOkfIUeTq/Oy1blz6WjLK
b6GrU8WhKRObu6qsqOXwdkjOFOBN5SajuvU7yYRJ2gF45PVrs15QlSB8KA2QSqNqvIpL0zAKI+1C
7dnNcgDz6ljeCKVWNhZmZ7505vFEJrWs4t8fk/HgalIzAxhCvWWdIvM25edkXvwS4Z9u+mGa5PBg
Q2c6EdaXKHE8DnWPhfdGKkrFbN3gx1ibRqaph899q7sNavqeKtVzWSmzqwVOXbVfxDiT7jsMRWef
Kh3OjH8u2b+uqjyKnSQSef1iNIWFA7NeqoGrgP91rBnSZNrVp8os6wO+UA4QGILtgfYW1ryro9ch
LaTOiZG8trqSXMxxltzYsECuaAG5N+hyVZd5GXonMvx3329BVC9uadAjUdRZG/IURq6OCq0qap66
u21GnFeBUujB57vy3dcDR0BCz4rieg+lZXVIlNqlRV1o5atQ8PMLaFpW372FhLqflaE4ceO8n5IL
j2TB1kFKolq1GsytAW0AFSxea7uUlwKiy7cSt4wTC7dOh1ksqm9LYQL4NC+VVRRTw3loFepmPzSN
jnut2NZV7yTamTOZ3aZP7CkNzCjD5Dct6vvPV3ON2aQ6jSU7IgwUCHh98lDksPy1Ny01zxoljtwf
TcyV4FfZ6IpXZ1SleVVWsaQP4IrF56XBoKe8p36H8rdvowKu/JPl/GcnFvxPLebocKJsBqVwUe2H
oQlu5Pj3cBWGtLHN6KFT6BSlQZi1Trm3ZNdH34o5cpwL0ZWmtrEMV7RBRNvI81WTnfddoOlX/wPj
UU64PFJryDrfjku6JL6Xt3Z7XuitVW9KR+v6IpgiGv5nk9mm5heBoCwphX9ca/Tlb3A/V5umyT1A
IENm/pjQzbqmHEQLpqeM/CjcAqMo2kgVDKjPv+O7Aw82aoH5cvxUqJ9rULFg88auXbg/qPqkATiu
0Efd2TmnI28cwtlurkxM4Q+fD7p8i+NvxXmHVsZseWBTYDv+VvqIz1WWVuGPWu9neyvQ4c7hHbWG
dUan3nX2+YAw5iEperXc2co8Rnt6r+4p9833xwcuB3BC/A05jSiyHv+MfnmCmU6k/DAbp5zvBqXz
DB++tm0c4q7xUFARQ1NtK5Uu37Zqaiv89vk6vAtJLCUoawdbpj/Q0dU6qGltWomqVw9zhq4bvdR0
HHdWEyKEWko7OhWU3g3HWkPxZ3PB+0LjZ3VE3Eg4YJOc7CHHuxgMbluixK+kNSoHGet+IkK8W128
xCghkl39AWz+qbb9FSCGbBSRFUvlB+Dc6VsuDRnUuVHu6ywaEAa15WbK03FjlrB/P1/W97HJQ1do
QRou/0PqdXWQxlK1QmHm4sGIhXItCs+7NPvUu64maQVM2rwwskL/poVmfG1q8W9d64r957/h3bni
Nltk8VDch/qPhezx3vKsIjOVqCET56JJ/SIxsm2tD9mvYbDKc7OJnhNARdvPB10vOZ3QRQh9gdDT
oIEZdTyoZQ5LNiGtB1FX5W0byerbUAxm/41G6/x7QJXP3hTW3KTXYTyHpzRZ342+NBN59DI+y46J
wvHo9JGbrHeH8cGuHPcyzJNSvrW17uVBYqRC9YGcj8Weq2nYVxMthK9+daqD3OrknYjgLZfTasnD
PhrtxE6mh4GHkRbEqe6el5krs3OjB7LnV10+XZeger6nTWufl/2UvBlVOH7Ruxtm0eKTCnAY7tZC
b1+dasXSBm+SjfrQtB3WIiQItdgPepeLQ+fhj4URUlGfqBIvf+bfERUhLeDY4M8gYYPmW/OD5ViA
iQHY8IDJmrvpzN67mRvvp1tkyqaHxHsil1rv7kW3a+GNkgWjZUoAPf7UmYX0ftvW4gF9YWp+fTdc
zW0y7xTPi3S/YaPTESnaX59v7+UDHk8SasiifIiFyGKcuDrWUWYZtUMa9YAyuzQ202ilj5Y5Gafu
xI/G4fDQCmAwOk2rjVzIASHsxDOIk72SnM9I8DpBoQtxSqRoHZCNhbW+aAiToxEn15p6LXgyI8+l
9hBlI154WlhtB9qcfowe+1dDwzIUGT2tDQPLxbVcjyfT0gSSqj3QDq4ujRmhbzmYoZ9ZbFE1U9NN
h8jEW957p3AV77cmMOUFtY/5Bt9sXR3WIN/mrdTVB6Dmzq7MhYNKKBmH6+PnYt8bEtDp5/vkgxFp
sy5CQUu7nwz1eHcOWalmba9GD06ctbvQdrqdp5UeokgxGHCnmU+0Cd+dBhD7izQrXxG9YvLh4/Gi
Uu2LqZTzQ1rpObZClJTwyIoDlTNyiArV3taVfPp8ju/2KOKAKnKIaJg7oJLXbUEMxsrYFeX8kFWe
cpPlhrkz2qk6sWs+HAUxCUg7KAOSnx7PLIzAgEgIFg+eNnabCXFXAJrxePh8LsBy1yebIgEbFO7i
H+2sdcvR6ssZC2sz+REqQukuQjFB77KNqsneRrtJWtWPMxWtUN+AdeylPoIaaC/MoreKpX8OL+7X
FKbtdGYPmBigF53HcALR3qjbAC933XujDeJMme+NWJQ9oSWFe0OgxPYgPN9Ev1bhih5tew6MeQiL
m9aoZBqiR9h29l7UsaTIlS4KTsEwidjKNiE0uGkMRsepi4uoDkFZ4MlrUPXdtwjDAuNKEfi3qbS7
ACwP4OCauPXDykImK0C+oJ9BLuZm3VtnEsokkKap0hvN9mMgHJlDVVImlt8PhiguvRQ833VOY1wM
m6xIxybbWk3rZhf4PMbVU5LqVfW9bADvpAfg8GZaBoOthmBQJ7ySo9ivNWy7UeGQomgUH3GnHCgf
pls97xyls7GfGaymOVDV0NLHOdVRAPDjsObV6s9DHduSlxK1irNCtab5BuvjTuD4VrrZb9Ug5ah5
ZTa9chNak6TkCcEj3QlgxMnPMLHLcpuArdPOUtgeDn/SyDc8H7hBwh0Pbzv9XY1dpu6aOB+GwGrm
3n4wZk80vmFlerEbk2pWb90I+7xLPcqtBMyfUcss8nMjxu8OaA3kK98xMdq77rQwh3c5SpiwZ3mW
OMpZFBldf2eKPCqeMXyH/uWNXm7dZgJE27OqUmQZAy0ttGYOVCc1DcEmKSvcEXBf+4ceI1KRVaOP
yTbMjcHaWRF4uL3nlYq6mfR2bL/DwmjL/USqG+9ravLTIbZr9CLq0QjTTV/GUbtxXCUygyEc0IaW
kYE/HqA2bwhEYwBSNcO+FucQc2z3e+Yq0n2awskTc5D2CCBtRyWvoiARMrb2SaMWMeBO2+135GNz
FlhuCyUxn13R+xN/drLpNXWMssBLwHclvhlXgzP5uj24mWCzAzje9o3dQGWAF9JNt0qsKPM53aio
uxl6qSfPgLhNaz+ErtP9mPvcgFsf5ePgFzkiQa9RCiNhC3JMFiVJXbvA3Sm8tep9bDap7SNhHdvu
1nRQvCLpqkxjZ9sQ9K8UAK8WJQm7V12Md1t8qErfzCeQaD6OXjgyGYh+iHt+gjscRl6tOYIqPQ6V
ErGl4q7qlLn+p+GZnwFHrEzrdnK1xlKDBLSVBsp1cAAfsf2AKDazOVVBnTnWVAZqromWrj5ZcYHi
emkk4OZnoGbXtRk7ME7zJOzDl4afBIxRAYgeWpscjXbvbWjKcHw1+3FEWSZC0mHC/YZAcJVmYREd
Wg1JQzuoauwWxqCfStTiVMXRKrTxyyidLV84luRO1cpI0c76PhLlr9K0cEQ9y/SUldjoDW+hX7Mm
3WRbxk7kvX0eXd/dhghF/0uE4h1GjXSVzTCNFCh8rtxreVu6vqEWphHgMjNe2XlCqFHLOjlxIa7z
GlAKixoo/XMogmzaVaI2CWMaGqEUz2nsNB3q9rondlJJjPEnBBLrlLLT+uFhLhmhwWCAX4FN/nkO
/vXSxFKU6hhCYww3eF4gw1rE/2SjUboXmeiJNnqWOn3JJ5+7dh/r1qg9f77G7yb8x5QSlRwAQ4uG
1nKP/vULLEetMbNL88caePujFxvxLzjr7TfdbKA9fHksWFeUMnnjqEA0Vney0UL4mDonfZR56pxV
NYZrG6rRXe/HRYPF2uejvVtb0E+8oil2YwVBhW21e3RzUkC4y+xRGypQ5R6UyDt4fN0tsPliD3FD
fybBzTBqcPLq8fOx/7zT/074FzoD5ktoxixcHgCVx8uamBYlGfLDxykewvvaTilc7LyuQePWLxW4
JLs8QgIggGuk/6zEFI0FfJoaC9RAn81R+9Y7oTKeKLr+aScc/yokPMHLLgy4hdO8WpIW9TvQyUJ9
SBbfj2QfW6UKZaN0yUluiVbjmO+6ieICpZx0dqgi/h9lZ7IcN5Kt6Ve5VnvUxTy03boLADEzOItD
bmASRWGGY3JMz9a7frH+oKruTobKxM5NmilJBgIOh/vx//xDlrTuS4zRmAiabig6EXQRmTAMZ1O5
8R4osLLjEKo6q4tRj2rxV99HTsNg+cjX8Al3kLN+HEdim+bVm1R/mTpN2DuiHnN9P9YeNRC1UfLZ
WeMX/IWqVKdmpB7GHgIAZJ1Uf3od0oaZmM6W+lJmi2lcA7rrUxi5Rldv06kptdIfY5aHna4rfab5
DktQfBvX1mhsW8tBpfP7efTLHCYVgDIZ37c1CY+v9PHrTI2qxz3BXS9dFzkbrcgnRC5i2FmZ1oU6
aR/baLGaYFLy6pPO1C/rAu2iVbq4OiWuhNILgJ6Hr6S1WyYvHMioNA0CVaNTHXkmCgmojuVfRAGw
YKOA5j88aFwMLo/lZT92S0nR++IsTn5AtpYe7M5T7mEIZwdb6sVfJLFwvTUxjOWeZQjA42Jgsf9p
iRKcOijqIoISag/lE75zURv2jdBbv1usFsFkGZmfuHL8Oq4cfsD1ADEZV17Fj090pHm7LvXTi5VC
0Ds2madU5yStlix0qgyF3O8n0L+Z0OuWthpPazhsww78eL2Ktlg5DmP7omDApD6mGW2XsGvcSpzU
OTazI9gA7rBisigwyrLvpzCBrZ0Grkjzz+CJyw2dQx8WlByYgF7Ajy99/sq8dJN8GJMXDoZaOFt2
dOiM69Yxghg0a//7W/91pDlXYCcOZmySlHYZhjxFOuy/bvZecBRuvoh61G6z2pYFNdUS3//+Wr8Q
lrgxglehXQOfMZCXdxbZVe/ZslVeyr6KOVE5FkqjNMCQw6P/KeqinO8EVX1JUq9UFVRy0iue6oYm
3lVtKHHc0/bRXdHTAzaEqW1rDiDqFRlFSXEsIanNLxICtfUlmdzx4fdf/mKgEGmpa7t77T2x8oH+
fpwii5HFE+W0uB9lZhxQTRf73lOpwoml/GRPvrjUajTBJMT+AL8A0oIvK4A+RtjnVKr2TIfISY5M
vebV5bSZnDQkfUr4l26Mq0EERSmCG9PPJsn6bf60mBtlq3Z2UtrPWH1Zz+gK4arZirVpEPd88p6t
Y/RhZ/15KRrd5Fpil3vZYJ+tGWlfZGM3BZt4PebFYYpl0r4smoXE+s70M2bNgV0928SL+Rft7H/e
KVJL2rUrvompxsc7lRZUpDxt3GcCuKFKLNKrciqMPuGIH6veZ86Zv7zHCK9ZQGkSQHEFbbwYWGko
xFrpqvLmWpK0wWExgkzG8ZEh6DZNXmWfkHcur8esIRSJBjidfVDiS1ZanqIsxk5e/zbo9q3rDvGx
Jen4cRTlM0etz4TRv1yNnsfaCkAWTcw42QsfB7Puxj6nWTG9Ob1KQ39pVeSIjvDSne7Uab2ZMUT4
DGq8hKvgwGBqSHOfLjAL9qU7SDH07SjzRX3zvKi6xSqrOsmMJITfvxD/5s6AvbF2Yk0kI+2yz4Dq
La1MV6hvioyGJzQ8+Nh7XRGK2cwKX1c+i6q8fN1Jq2FpWe1VaSasDiEfR1Ii257qOsrfUJSrfuMl
xWYgsNIfsmb5pF759dZo3/DQeN3BpakWP14KhIuxbYv+rZrsdqfiY7HjzHOuqU/P81QNf/Eow4kN
B2na3ZwxVIOWwsfLUSNnzYz50bdpHHNCg91+G5txEdjCrv7iPoaPFc+bkVxbBxQtF9ORMDczZ3Cn
t86RArl8uRxSRY+vEtSqT39xfvCg8AxDMcIezY5wUf1GNZpfY7Hk29x7BQZL3dGNieVBftMn+za2
P9k11yLrz4smZlW8XvCEALrZpy8nPak7EB+8dHqLndp5IX2ZMAxtUkf0xdKZqo0EE8NPAD7TX8zu
xCYLjQj+//wt5SZMuo+PzxxrdV7cqnzzBBuqT5EY+QuH7GAaEOd+Mld+mZpcib4Fxs34U6+T8+PF
WhsXhbm1ZtYT29vH+FT/cKRcnt0isr7IWHy2fv3CYLbWuEVrlRutKV+/3B3YWVJoUaR8wxTRnbBA
KKrlgGsghhmBW7RR1QXOMue1vlnarhgPNWnJdVA1qUgOM+bdg+oPKZPRr6Xbl2E/pFnV+0gZqqw/
ZewLuq+pqapIv6qMqNR8SWK4A1enSD0FAVgr6cyYTVIPj39tfq4kkzUGi/oBbMY0LrY5tdPKcrar
+MccafM9pg7FvvDmZjPpdv5qaWRW/P56l+sXklwQEep1GpSIay9PCaqslUhvWuOPSKAig3Ay+dgN
5Dss8pzPzuaXOwDpMMAEOG+T3gD54DI2SaS8AyYn7W+IuQf7vVYxpJZ+PMdSKUIZg1Fs44XA162e
WeyGwZDCrJz8tGGrxtqpH6aqCEolzYws7CCKmVeLZ7bSZ/l1i8+m9C/4BsFEq8QEHAFbGRggFys7
O2cyFFFdvEmCa8Z3vUHvh9nwkI/IpQGJFUygOjV/H2IF6T8mr318FyMUBdHMqZDjXcV2X35Wl1ws
KKt0dQU21gFEusra/PFNsyJTiaJa6++Fokyhbgzedi764jCJSgZ5lzpAaIm3+f0kuTxi/bwqimBC
aDhlYGt2cdUybrPILqz+nuyfautmY7IvSDc5Ch1spbXG4UQBMWxNVu3AxpTyBjXaZ2z3izVm/Q6w
oCg84SPyhlxqhCUuJSIyvea+HvM6C3o30kg9lbO7c0gxuO7jNCk+qeX/zWADGmL8BxNpbdFeiNwg
B4/1JLTmPpezcVuRgr5Thnwihcvr8XNgyVkiU9/9frD/7UWhWtLSgykBSvPxCSu4YNR9Obb3ZZZX
BzTExU7VmvSspBXxxGsjQRHZ+MkTvlgGfg7umtHIpELFCOfq40Uby60Bd/ruXuQVpnS01gP0k0to
NqXyyWZ/+WL981o2aCVtKYSbl3VMkSkt7RO9vU+EYlcHCT6h+lUhzOi0YBEUbyuzpHPIa5Bp962W
mXOYRHqb+SZOH72vIWhuPsHgLlamf54P1x2aNRBMzLsYcxUdqT6qlbhPizQ+K542bKRIPquAL05Q
P6+yBmIwAmv98bPR+qfDWq+lrAhNXd1PYk7OUnRvS6lMD70aJ2HsYRaKXUq/q5Os2UOY/OP30+ry
Ca9HYLBiE4k90lya7x+fcKbETjbEZnqvLF52x9apBJ5YhqOVUnL9/lL/ZjRX7uC6O69EL/OiGqDd
NBWKVYp7ZZAGraSpv9ELL//6+6v8m9FcOSDgEfBbLUz6Pt4QLkSR2qVKfZ9r6PKKRG2DLIrs0MAW
cDNIs9kPs0lTulk134jTPwsPv1yP8OQiYoBZzCRmm7jcqYsmHw00qf09ojeMvaOanrRqpGoRzoZe
/1FZcfTZBrq+hX+qJplAKxmUczgeDdAaLjmRcDjqPGl0eT+MinJKxniKN+OidN8h+RC3BJNYu66i
Xr7hpDEeSrpab9JLyjct7aZvBbeR/rN6+M+36X/E7+L2n9fu/vu/+PebqGeccpL+4p//fVO/Vw99
+/7en7/W/7X+6f/91Y9/+N/n9K0VnfjRX/7Whz/i8/91/fBr//XDPzYVBtrznXxv5/v3Thb9zwvw
Tdff/P/94X+8//yUx7l+/8ff3pDW9+unxamo/vavHx2+/+NvP5el//zz5//rh9dfS/7u8X/9zzZP
5/df/uT9a9f/42+m+XeXszzBmADbFMWrLnZ8X3+iW39n/2MThUthwAxf2yaVaPuEP9L/TodqrZGw
1lvraV7RTsj1R4bF51kEJ+N1sG5GHDP/z1f78JD+30P7D0xgbkVa9d0//nYxcwFvoAIi1OdaVJk0
xT6+OY4nO+KXDTNgH32VyXg1FN6pbPBMmcZPXlJMAD7O2Z8XY9f+eT5gIH7JBZSd3kMLw64AmHZ5
KLOaGG8yI9LEp03cVL5eT7p2Tiwv+0HGQeXuysQYh43WSXePrlwpaZ1RxfpYTEX1neI20jrkcZx1
tzrbVrWvUgILttaSV8qh6Up7OmFN3jd72xmds5EWjbjJWd6vrC7t4+sqgQMQjl47NafEmuNmu5h6
kYRD6cZkV/SL1W01IktaX8vaZZM3+lKF6HfWP7IgGvi4GRn5rpd9fwt5xNG2g5FXxlHWJSmgRdWU
5d6Eu1UE0KdvKG35pJ7DObV1XdavXu7CXBf5YgCQdk5j4jOFZsvPZGfcZiJ2M9rio0WCYbt4td/w
AcGoF0O8ZbFWtRBAXR1okKiJch6nST1wABQSU5GRll+wqGbe7CobH7GroU4xIgsLyYHbzxY76g+6
V2VRUMKz9Xy8BSWppZ3mtbtkoePtayOJgkEX8xChRWae41udjJ/GWS7VYRGD+Zwp2J6Z1LvfsAzc
aJpyB0XGDmk316R09jP1Z61sRs5gvt7he1WsQUVwUPikPKrCWuGKAwTydJQbU6m0oNC6PpTJFPt2
b117tXMf20kdalH/5ClYkfWTjfI20V8S6TwimLiv9fRszqu2WM+/kxhMsK7Mh8OiZ2GaL9mWGX9o
Ztc6AElHfhrjpdct2PvlXNrP0uaY2vLozbi6DZO+pcjOfc3od6JsykCx0iBzlJthGqECLCRGj+ae
rjx+cvl4NzXZaVHLNEwyZduVAqLLVIUynaIQ8pkbNjznsexiX+3etVHPNiMuIf4UgY8upX7WJ+ve
rPTcn/X4a9Lpx9mJQW6KOsw7ewiJwi53WtVtzca6XW2dsknWYaYp14Mmt7BH7mctvs7x6dsXmn5c
5tiPXMnFnA67law922a2N9QkC6dq3jnjvF/m6kZb0dla2FfkS9xaevIOjBzESdui+BgeDBy7rGq+
Jj4l8UsZfYGKc1LNaI+t37KRnHkYuwi3rwziUqFiauGk4aLD01LtZf1ORIUgIg50KBpY43xB3XVT
5Krnxw54Q9UvbaC5iu2beckZgdcjLKrk2WxjFMWevBlcKCBOr8DoUdXQS2DVK953TfEEqX7TtZPi
wZNY3Xs3YQurRoPjj3PygAYibIuFnqA2+RjOn2utfLRzLDesxjuN+nJVLemt0OMZ1b4TDIt6PUVV
7JezNXKh3IQgAgMrqsW0jQxR+hhcPOm1V4Spi6WLt3Q7t5C+ZfcvfNEr3eVWvB7MUslxAUrE7ZIm
P5ZYPsiRwHrNG3ZtY5+qQr7YxrTvDQhQZgWbK7W6bwkGZkGCw9wWSqwZzCJSQtgXlJc6joHc9FIv
U1BCvNsgFM7OfQ2QPtvZLV5E5o7Av1u2dp04iea7HHPFJ/WBsMhm2UtFQBVJnHci0balcMUJ75N7
DoVTkEz2uCFjewGcEOhn29YNRLVcmdCaaCcLOHRG/mOYjYpP8r4hbQiGXuFeo3M+zdYh8oZoQyxU
gLDtXaQe6cI6juCeArfKlBtswBTs49LJb3HbKFK0RZ2j34CO83/69NQlar1LMXgzCNgOZsdNeCmG
7ZItgZuUx2Q2DnGUn9QMclLu9Rt1iO46chD8BQ0dE6y8y6KsxbHPGoPBKvogN6wnXMdyfkZESj+a
boD72xzCB3yIhHOrW7l7i12hs+nrSt9kwnk0tdbbJ66xxTDtqcO2PejjZk+Xf+OOzUr2M32jtXFC
zc0UlqG23Ods0z4djDNnTG+X5nXsQ1YodmNf/ZiL6knYzvdqnDnQq0m4qAlOLwk0UiNKlJBV420p
tLCu4OOZYMFBlct+Ezf6Fmb2dKV2jRWYCBwO1aBgtYlYpafGQuTU5OoTRMhkLx25jeJ6Yxq008ws
uiuc+Nou27fGYqKLocD8J7E2nttsym51hXMjNVDn9LFUvVDvRse3xz7hGN52rLvxNa3PzTy3zsYu
k2nDJlFdM+nFRlPHVjtPxeIFGtI0smhK3E5lEsPsymD01dAPh4GmCqoqx1OmTRtFlp95w0k0xbGp
jS5oPeeHMeId4Gt5zr4Y60iDXK13GZbm4FYK3d5KPWF+KvzUjPK9FFOy16v0Li7aV8SFZ1Fqj6jW
mdbC2bV4pI/BsmBpR0bDe5eVynVFsQ2xsTgDB52rBGNIAV4bFNa8dbvmm1cnj/oozPe5LNTQspsb
x5bzXd7MxW4y0i2b3zfIY699zRLtlc18yBR1H+nFFFpRvU9kpUM9xfWzHcWhQj5J+nP0bZ7i/dhY
PwbBw9WH2t1nZlLfDmU2njS7NvCmdwF5tNXMMmLHlJwKyGUqDAaKh1Sp05fKgSwhB6TE3Tj5hV3f
69ZshGaqnRdR/CgrzBM8Wdf4lRjXac5LVZqdDEiJheu6lD2UNItttpU30uvg6ceExIZ4NT0j3TCD
ugbiaMHJ/daTTxEdlAAmauFXiaX4VRnNR6etIS967UGlcCUdNT1lzA2/ilX4uU72WvWVPNSqRa+4
9jaqWPALLe8U1qkI1SnKKq8966Wlh0aam1eqkS+BPsnUH2BJhSXbC3rTIx3zO6Lszq5TPdDfNDYa
XlnrBojlVqKb94s3wxMs1SKIF7V4cO3l1Zqk7s+DuYtEUfIsVWTOsdKEWMvJuwarspOpK+e6q72Q
7v1rzBvhp5oqr2zQQZZ1m5CbsVS+jwZI3DSJa21K760U9mLkUPJ4rqI9AWtuq9FKd2YtlADD51cM
wuotrClnS5iVwPyQx94os3FjtP2uw33XrwB3NoMaHfLe2MACOZi6vIGp83U0pzMz3LyCMDGEdlRs
JfRUXDC8a1liTGDMrgjynl2izDVKZge6Yo6DhLmctNyDdFkN34VabECtT0Vqtb7B0dfOjZul9W6y
Pn2sBzPU1OLcJirOkwCMudf4EDwLPxa2GqaLul9S6xZc/65f0OTo5su0EJ/nUGJQyLEMuo3rT4X6
tcdvHxsy64m7FXggTt+GUf+iOn3rp854Klvt0WMilrraHk1pD0DjoxLKNk4xtiuZil47BCijX/Eb
JoJrifRrwZeZDlnL0dI367mQO7ed6uQO99mS7cVVHJiU9li9p6MOjSVJcLDFr68o72NVz6czC/Oo
BWlulUnYLpZ1qlM49jtFi7ADEyDrzh5xklp9zUGZn8dMkkflz8gRB3jKnnHupKlSEgLUBFnb8SGm
U1XdjYqJkvcJ9H0BtK09bFy1OTTDPVodHS8AXnzXGD5wg0CUK96POzKR5Uy6q2pIojiY03kCUrCi
7pNG+k9TpD8d47kw4nMYG+gK6b7SMfl4/qrbfpAQCAj10FaDcr1WzNQfs76piYZwc8NHA43Pcjbj
fhRkdslzrygeVcbZ60K6PfkDQB7+AfhvveSQQLajqVWoJ8o+Dpe8d7EFnRVAtRyO6ylR2a5LI3cy
rH8qA3eX1lIfZSviGlujYfprtCNujpMt7gJIPOAI/NJabioncYrBkUFftsVTZ8EBGdRiD8+fXXiN
F3mxm9z9LOfjElRcHyagyE8uF6gpXdKPY5orS2/E6qiSVjIUKcLF2vhiNJpJXtW0RhC1+jBnvrBS
3qQS/9Y6nGZXsdb1pQiY83R1fg9PrfDTx4dMeNZ6YAe3ppV+2RIbAPQGRW/VQDKbT6UD33XKO+WM
F3V6q9S1cm6EQxiwMiJv+P2lfznf/wQd1u6FASkE3ODjWBBp5UrPqPugcMb42xC7NcsFqY1xYOgZ
T70lI8oNf3/NC3iRknI1JtDx4oPMCGHi4pqjPrWOE5lxKIvlWDp7bMCBUF8+ucjlKwsavnY/yBwA
REWde/HmwEHEZtHBZFh78LZFuBxuSjvcdf63P4ZjtSUe29fu2DQI4FT1IHD3LPrb338FZDUXwKOO
kHK1DUBGSRsZCuHFlyAjMCWoXkRBnzQnLxePSUT5VedyCA1HRA9TMrYhAOhxSvKbGm/9umfpLd20
289FjZFJl677Ml4gTc8yJxyvO05O8sNWsOKOZZEHJYR1FnaDxJp2SUKto0dstMlzXzs5y7xZ70yc
RB0s55bO3naABtYsHkRhHZ3Uvq3xPrZXV2hFXPetvu+LuiP/pT2IxhCrMQW5r3js9AOm8+CaaHQo
Ea9IDKNZiscwFft4K43ohWB1fFHKByC9twWZgTu4pAiI6Lqwx+fWmo5WwShb8/AcyfFV76ZXdaif
sYlALFGdFFbXMOuzjVNzvpy05jCUWEJPivcYj3pYxjyjSN3mqb0T5nSgxXGD37Nz6lz3LdOV7YJL
eTDGoFILsn9/KLIHLSnRBNhb5Ni7znGPpeFiEDsiGlD/GKPmIentr2kTXY15vJ9H4z4V8M0HbA4s
u3stNYpDo31mVB7FgA077PgtmtUdmQrHUrFeqNDO2E9dJ+WMdoRfVmIMsWr5POB/nGekAXBAgwKh
7KxEecvZX8FTSzbJ4V2Y4pF12iPOe9mN6XiMMI0MeDtDBR09LGIkFHW/WZIugCB3nxj6i5UnwSjL
p8UTR1mahW+j8/NJzdg60MST2vazKD+IVg+H2nut0MHGC8tI1lzrc/Y8xulaG+9hGm5RR3wtR29A
liTujXR8KACim9LY0Ev+Q7Gdvdt51K882KFYbrqueExi7ViaTUHbuwsWc0A7Yrhibb5WnGWy6tVO
FTzKMyAImzItcNTkgYLyy9h3TQgi1wSFyiyixaPdSQV4YexveqN6jOU8bpsGtWQatcVbJQxn26ra
VZRBMdKrk11K9PpkSZXoHMJISa/MxTlO3jL4UckzRh65bFZK2ZK4O6WdhV/l9EOK5Wq2UiOQRnen
SKO/rtDcADBk14bbnTgQ36zh36E9l+5WScxjZtcnjqdHb+E9k7OTbWtPZL42LM5OtiRk4OuX7pMy
n29yUV8NWb6LIrmAVGRD76sj4qQBQx7ZUfQZy3wwW0wIQMcOZiOVO1CaH1kxYLrfK8990f8hzN4J
FmVGoQS59CB52zapSF97r3+0y6gMptmewo6xUJ1lx3rQB/OMWg4r9aAqxZVS2UEf5TeMa1gJnNox
mPYCe0EUrc+owBox2eiLqPtUfYZiNLcbs0jPThftC7HoT/NE436e5aOHvokfR6jIB/Hs1myGDTDb
VYt5Nqmuks2u7ouw6EfX8LVenrqp+RHp1pHMxQb0RSSbhtgCHzOus5egJOjkM566KAraIO6SBdce
Iwsc7G7ANjv8byPzxWzV5qg0yR6qyQgmYREw4p3xH95AvnmEL7IpoMpCLVsUIopV3x6sG9Uerq0p
fu1y3Zdas2v1aa+V1q6OqKQx8/BxgX9exHydSu0m8qwtbjdXrUiJMe1xglc2uiJRblmB0uD9i7tP
Nec3ck6/lZWG86W6TwvzdiLsr3UxaZ9jy9eKYqt6Yte42qtcvmqJ9iyXOjt6WW+2O7MslOS5a9Vh
148O6TAGx4OxJZ6gIkRZjC22ULUe8+XSZiMdb6eV9rutjF7Bgb9Wt4U2O36apcshQr/bbWw4FV+d
Clv5qI3HAIf36qFwUuteEhkHJMyge6yNsV6fNGWo7po+rfFZT6fd7CEZa7r8yeRsyOSf8yePTEO/
7qYpqHQ9e9S8vLkFRP7eK9qBLi0aYQ/blFH5QR6PBSg4TBbazLQfD0seRZux7W8xP3IDbTLUH9MC
SHJMegnSGRUAcZOrnkXOSQGHJlAGYj2seLXMT5blXKfqF0sftHtVzboIkwTnCylGcpN1Ju22YtRv
0fYUHoLJeDy57ZpRZzj9NwwcmmOW1fNZiVQkX0WcRwEuxHoYu0jYwFN2TdEdbC89VYNqBkof9b5w
ISYtEaerebTP6TA0GwyDr9zRve1H3QxW/VsIr74LktV/I5bZsYo106cWwF55pLRN8vap74yXBoGH
37ck3VpOpwcwk5Sj4TbX3TTezUN/ZZKTLX3H6cWbPvffDWj5Oy2ytWBoFNDgkmgPBY+uqH/11EGg
Ia0K5VuRmC56zR4QdIBD5c+ieVXHuj7CIcJ2PnE5nt+X2pICdZRFegNWZb5rdB22ndY1ySZrTI2c
A7uygBbp4BHPY/aZEXbLjOcznL/iSU+jm5ZDg3JgaU0G0BhPK8OucEn8GlC5pUEcmdMfaWK+yVi1
yr3njNp175VyO2ErFjpKGW1jBcAizIYu6bapOnXI1vM6OYOf2Agy0bvhHnU312O7hZ/BuYtUFdFt
eJfTjUD0mvgFSfA389KRHdcUzXUptTgKG1fpQvwaVEBz4X7rZOls8qGo76e6jA5xml1ZEcWMoU7X
bjKkymGwDMQr1N3e/UB98dgrcXts9WKRkHjS8g42BRM508IJ3Cp0oe9cMRnxzGqnrdklt/MwOTtX
EU8DyPbkYkHpLnoU6mqVbjJQSqR89c5NlDwQqTI+J1Z7r3lSBMnIApgOo33XNGURdIPjvSh9gmW9
kUbmjwqk9XEpW3PeQAEMzCm7KfUo8DJnY9aNitMN6dOicZ8aUWu+wnQMnLaqg6adsr2nVw4QbC+K
B0qRwkeo7h6S0SruvbJKvqiznOdHT5jx4EPePSA6m85j2piENSRNwEE02uqlGW88kK5dlXk5Xkft
GLh6NN1m2mjt8sUb96Yn835vYZuw4/jQIMfMBhZ0zSRtwOB93g9e3WyiHox0ioeryp3GF/pidjgt
8oFe4oKPEuGQQo0wt4xyz31k3b9pnbE5IiRfxbIUeEGbNyP6J9sliVaA9xnqKbfqrwzN65R415nU
t/S+Di22Vdky7bS4c8LGGbNtg7JXBVhvnT0ODO77YCXVVRQv28ypEKyqljodWtlGu5h5ue6ew4Ly
XR+K06SziFYKwuCFjtiJHlHjJ13E48oGJLbjsBzgUd5Fud0x8gW+q45V3wpn3hFJ3t1VkCPQlWCe
NXgbkRb1gd6I6o9mIXBKWM68IXPgabLdKM3Y+12bf2X3L/dSJao0adxtKvKvfczDgfVphY0+3nak
1CeutrYGHD8e5XtsW/e2rnQcXdqjXmVXo75qnk15m7veGyqWJcS7yp/BZsLB6mNseVqsh2MNGWwW
tgbQL7lSHLLj8axWLQbzo3fMFMBkJenPjevexrkSpEuX73EAQdE0TLvJTIfNFNPSo6nBbpi2+5ho
Dl+Ry/LF1aIvZmzrAW076bfV+FhEVbMxLMG+WxWVRv+BGgKvFZKZMHH4Y6QIy/21ojTGbNkLO6ZB
mKXauKkbkyCY1LPSW4lolsaOUVANEBeTW+5tW0TG2SGLHXYTujDgyv4YdQQPVaXjrx4xm76hfiUg
iLhZsOCK1C5lamBYtpZzYBQq3zObOegqZz+SJhUUEpp32ybJEPs0kr4jySl2CnDFTV8Zd0VhTtd5
5RoP6kg2bjO5t3VXlFsLp/s/7LE7D1OJWtpLdqOhLHdNRaUaW/kXvAWeeiudyXvNJJipeeNEkD4q
rcHQxJiPcQv+G4/tH67dd5tS7T1Cll2nuxFyHn5UeVOHrCyvWTY4x8yFL92pw0uVRxwWljy9KmPe
o0ht5r0FHrBtWrIzo46SdYQgHHZ6miEFF+62NOTil0N8O0dELwGIXQtVFN+7upzuyMx2Qs2pN8ZP
tCESB7Rru5w1jyqbNnTZb6tMeVoImRZDy3DX29iTgR2jkE6rzg2yUavv024Jqr7YdOrUl34UJf1u
Qnf+rYfDAIpJXqAgcQ/0ZrYPSTFkaWix66VBYZvxg4GfzgPEl/HJhhRS72JweHk72ELkft1XSjgR
urRZKsp5OYMV2iabuRqy0NMwZbPUR4LhxmwjB29HfV3vFyO9o4/pJ6K7sYkum9psk0O7kSa9amCd
nSoMIg0dWipt5/1oc7eWfl/1z+aoDME4OQEwnnpqp0jZzlpaB5molUDOcbHtMihtuqgxNFj0DZHp
5S4mzHxv0y9iafk6aBgR5ap+FrqJk704giy90cowNyyImzR2TIyI2a9HwEkfcgzUOLTlfjK1t2gs
TrJjBogheygqXFVoe5auvviegM7eWlWg1/TTnLi9bnq9vZ1M7wS9Pr83iw6hQEXtEDnFYWjG28KO
O389ejW0Ihpf5gTflLX6nM49qyQuydOgrimyZB21uv61KfQvlhJZ93TeKaiwVHp1NIxjnLRF21jl
MU+5RMaiW7Q0yU1UEtenQWEe0nR5VGZP3HkxXihE+rmb0XKF389VtOX1ORB3JoJUj+stISSZb0dJ
QzN2UkNwRo1EL05tWZK8qIJy0RsqWkVWdkWsW7mRFjX2KM9sfNhGWM3/5u5MlttIsyz9KrTe1MrD
fB42ZRbuGDmCBElR2riBJOTzPHtbP02vatG7foN8sf6cEqMFKlORFYB1lrUsLS1EQj8cP/7h3nPP
PQeCQYpxmay3ykKmKG5bgXzr0T7sCkx7YXwtZexhjdC6NXodM4dCIxbKGs/B4Oei0tJrLPDkZWzW
0TwWO2dI640/WheaniXrgNjG9i0SIhw3x/M4D4Y51LMQqhknhV7W1l4JhA2qV7uGHkRHQ/ZRqfQL
HLDKTZSBDbTGY80VTEqhrEtK0uu4Us6llPKSpHgmm7d8LAY5t2tqN3eqGW4i6kxXrZeYgMgd4h1d
c9kKjbbE+IuyPDCq7DTWaFwUXQne7efng84FqQ75yK08VE5VpjFOkPKwQqhqS3VDsNUaHJ4gZOHm
eu0txFC4DUpt3Qht8gTZ36PDI2vxElH4vKk7K30qmXkX2LXYbuuihFvhVddxXJn3rRZSJY9GbwYv
I5jnsShxN4wZ33D12FdNv8KpSD/HJZicqsJpsqRtxfFTdyVnwbM6pv1r1qnIJqSadd5H47OI9d85
coSQ3sLPRaECAxn550QpN6OYp/Pa04W1kXTxHKpyNUui/B7Wzd4NsCEeOWPnaaLstADpydysJaen
Rk7DpjE3QxgNfVU4Yx6c+1Uh23LvbVAKCx3EKRwN7cYFYqHXBqJpzoQ8yGq7NXssmPCZmrUYt/Zt
s6oa6j2+pl8oeM05mltEy4LjGOD5JmzdjAg7t24Aar/QnoA7qWo+DI30lXpjA681W4uyuvGlVl3R
7IVFl6YvyX+FedCUBdUwPXV6+laWXRdvBrwCZx7SGisr8bmnAgqhilg85xWoOUYQAgIrwnWlqhuQ
6sJJ8+imKjDwCWnBtjVBe6aZmbcwVBzN9NFzaJm7o2XcxLieC0dqxIs0aZdR7De2TwR47ndS+hrH
qbys+SetHj41dDMSOhiXqGiYV3HebyMfrL2gfdluqvxaRiXDqceAflM5fygK8WGwjI2X9Da6KQoP
MjVea0Lp0CF9L2nBTZOzoQUxvqXs/UWriYUsLbzIlX5wOgVDtrIJLtD66RVbj+KSDTM5kvXSjZZH
rx7mfrNAE2Z+pOSsHkLEpBAhHwUKIHNr9fZQTmmOqQnO0LUq8Tm+tCM3ylDCZlb5mR27w2U15A9+
EW9HA55EEQr39MR/ylR/xSxifaPxH0O86fP0ieB3bRVkuOQewIllH80G+BysEaufFUhHOcBo1Dhq
AUWcfNt25UM8APMIVXGLCjBhal5ehIV3pYjdqgnbckUvTIa+VrNxXekCXcgr06ru0jDO7bLSHlU4
Rk4pQMsNxeQTMoIgrfFNOPoPhkr5Kg8goGfDunfjnWr2D2EoLnULUlagJE96GYeP2BfpdteKC5+J
uaRaUAHpJZmtc2vbXh1e9k0KqQOYkW9cDdeipr4UPVxzOrQXSp1ugsbgfdsnjQC1CiNSjCQUbS/C
Vw6vRUeQVTA0EKUeNWmrvdFx+R6aCi6NhyCO2u/aMlsNQkvkgdrJooutlr8Czma5uG1z/7HwESjB
xu5CzWLEaXw3nntuMY+qzAUhM2+juN0arFxLotbcGciOmm29Qhv0Ru+JKAXc6WytF8gDqSkQf1HP
J7Ff4A+zITGkV3dqYzQFczOoSQHERMMFFdN5UuvRkxWiC1cocTbrOILw1rFssxSUuaInxXwQTJZT
Gu5ir7qEvNcuSXMXuQwfIknxlk37dlPo6J/GFc4BXnvXmdpTYcHli3HRZXfN6tSajXqyiHvwvSzg
H4YWEB3SZITO9AxlcUTwqJblF60vX2IfQW4yrJFTsRccdfSAZGJFduWZn2r1ecdRTPNDT19aKW4Q
YAVVdzWSNte9GbT4chCRkVeiK68AnlLKBuEYsTfv0Jt56PoOonXcfE5wbKVOpixF3T2H0xfaIlov
diYR0LsN0it0cl/7Y2tBztN3ZiPRQl7xtombu3Oz6W6n/iS7xkTa1uKiduArnEdW94iu+H1WkbRa
RXJJu08wC8ToXh1UlwWRruJEL2foV2kO1Vdg0e7KE4vrvDOvc1e5EDNBmflxEEPKa19qBG4RhsKl
KhWXeDdyXuI7K2dFu+7UEU/GihjKpwbcurTfxlmVzsZMfKxVbnXfhCsfykGNKlYBVC7Hs7YLDFsw
UR30cjIKaIYKWTCKTCA0olWtegGuCSyQW3nM+nlMBelKVNLtUHSICKmeufIkEgKFTn6mStbmrtk/
CkLqhFG/s4IRhljl9jdiAXqmZgmnmrLxLB//d2wQ7yqV686O5EA4H3r3tS1hQKCukzz3iSRcGXUe
O41ozaXOvZiaX0BB0+FOckewbKu5yEpLh7GU5U5fidaFn8XKMs0RuO/K4KYKRTAynLmw3uKwGYzm
vnLBE1DvEyAT5tIC4TKHIm9+47JkbTXQ9dlQTaozvgm/r/KF/BG6bHWvu1m1GWLR3XSClM3zMm36
S1eHRyFJUaMQbDUdrT4Ir114CISaHJ/LGlSU5LxdBFbAAUQslxXPmt6ojkLR71LxLWtRZopqU3cd
k5nRluUlOmV3QS+OTpGouzg0h1U7mu6KuI9cX3xKe/elEjJ9XWjaA0ZkgQ0tq7AlM36NEi/AtBLU
KdK7z2ME/WP09U3Ui8NMkptHuA2fAktv7ZAoAlLTtG/yPJhTN3tNvFyaS01xg1hLgJgatSElV72l
JPTGrK76yUtH/hJ7ksCW5ePrdb3q/P6uRBxojaSFPNcVeW9FUui0skSa7ccXQjtyiJtwrxAQBViT
ik+FHxH5Gdlc9MwLuPDjeS54DyqJ/AISIs3TYzqnXFjbKspediP34bJ447kAjlUuLGQXtYSSUmk6
xt1ixLfVUVsIMrElrROfbyoyOCFRmZs3wDpw9gjqSjQHZ42owiI0tOfGd69VtUOWKwyMGcQpDfGx
Or/CyatjYgbELzSfOZPOc8R5rgWwsJnilcDcCv1dGG6mkewYWskFoQiGk6ZeBWUjL26KLn3Qs8nT
rYtjIZzxbHGEm2lRAbp6ReboekCRR6olOVlqbZCk87KCrEzTylRN0snN8R6m6ee8okPD8aQC6tcE
Y/tSRdoa4d8k59fpiMe05urZnG44mHwxxY9aVzZFTtmKU2fdpsYiR9nmWmndcWGlZoFvRqAl6NMQ
CNG4a7cS+a1BVjhrhGEuJ905NchPraA/J3nDcjWywskz60EusDA3ra0AhB57D4AQN2j6xNcDbNtZ
M1gF7f0BOsSWuuqhv0HMEohlfRUVB+TN/NKWR2LBUHJBoATZxiwRGdUcSCP5rLnWEjwczEmLr1JN
NRDyMjTbEOp1MkJVQ3sB1ne3LDPrvlRIVqJR/ix07SOW2VetTmahkyuBWgwN/jTMF/66g/fJ9dun
thvJ5cDf+8QUF9JoPRhKte1Yt0beDDPwdyBca96n7E6fmNKrviR+K1LrStW52xkpIqzk2qqJR7Kb
PcJYmddtuh5C96ppxZdeke/KXkK1wpXBGSoovvhvOrHSXqeQjCxjnHX4rTc5WmZaFt3FSVXixA7V
kif+Cn32Wgz9ahm77W3UdbKDaCBkz6SPect4TjfjyhtNdBRhqNERXALStjsFT2fbb6WZ0uOeXChU
3XrQp7zdKP6XRJkMDRoB4W+EMmmW5Mk+UXS+d6t9N5D1kjj5QuKo5YsX1lxdlowFSOCvMkN9wo/u
DpVwKm+eMuOOvvBAUCu5OierXGFN8UUax3lWYXY7NuBINZVX864pQt826voqoke2MvybHniAVbMm
b1lqefDFGKucdvohXce9sao1Capmv/YldZ0Yvr+kB2c79pCfKjm7QGg3XRRwsEghR7gZQbiPXe9r
riVfcZfduJp6Q1D+KQriCwmjRrBs5dETYwimhouYiacSuo8CzBUjkrpLpM2g8mpEfKrcPYSojhCE
1bbsSwsyjgsrielaA+oUjSzTF2Gnm0wM0K8TieONrAbNlVQPYGxJ234u6Kq9IWMp7jR0IrecUZSo
oy6InEGVzqO8pDxfS6xBJU9maiiA9fdmOUsFo4nnsVDrX6tY9h4sr/QW0ViA0sl17aSNmHRrjHWd
UcuUuTykD3IwjhBnJbhy1HxxAZ83nWjkMyUJ21lKg9MMP+p02eq5OJtS+MD0Xcd1jRfX64ptloKS
2o2vu+hSah2ok2Q083bU5jQP8HHDXHF0f1zXZduxJDUjSB0oMr1jeKAycZe32C+LX0BLS3ajvzK5
W29GQ+GIyEVpSWD3UsWGdWMq+dOoUtJBn/K69iuM0IW6gp9mhguxxmXIV8W7wJO1mTLolyNcA6gQ
iEVA9lFRMVTyMt8GhR5CMk/YeWqHeC1kaCUXXuU8MGep7lKtr+Cq9VqeXfs5mpqCaS0hSi/Ffmzn
BoJP8Gq1l5KM6Zp2tXvD9W9dg0iuHF9AMrW5lBXCfEQZkE/sgf5NOZBieK8NxPaZgEzXevDlGz30
HjFaWMdWvq1y7bzL6Y7VsumYFJNdikpjwzk90mBMEZUSS+mhRJ2U+ROpOMbNPWqlLrjsUgkb4TlE
twngXi4WeaGYIJYIR8Gl05PKhkgN2IeYHEqJvL1XpxddRHOsKCBDOviXdD8Utgcpmp7NgpK+Hq38
mhaTjGzQwbLwSRCEh1HPb8TB6Jwercg0aXqqj7rmaFkvMVHG3BipwKrYHtq0vpYzTSbFGK1bIoQZ
pZXGDnxlm8QIVrZ9O/OE9JOXVi9FlBCvZdQGjctkxHjFQ91RoqM0VutNkzXy3MBSelHFzTweudFB
3unFDvXSNjVqnQSiF2FOm4fiDQi24Vk7F9XyHFHQuT+mC6l2EdaQqfnmozUuqqJZD6aSzPnOz8MB
udIyAyEPXQTe2/BcUJVPdKPps0qwsMStvM2oNO2VMISfy6B+mCQw13VlugASoef4jYaRFc3G2F8v
rNjPHOzAe6dJI3aJqC5KhCPnGnAJRT+V69SFcNC0xYUoNU8wzVlmDJPZLh9vZkpx6XRqMtqpGxoX
YS0s8ibF/2Lw3C0CVs3UaPMEm6ZxCLo3IT6ZXaS70HrU/lVshE9D1fDEjQaHlDqLPbiKQXIY+Etm
g5ZU0wyfelXc+6VSb9U2paUhrTiQI3mkJg89ZOgJ7lPmV0SLFk0zdMYSwXKwst4EvqfcyXQDoPBf
adw01K+dEqaV4/uDNR1xD13pX2rjFIFUBN6Z+VglU797Sb4aWRFl9IJbsQDCoOg0NDPwznWc+TJs
r+Icawa0bfEAnfVick/aexslejILrFheVgMFOyPVUGKHXIS3BBYgMdl95bt4Zra5CI9OwNNoCR1T
RruQz+Rd8N2P1iLIMTG5cqFvpp+lmAogcp7SgBcGZg0Aq+gIaxexPwFdYhM1MwWyO41BUVLKNIGK
WnQ16Blvko49XTPoruJ4jmFmcN/LYJPzPqIL5ZxCv4UWnJbWDhJilsJ2USiPR3RC+TOCoGFnyAZ6
ynUm5fpc0kmY5jShh6yDQW/mo4kCxU2Lqf2+bYhohCLn0C5qBr0MNGOo5oZGSEezTcRWrCyCCzKo
MNxjlx6mj2nP/qbtAlrRjJ7dptkn8SRbilaKthokdSw/4X3uxNQCH8FFmXevqaf/994amZUhGoCe
6eK000ISlFWfoPGHvYL4qjaKTAEnJB7PKiq/bpslyWXvm215Tk0IhpHkDdZnZEh5rl5vRwaF5v5c
SHU4vHRy25ovPbyTRxQXEYpV2QM8FuoOq9EjNL1rOwn7aXlMoitFao0B6dw4W/Z0WQxXImpc6swk
SE+XeucpxRwyMG0gELFga5hkSZEjId4qbjWprZeyazTlom18M1xxZ2I9n+Mf7C6iUh+MzeQ9Y10g
5mM2n4n1AjQToXZmjhsnoml3ltkJT2EV5KLd65QV2ai1LoIz+OBvQjVmSAmOlINnAeT6uQplLIKs
kbvEZPi9LL0hhs3vVp10rxquFczp7ZDGZRunAnaIbdUEV7luCP7aaroK2hAdgMkrcIzfL31gGQhG
od4Q2PpdkysAsVHauudU1SNskmO0T280eqeSbSXoOiEVpeL+NksoSp9XKoT7WVzQ+HvuqRhAXnUG
LXLAItQ6aPCFdh2ViiCiaSn22hz/4fYFACvtCLTMXLzyW4NYXhSjEMhajGTxTtIH7an2ym6YKxhv
S5D/qP3eyqUQp/Dowm5henpJLdSvJJgUhSTPmok2ei42lV9ChYkRGwaMRKPcNtVWNmjxIMOQbyTI
7O2dHo86/o243rgLKsVsxiY3M+PSIIlbjxBxS4eplMn6+3xoZwLkN5PyFi34N0FKxH4ZyYbOWCUu
0ZmYjvJaEzCIuB71mOuDAx1etCVlbbfC3xrmqNhW4KqCDxHADjKXgwMGob9VoxEERoz0/CEtPV+j
WhaP2VUh5uZFCLXnVRjyhhtT87IVNYXuErL+VYiLtWlz/0E4aYW2vk1yhAOR6UtzSonagLqxkKkE
CRFcNlA+AS6/V410YQBbn7d50tIc53rhIqnSmAroVLE0+4DrMAZ0tntcYsIZ1IiUMAhL96BlLUrJ
M2QR6TkIuVJspX1jYhJRCTNVqTX1MddasVyQn1n5Fbq0iICKQxuXsPSZnU3CUTYhkPlXJa3GdJkG
ULydTuxhqYVweRUMYnX5k6DRxGAHo0F7h9/1cHS8ymzCNYRS0vZQTmJIfWGNunhuBjQ1NLrQ32m6
fx8FPbzcXqa1rLNlt5Pz81RPuq8e7xtdp4AlIG0ocUvzUs1al2SYShWNmep9BcpRQNKKtHou54Mw
0hcRlOAVmuq/GH2BO0+KH6XdpJK5S6I43/StVW00VQDQ8eWQghzwFfBS7w0PRtizla0qquWbPuRx
HGpc8VoLO1OfhaFav2QyZmd22TexfNXC8lupcUKPzoj0B01wWlKfEzBEFGMqkcNz0rs+b/wy6gjU
FLhbhMxC5UCRp/SqBjLzC3cEuroEpYoWhzfCO1Yhl+mQSFAUqtSl7FFOfPbB7XGmKbrimrZmjkiq
Kg91XdHwosiVPq/QpC9WwYA0r2Mh+QPN1qyFe41+IW8WKoqycpXEv6zBezeZSPcTkveJ4UjwD4pF
bSTSvTxYTcvDigEdKkK8rtxu2DZ+Jm0AMsDK8wKg0ilFlCTNOMi9dYZSewOzsqhV8CkQtqXeoJdP
P6jX3sDJyp7g2XKEgCdVKNyPKpGlIo5+PRs7j/OR7MnNHTR/lD2NJ4o/U8pAdeogktpZ6A6CBTAB
kxvB+fAStCctFzmKbZdlMJq1bVlDtk4kvX3SWxMGO9IB3ENlD66cZRkXbmbyPfWZ3n0p9SxMHF1N
zIwcRNM6W62k6sofdPEZihMxfy5kIBeq791AreGfqZwSNLr0YgYP04ot3y6QTfqaQDlGvZyucsft
EFS2zTAwEQwfgTPnHC99uQhSOsfsgdbK0I4bq8ViISUOORfNRIA9wm7AgKQSdvEYtp+rsIfFa3b9
hi5n05wR38ePVAvjYd5JFURPUYApSonXU6+jRucMR0BddWd5lZlfxSqvr1uLbjFC3xw6FLLlC9yp
6pR+isT83GZ9fg/7qbkKsJJ6LgsWgkNzAmspkWMaVwOv0rdVqsP1hPtHB586mDt3DNQnyHW8NpWJ
IDYmWZY/EznYKbog1n9n4eEDD6Ey4nvXry7VOq7qORk4cXpV9/dpPfhPVlWAcYlGokIyifw43VWi
nN72gig+a0gYXsZtkzwHulQA1ml0bAuRRBJVjzmYT9wkdxROINqJQq7MIDWJmR3laruumlL/GqBo
fTUMIlEJUjHyAuwtfoSVishkpPke38wIKycRW1GZdVKvbZu4qISVSpXlGuylncsd3sMzUfG7O7Lc
+xoDAw4rtYPDXGtDeD8gobVv2njXYBsy18HfxvnY3hHwexuZ2+jWpGQYXYRGCS+8Dyw6uH2LZtxS
L52CoijkEmQgFaPwN4WfNZdKllmzKDZCAw6VUF+PuEDCNPcl/yXwLBfKiFplD6ivkFaO0HocqnwR
TcCtyb0ijeUtDAnzlY/t3aqKC7eo9jLhUssr8QEhteAlg2wi0FGHguiipSJMhc/QauxJ2Z3rwAQx
JxoQgoXvgejCJBRZ2iGGdLkj4zIkzOJy0BMILGN5HZJQlPMRCnS/jAE12FBv/RKj2bTNUlEIzVUp
kTayPrIuifZY91I/pDrc0ASXNjOm2jBUeO2cC3WqfaU2L9xIXhyC54u0MX/7d21gUbelF6SYQaQY
LyB2WV+aoJZexJFutBmgXH7n+41V0huvlEAn0I3WkSByZgR9wgkT4xVD9yIE0aXiKjBtKgMufxUW
XD4ZNzR0I42XidN+ir00g4op0+ErixT2u4ruX3RYBShXCG7ZntsTcPuYUjE6CAGE90zSYKGEYfRc
wqeZaVKoXYiFzqnbqiiS2T5w2HlaCCZRK2Stl35olWpRN1qcOgntAnsSC/cqo/l4ZgT9sBCxK5mF
qDc4hA1UAY0RoNHuRaS7bFRwmMqcmLkAHU3DZWLJbWVjL62nc1oy4+cuJWdHJMenpWhwK2MhZYNQ
zy2g7q9wlGXdVjxJf+zYyBxlUlx0dOsaau6QKPj9tkJxjeqdgrYRCA/tIUhttvJr/TZZdT362MPk
sDDZwBo8RFIRzzbiugdydenHSjEA4O4kftZLM6U/MWZGaglIi/803Sto4sJMxJjISdE93pRiMISh
DSWaBgSeDamBKMloKUtCL7UedBNxMDrN1a2cUTPtm1579HV0aiYLh0S0Q3K5J1XqU3oaVRPSkl77
t37Vj9eQq+TbbtS9cibW6URWp3E0uNWhyLo2wrSFOrcEjxCpHHz/1mgsSTlX6mRcNAXQRky56NG3
DDoKgvKhzCAol2YRvUpj4XEbQ6AG19WvQP6J2AMRuioNY6XMv9bp0i3oqY8XKboKIGRiy3JJh5j9
M7rkdnaWUQy0sSBt7qRkKM/zUg2uKXC+SIh+NI7oYVc591oENx4zORr0Of0afKGI+HCPRGUtqyvR
8oVy/u3274IGmjXdmGytAG77LFeHfjM2vp87pluywlsQlvZC9VilWILgKDc33lrerOmquUoroVIW
CSultFEdAFx+GwD8mx2R0ZgL2yDMqn6jFx4hl4I0MNz0RuOS6uSMn6h9z8aPIot1Se+8JDoYn/pC
7UDJEp+jaa1AsKe7URPFYVHr+LJc6ag0R1f1YPaYp0iqdqE1KCbTJdMyQZFbMAgdn1xQXT300Uop
MVKeIx6iwcgYGzJjue7aaJX7Pa//dgpQinH1cxM1AY8EKSqQCyjViFbPtwOMDgNj0MCgsLlw3LqD
LNf4KirqGv7MvBnsWLgwWcZbYssZjR2bjsJN45hpk6niCvomVHqoCgKK+NBkfOK0UYvIJRDxJYSK
gbgG1aHxF0zfMd8CworDR3xI6jHKLwAHlGQDNc1Cjq2BjOjQGitHCw9dHGtl+frkRKNPVMiOjboc
3ZTDaxjZF5Cc4+hRSIKickB8deq4EHtY1VA091bJfWr30DgQB2lr3XCamkAKU3B3FJ3UJ69ysJLj
mxzEPE4v86GXwlUT8952iUy8PxOErPzEGtKBM5H99uZ93DdgUm4JAQWdO2jnsmp527pC0BhOcu2d
5wGemrakVyIt1siC1+tCloeYQhGUaHscwUqWvhTQhm7DCZTrB40MxJwTFtE/2BQ6JCn0Blg5odHG
j9++wxL4vVrElRc1qzaNRM0ueHXmkK9aL9QmW2UJBkQ5WFSqaiMHWtxwqpg1Gge+KMJfaXp6gmLf
1cxFiB/wrBNpXb8lX3CNpd4HIn0JXZK8KDrQJmf+MCRYKwwArVpXi/deWqrFtoeY456T2bP81LKn
+gIfKnqsFIslH4C8pLPEiNw1d1cn30CxcGPyRB9xDmDFuKIuGNHCbzV9aq2qXlK+EOWbT1HhzkNT
gD4V0FkzEXkR+L4TctZe56WPXiD3XCHxddup9HgopD1AEbY1JN6dhyNSQZNZDVGp/iqX1mc6BzkR
NY3LelGL/ae3jr3vGlEH8kcv/0ij6j5L+N9H2akDqap/KE518KrlPpsEoKqPQ01P8+O7f3+6SZfq
zxSsfnjp/KO+1Tetre8CV29yTvfZX3vRu1zU9EQ/D/TPaWJJsvxDs+QfI73pcf1qhHiHbFfzimyW
ov+GVBMlSrTRv/35b2dxlnrff411ym80VeK3R3sp4ls/TM3Pz/yzAthfe82vnnz/9oVMemAW3eEH
cmBvb/af+Oia9JuIDDDVKRwKpj/0tv740cXfoDUgJ2eCGUx/EP/6rzUDsnrsFCjWb5qocPgrxrfP
SOfsD1OA/+RvIjoaNPuDHk5/vr3hf6FVoNALfNQq0OXfNAOjR51eiLc/7KiDKWCDiKY09c3/8ft/
dhn8E/P0x3nikLG+vp0kwb76QVDvT1/wfo78PMD3fTRtFpQ9/9Cne3vhPWJ734b+tqOmv//7y4/a
e297/YdfTpKDP/z14LXfTt8ffvt+UPz4Xt9n4+fn/Luf4P2Hq2Bf7soXf5i/7fzvn+mb5t/vsbcv
AwTwvr3z9EFZoP/3MX5SE/xjpfxy1NTL4oNBWWPHDmpnddXt0oNhJ9OLo8fdp8GhTCKyB0cP2lBd
eg3eB5rmVTnBsI6/e/1xzElO8dhHvdvnzXMcvJxlX89qf3+GdpaXvQ/7tiA40o59k9k+yV5K7syX
sz9/vxOsQIeApiQRf3/yt89xgsWCbkpWZtWPw2qoQx47PQ4DlLv47PevZfCyS/+Yo/eRp8fXiB+O
fp9dvj973Jev+/ex3kbm2j525FkYPKPrebDidS6CY8ede0Nevw8zPexkpnX0oEWzqzPOvfhs2QTp
/uBMmbQxjn4DSvzl4bDGCbYqMmpBlh8e18YJduc92365A5g9mAgTDZZjJ2K5ez7chOYJvr6l/+Ea
mHznj37SnxYCFZXjh3X+9r/r/dnrv63bLCgPdh1Qz/HDX+zT4eBLQ432+FEvg+ePUQHEiBOMu6/Q
rT24XJD+PcG4wfOHWZiUs49dEVe71523q1525ftY0/kjTSZ3xw89ZHV9uBwmzZ3jx413XfA+ztvj
aieY36td/GHQE+ziKy7Sl5fDxTD56h0/Bw2nb9AcXNLSpOF8mpF36eExKZ3imrvKxun8LZrDNaGf
YBlfB4T47x/+bUmc4sp4G/XDRBja+9tMudBfSx2+3ceCHVTVrnkf7u2prRMs5Lu//UcDEnkQFoJf
vL/PX3/sOzKT14ODGMD1+GG3++HF38fx/mAxy+IJnng7qbB/DzjfH3SaZ1k8wR7c7tO9t4sPxp0M
WI7dgVtS2XJ3drnP0oONIksnODy3WcI5d/glThJ3Rz9087o7WHHyKW7+++wwS5OVE1zQ27/9z+wM
VPlv/3HGej7blH/7X+lLkB/O9aTteOyc3LMNqw9zrZxgw9zv0vHjAS1PCNexD/zg/bTB1RMsaNSq
oyDdnS121cFNiNvz8c8MxBN8iOll7QSTPAeHqakdvT/h27Fxigv2y085iDxZBR373X0Jkufdc3e4
ivUTTMS3M3T70/42TnBq2EF5dk8wd3CI4tx5/HT8/jzsD747Q54UWyf1VryGJRmk9k83zN9DIv+o
bfyMTx7WNf7zv/++BN4WGvqf0v+HSKxDTnsYQZzi2FriYZPGHF3vy2aawskK6tg9dbXvYSC9jzON
Kk22L8cOu90FaX22ma75/dsVdDXFxFQT3od+WwLiCd7pIQ3q/evZtt7VH6KrqSZ07Of4A9ADhgTR
ex/w7ekN0fzVVV39UI75Fcju7Mrg+Xl/GFqAWVCJMX91M30b/1+3gSE4oXT8Xpz4sbzxi/LIT6WU
H5//eyXmxx/Np1LHexno4L3ef/P+w19Nsb3zSxbkj9+edILM1xny8jA9PUXeu9yNO5ZzGeQHzyv+
aq39k0ttXX5YZacIi9dVudsf3G44xb0/+l/PxHjW4n2Ut2Np8lk9djufZ+WHGF6ST3AGoeO2C+r3
x3t72lNc8Jf75116eGRKp7hMbugiPHjYU8RQt5A3DuGJiUVw7Be23TWvwdnv5e5j/CueIK7eYhp3
eKRPJJJjH/n7hTQ989k8CSiWfbiX5BPcS58wbDuzd2n0/rxvN9IpSkuf98n+YHXIk4/rsZNynZ2x
6P6tOvsYw2inONeWVKnTs23z/BpUHJwvB1tRlZFOOP4TkOk+n62r6fm5eb/Nx9tOF7kG8Xp8/9lf
P/F+f27OrprqYEVK30Y/wbL873fz7fzucT77H2fT4tmXTNjH9Q9fXlTJTSTZlHX65HAB+rOP9fcu
6/83CQR23kCJ79f/X40/fhGr/KuoHKU3ra4PBIkTrC87i4P2w4F3gsvPLnd0RLyvk2lLnALBmr7P
g0T/FPUlJ4uzj9VR7QQzO39pdq/Zwe13iiRqUe7TF38qbX+ok54Cl1js4mg6zP7emWb86bZn28D8
/FXMvaTT+cManniDx14kW4pCKaSQ95HejmCAhKMH3uzKndfshveRvg18gihjsy+bw0FPEBfROfTx
YeVT7JBHAP+RRH334xPDN3//6z+63f5114BEn+jxaeh/wWsgJvg/PK1PcFj/nnJOlQff7glqUL83
U9h1MKp0giDX3sde0CTva2/akadIAhEqZWLfUKnVvhz3XtZ+uG0nivexBxUPv/uADpyC0mFj6AZg
dDDXygked7ZPk115kE6cIu5fl0zDIWp5ilr4vKqzD5vD+BVW9k/iI864f/EP5/YUtXCaij9OwuRB
dewKW+zKbP/3ru9TXIcLoKKX/ftDTlvPPMGOXgbP0CM/AAXWCb65Jb7rabU/uL2tE2RNy31J3no4
7CnmATj/cHZPQV5wyox63sHRQA3o/Tv8R1f3n4dyqyblzDmYBOkU7IL1y0+Hg3QKdsG63sWHTyud
YBbO9+WHBYaozvGTew5ycbUbDjEX6RQ30OWu/pDuIbdz/ANfBrXffAxNpFMw2Ldx1u6iDwtYPcEc
Xwac6/U+Bfb4UAU4RXn+sun3CaTp0nuf3LfcQT3BEX+FOQNzcjCudoJj7SpLdx+qftoJtgj8wvrw
YU9R9r/e085Q/gy8nSILvs7K7kPOd4qrmc7PD1GPdAqEcJOVdfOBjyWdogp8B2XqQzxFj9f7svvr
N8e0o/cfB5ZOsIC3b6cmUMBB6Vo+RdaxzT+UCjGBO8FMtDsSuvL1faS3ZEY+xRR3/4e7q1tO2wij
r6LLZKaeIAkQ3HQGYydOMI5riDvTuwVU2IARA5Iz5Ko3fYg+Qt+hd3mTPknPSqxH32qDMPpip5nM
dGI3s9rfb7+fc86GE3p5eBxB0uCTjD9np452mcEcf5iraixxLj2O+2NXeenJ5XQS0bCRA/V+q2hP
2HddGRPvwmNBfEdLXFDhdE03NEdUMwjXZvWMg8SCWkiouGZ9o5jYYCmpwjAD1toX43BiRnouwE0M
l1UPb8Pek9lut8FiKMdMlTvMX/5U5t8WmoFfDBYxnvTGE5Moffn18s89X2oNb2Rj/x1SYVH1CoSz
BXQHTatFY6BcSv7Nd0GmTdl7ebOnSMNGvL4b8oGZhc4SQe9Y2Q/dTuoj4kFq/bO+ZB/Zrgm+tfCG
HtfiOV5Xp0DhLMNaafjZae5YQFQpCrBS22nysQD4Bjir4tTugPXFPmeFx0p9fq9OAg10mn4Lb8N7
rXoDEgR4PbxZhE88biGvAciYmraz2aw3GnWIwda9Zitwg1pjn2+DQvdBPHHsGWFsxGYLj1J4rTYu
ds91W01/L2Dj0A+dIsAA9bgI9gtqvouKNUSjMD7UK/DKlXmwElBztzfhFLSRQz/XB89tFcWAX5Nj
izJ5ow1tnUaz5gaBj8coXY6PCaiAhyPdkrIPge8H6g+EOdpBO3Chf6b/tzYXR4zqAXDofCWyatWB
PfQxiz5c3xpYDnsdnGwyn++W8pTJO+SSyk3V/+ISmoIeCzwLda/8PRvgwNPagV8/EvIjbXjfeTm0
4TWgQ8ZRqd5doJymCzEJNzPdVho7MUxEHxVqFD1Is/vM4YHTgFePzEVjSBnjAbUlhfv7DH2FvsIo
mtA140gSDtbSuQQ8jdjNohOVO5IHTi5wIRRVwJHBu4BUhtNT/xl0bvLbAUq9+keLwT2wy29Rc12G
xv3oAjttuBCPnwy0TJfO5eDPvRMrahpSba0Q3ke8PX4Wetv1FK9zGycDdJXq05B5l3hniyo1QLqt
etuZF2hpm2Fj9ID0hphwYUoYzvWloOImCDerzwWicREVjggHgAr5aCgNGXuZg+KGjPRE3lMArttk
uOvQsNiaZ5pD0+QqXFHCrRswLJ1CN6HaZktJuC2W9ucFV8XlKOxeAwcI6WSkF+BnZjYovf73esIH
GuYBEoViBbNBWnYZdsdwJqRZAfA8hnM9FB9lcabB+9NDON5AD4UE+V23k/lYHD0GM1a5haaZ8zgs
0ofPo9AyHRylt1sZxgAakvngMHXvAZWK7p23MZTFVs4rBw/B4L2hZHcy859zobPHsAC7D/YSiLjP
QEZ95ei/SttHgzpHzW6wAu9hsbXZGwTqHL5PX04mSECfi02cn7SMlfZ1zyqLVstTuLtZG8zkHAmA
JWbt4a8ZCSD/UaTxkAco5Jse79Clt4rAAq3l4t8//trMxVY4b9ZbMErRgwuIMN0JvWrEHiLd1fQ5
AKBDCWG0k0vFEMiPUGmi+jWGmAuKEnMx19t98+pMCrxCFGNUv0BoT9B8fAAt1oDho2fRfBJhAodi
jjBS3pGoBKKuyBkxLF5PJBLyy/lpc2sgcEBaW//ueOt8LU4W8mQMdNrJZpPo9pSV3n2DARyKourU
0jKDDboUq3hmuDXZ1JReXM+YWEoJvlUzS/n+q+WH1Gj+V+cqrKpOcA0X8jM5sBwkM7wZHQvnxiha
cLjl5wtnIBb3JmkiKFRZHm9C30ASMLyDd57fycUyy+MbRpJgovLc+XZxuvWPxx/tK0xwyj3QTaWn
ei+3/EAH9xoMDGrs3HJQpG137tmzjJIQyOD/kJlca+2vUb51nm8lbGWipzWEtrHntKBJZ4gNLduP
uSDyQWSBtLYz0rR0TcrShepBvrPfzMZ31smIGDWG7BbK0hI8opQLcSrWIyjg5I0QgznuLKeJXFBr
zBFhq97i+qDWuNSZKPf7lYQq5CJgNknTHMTwrtgCZWcLiTji1a6xOzj0Is+iO8hDUcwCR3So27UL
JHOk56CXY8rwcAAw4VxMoGKTUIAEh6LhBQQkZP7suRzR1jvsY2P9XA7PsC/WSjjMlLnkkNBGKjje
KHVAEtbjWQ49Occ7WtcgicSRcmhJmOlxSBBkgkc9iRcdU2t6Fd5LakE4cjnZVy6TMU2Vexx4uCHQ
tHIiJmn3h9EI4BE95WkykIOSMEQyMJufLvZltLEZQ4+DJpdN1K0Ehwk6VAqMpyTxM6tQyCVziAzj
4aVYbmbOrVxPpdXIQ1tBz+fxW/jDYO8XGC7sU1ADDIVrPEBXveddxE4oH+mG0i3FkdsZCOoVeQFD
tgWVgdg5B6sVkN+EHmMOQmC2O+HCxLMvfy/Cu21+VvD4tv7x+H2SDqAv8AWKDYc6IEeRKhtAdgs4
LzKu4Evda7W0PoBDpaFx3m3WPvzTRJo2BNfTBgG2sXPHN14Kgqw6rj2B0HMppCi6uYn45GCVAEjw
O95ItpRFmkC1Q4+v3WwCI95qAbVamhW1rfDT7G4blPQH3AUZMhcyRuIuImErhwE9BfHXjIY57LJS
oIms/gEHEqYbKafqRS9EPng5fWlzrzicnRRwoxSkcAMobRrbdzhoit0o0oeRXMIcXMXX8iOJtzhQ
Fq9BxVJ6b1qONKXHyPG6CP/aq+x5YHZ3Jw+kXpkswMs4sse79lMElFps5UU/8BgUuo8KobUYIjTE
16TiXsTAH5G3D0G72+3QdAz98Rl83IX+HdlZ4DpoN+Z456uHMuAInqNuKc3nc6itd2dr4CiQmrLc
UC6HCshV+MnpioWFc8VBRLuSxrMYHDS0W7FExSchc80RAlwJADRIqxxnVk3wbyGqU1QTBZww/anj
t921jMcI3ayXCxgYDB8QK+SK1RCKr225PEXuhflYCMNxxCW1QfHZDn7jqAxm0dBFuEDO8Sens0HO
YQOWSZZIUScWWV8AOLrJckb8FBBjqi/KMJpDRYPsVI/DlRgCkkl7ywGnHSbgQRudZdiZv2J5ZZZY
eo0HtylCHDyd6tNccDI9DshIV2EbVVJSH1rdUXVlNBBDBwGYOA0QU2sAqXAoE+w40oNULt3pg0C/
dt4ngGrBX7S6cYGCx9QgC9pC+ANuWvmzes8Y+FhIZ1UDn/xolG3+JvgNPN2NtCE5bhyo3JtkY0CU
PY6qwvDLP3jtZBvmNysohfrHr91g+Zl84nSPhR34tPvCNnbudI+NLfjjjdJGTvzORlmy2DsLMl4g
MPn5PwAAAP//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plotArea>
      <cx:plotAreaRegion>
        <cx:series layoutId="clusteredColumn" uniqueId="{2F81D788-4E98-4901-BA3A-2BF9343EFB28}">
          <cx:dataId val="0"/>
          <cx:layoutPr>
            <cx:binning intervalClosed="r">
              <cx:binSize val="2"/>
            </cx:binning>
          </cx:layoutPr>
        </cx:series>
      </cx:plotAreaRegion>
      <cx:axis id="0">
        <cx:catScaling gapWidth="0"/>
        <cx:tickLabels/>
        <cx:txPr>
          <a:bodyPr spcFirstLastPara="1" vertOverflow="ellipsis" horzOverflow="overflow" wrap="square" lIns="0" tIns="0" rIns="0" bIns="0" anchor="ctr" anchorCtr="1"/>
          <a:lstStyle/>
          <a:p>
            <a:pPr algn="ctr" rtl="0">
              <a:defRPr sz="1100" baseline="0"/>
            </a:pPr>
            <a:endParaRPr lang="en-US" sz="1100" b="0" i="0" u="none" strike="noStrike" baseline="0">
              <a:solidFill>
                <a:sysClr val="windowText" lastClr="000000">
                  <a:lumMod val="65000"/>
                  <a:lumOff val="35000"/>
                </a:sysClr>
              </a:solidFill>
              <a:latin typeface="Calibri" panose="020F0502020204030204"/>
            </a:endParaRPr>
          </a:p>
        </cx:txPr>
      </cx:axis>
      <cx:axis id="1" hidden="1">
        <cx:valScaling/>
        <cx:tickLabels/>
      </cx:axis>
    </cx:plotArea>
  </cx:chart>
  <cx:spPr>
    <a:ln>
      <a:noFill/>
    </a:ln>
  </cx:spPr>
</cx: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eg"/><Relationship Id="rId5" Type="http://schemas.openxmlformats.org/officeDocument/2006/relationships/image" Target="../media/image2.png"/><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image" Target="../media/image3.png"/><Relationship Id="rId5" Type="http://schemas.openxmlformats.org/officeDocument/2006/relationships/chart" Target="../charts/chart11.xml"/><Relationship Id="rId4"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editAs="oneCell">
    <xdr:from>
      <xdr:col>2</xdr:col>
      <xdr:colOff>123825</xdr:colOff>
      <xdr:row>0</xdr:row>
      <xdr:rowOff>219075</xdr:rowOff>
    </xdr:from>
    <xdr:to>
      <xdr:col>4</xdr:col>
      <xdr:colOff>476250</xdr:colOff>
      <xdr:row>3</xdr:row>
      <xdr:rowOff>0</xdr:rowOff>
    </xdr:to>
    <xdr:pic>
      <xdr:nvPicPr>
        <xdr:cNvPr id="2" name="Picture 4">
          <a:extLst>
            <a:ext uri="{FF2B5EF4-FFF2-40B4-BE49-F238E27FC236}">
              <a16:creationId xmlns:a16="http://schemas.microsoft.com/office/drawing/2014/main" id="{54DB6D73-9FE9-4881-9421-5720ECAC4C0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1936" b="30645"/>
        <a:stretch/>
      </xdr:blipFill>
      <xdr:spPr>
        <a:xfrm>
          <a:off x="1066800" y="219075"/>
          <a:ext cx="1581150" cy="571500"/>
        </a:xfrm>
        <a:prstGeom prst="rect">
          <a:avLst/>
        </a:prstGeom>
      </xdr:spPr>
    </xdr:pic>
    <xdr:clientData/>
  </xdr:twoCellAnchor>
  <xdr:twoCellAnchor>
    <xdr:from>
      <xdr:col>36</xdr:col>
      <xdr:colOff>347382</xdr:colOff>
      <xdr:row>25</xdr:row>
      <xdr:rowOff>36634</xdr:rowOff>
    </xdr:from>
    <xdr:to>
      <xdr:col>40</xdr:col>
      <xdr:colOff>158750</xdr:colOff>
      <xdr:row>36</xdr:row>
      <xdr:rowOff>145676</xdr:rowOff>
    </xdr:to>
    <xdr:graphicFrame macro="">
      <xdr:nvGraphicFramePr>
        <xdr:cNvPr id="5" name="Chart 5">
          <a:extLst>
            <a:ext uri="{FF2B5EF4-FFF2-40B4-BE49-F238E27FC236}">
              <a16:creationId xmlns:a16="http://schemas.microsoft.com/office/drawing/2014/main" id="{4883C9AD-DCD9-4A8B-880E-8B0A37AB913E}"/>
            </a:ext>
            <a:ext uri="{147F2762-F138-4A5C-976F-8EAC2B608ADB}">
              <a16:predDERef xmlns:a16="http://schemas.microsoft.com/office/drawing/2014/main" pred="{54DB6D73-9FE9-4881-9421-5720ECAC4C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190500</xdr:colOff>
      <xdr:row>45</xdr:row>
      <xdr:rowOff>66675</xdr:rowOff>
    </xdr:from>
    <xdr:to>
      <xdr:col>5</xdr:col>
      <xdr:colOff>828675</xdr:colOff>
      <xdr:row>56</xdr:row>
      <xdr:rowOff>114300</xdr:rowOff>
    </xdr:to>
    <xdr:graphicFrame macro="">
      <xdr:nvGraphicFramePr>
        <xdr:cNvPr id="3" name="Gráfico 2">
          <a:extLst>
            <a:ext uri="{FF2B5EF4-FFF2-40B4-BE49-F238E27FC236}">
              <a16:creationId xmlns:a16="http://schemas.microsoft.com/office/drawing/2014/main" id="{B105E8AB-ED74-4AFC-9E49-75D377A3A616}"/>
            </a:ext>
            <a:ext uri="{147F2762-F138-4A5C-976F-8EAC2B608ADB}">
              <a16:predDERef xmlns:a16="http://schemas.microsoft.com/office/drawing/2014/main" pred="{5FD0E85C-31FF-44A0-AE27-6F64F0D401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123825</xdr:colOff>
      <xdr:row>45</xdr:row>
      <xdr:rowOff>76200</xdr:rowOff>
    </xdr:from>
    <xdr:to>
      <xdr:col>8</xdr:col>
      <xdr:colOff>1143000</xdr:colOff>
      <xdr:row>56</xdr:row>
      <xdr:rowOff>123825</xdr:rowOff>
    </xdr:to>
    <xdr:graphicFrame macro="">
      <xdr:nvGraphicFramePr>
        <xdr:cNvPr id="4" name="Gráfico 3">
          <a:extLst>
            <a:ext uri="{FF2B5EF4-FFF2-40B4-BE49-F238E27FC236}">
              <a16:creationId xmlns:a16="http://schemas.microsoft.com/office/drawing/2014/main" id="{25AD286B-25C1-4A94-A894-B23F7EA4C724}"/>
            </a:ext>
            <a:ext uri="{147F2762-F138-4A5C-976F-8EAC2B608ADB}">
              <a16:predDERef xmlns:a16="http://schemas.microsoft.com/office/drawing/2014/main" pred="{B105E8AB-ED74-4AFC-9E49-75D377A3A6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304800</xdr:colOff>
      <xdr:row>58</xdr:row>
      <xdr:rowOff>47625</xdr:rowOff>
    </xdr:from>
    <xdr:to>
      <xdr:col>17</xdr:col>
      <xdr:colOff>600075</xdr:colOff>
      <xdr:row>77</xdr:row>
      <xdr:rowOff>66675</xdr:rowOff>
    </xdr:to>
    <xdr:pic>
      <xdr:nvPicPr>
        <xdr:cNvPr id="6" name="Imagem 5">
          <a:extLst>
            <a:ext uri="{FF2B5EF4-FFF2-40B4-BE49-F238E27FC236}">
              <a16:creationId xmlns:a16="http://schemas.microsoft.com/office/drawing/2014/main" id="{266E2370-D468-EE8E-E4CE-685D98C9F552}"/>
            </a:ext>
            <a:ext uri="{147F2762-F138-4A5C-976F-8EAC2B608ADB}">
              <a16:predDERef xmlns:a16="http://schemas.microsoft.com/office/drawing/2014/main" pred="{25AD286B-25C1-4A94-A894-B23F7EA4C724}"/>
            </a:ext>
          </a:extLst>
        </xdr:cNvPr>
        <xdr:cNvPicPr>
          <a:picLocks noChangeAspect="1"/>
        </xdr:cNvPicPr>
      </xdr:nvPicPr>
      <xdr:blipFill>
        <a:blip xmlns:r="http://schemas.openxmlformats.org/officeDocument/2006/relationships" r:embed="rId5"/>
        <a:stretch>
          <a:fillRect/>
        </a:stretch>
      </xdr:blipFill>
      <xdr:spPr>
        <a:xfrm>
          <a:off x="9515475" y="13411200"/>
          <a:ext cx="6343650" cy="33147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9525</xdr:colOff>
      <xdr:row>25</xdr:row>
      <xdr:rowOff>9524</xdr:rowOff>
    </xdr:from>
    <xdr:to>
      <xdr:col>11</xdr:col>
      <xdr:colOff>190500</xdr:colOff>
      <xdr:row>30</xdr:row>
      <xdr:rowOff>57149</xdr:rowOff>
    </xdr:to>
    <xdr:graphicFrame macro="">
      <xdr:nvGraphicFramePr>
        <xdr:cNvPr id="4" name="Chart 1">
          <a:extLst>
            <a:ext uri="{FF2B5EF4-FFF2-40B4-BE49-F238E27FC236}">
              <a16:creationId xmlns:a16="http://schemas.microsoft.com/office/drawing/2014/main" id="{E0074C46-4840-49BD-9389-4223A615CC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952500</xdr:colOff>
      <xdr:row>25</xdr:row>
      <xdr:rowOff>19050</xdr:rowOff>
    </xdr:from>
    <xdr:to>
      <xdr:col>13</xdr:col>
      <xdr:colOff>866775</xdr:colOff>
      <xdr:row>30</xdr:row>
      <xdr:rowOff>66675</xdr:rowOff>
    </xdr:to>
    <xdr:graphicFrame macro="">
      <xdr:nvGraphicFramePr>
        <xdr:cNvPr id="5" name="Chart 2">
          <a:extLst>
            <a:ext uri="{FF2B5EF4-FFF2-40B4-BE49-F238E27FC236}">
              <a16:creationId xmlns:a16="http://schemas.microsoft.com/office/drawing/2014/main" id="{D1AAE182-763F-462A-9659-6C77C4F765F1}"/>
            </a:ext>
            <a:ext uri="{147F2762-F138-4A5C-976F-8EAC2B608ADB}">
              <a16:predDERef xmlns:a16="http://schemas.microsoft.com/office/drawing/2014/main" pred="{E0074C46-4840-49BD-9389-4223A615CC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88142</xdr:colOff>
      <xdr:row>2</xdr:row>
      <xdr:rowOff>135341</xdr:rowOff>
    </xdr:from>
    <xdr:to>
      <xdr:col>21</xdr:col>
      <xdr:colOff>938893</xdr:colOff>
      <xdr:row>30</xdr:row>
      <xdr:rowOff>54429</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3F00C8F1-C250-85E1-C086-1D729CDCF87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4274042" y="567141"/>
              <a:ext cx="7562701" cy="506893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208189</xdr:colOff>
      <xdr:row>43</xdr:row>
      <xdr:rowOff>126546</xdr:rowOff>
    </xdr:from>
    <xdr:to>
      <xdr:col>10</xdr:col>
      <xdr:colOff>884464</xdr:colOff>
      <xdr:row>73</xdr:row>
      <xdr:rowOff>40821</xdr:rowOff>
    </xdr:to>
    <xdr:graphicFrame macro="">
      <xdr:nvGraphicFramePr>
        <xdr:cNvPr id="2" name="Chart 1">
          <a:extLst>
            <a:ext uri="{FF2B5EF4-FFF2-40B4-BE49-F238E27FC236}">
              <a16:creationId xmlns:a16="http://schemas.microsoft.com/office/drawing/2014/main" id="{2B970C78-FE9E-D18A-443E-F057966A64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464911</xdr:colOff>
      <xdr:row>27</xdr:row>
      <xdr:rowOff>78469</xdr:rowOff>
    </xdr:from>
    <xdr:to>
      <xdr:col>16</xdr:col>
      <xdr:colOff>987879</xdr:colOff>
      <xdr:row>39</xdr:row>
      <xdr:rowOff>148319</xdr:rowOff>
    </xdr:to>
    <xdr:graphicFrame macro="">
      <xdr:nvGraphicFramePr>
        <xdr:cNvPr id="5" name="Chart 2">
          <a:extLst>
            <a:ext uri="{FF2B5EF4-FFF2-40B4-BE49-F238E27FC236}">
              <a16:creationId xmlns:a16="http://schemas.microsoft.com/office/drawing/2014/main" id="{7E1C6EAB-A86E-10DF-7988-04E61C398746}"/>
            </a:ext>
            <a:ext uri="{147F2762-F138-4A5C-976F-8EAC2B608ADB}">
              <a16:predDERef xmlns:a16="http://schemas.microsoft.com/office/drawing/2014/main" pred="{2B970C78-FE9E-D18A-443E-F057966A64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18</xdr:row>
      <xdr:rowOff>0</xdr:rowOff>
    </xdr:from>
    <xdr:ext cx="304800" cy="308437"/>
    <xdr:sp macro="" textlink="">
      <xdr:nvSpPr>
        <xdr:cNvPr id="2" name="AutoShape 231" descr="Resultado de imagen para beer consumption trend">
          <a:extLst>
            <a:ext uri="{FF2B5EF4-FFF2-40B4-BE49-F238E27FC236}">
              <a16:creationId xmlns:a16="http://schemas.microsoft.com/office/drawing/2014/main" id="{D8C9DF03-DA08-4863-A26C-FDC75B601502}"/>
            </a:ext>
          </a:extLst>
        </xdr:cNvPr>
        <xdr:cNvSpPr>
          <a:spLocks noChangeAspect="1" noChangeArrowheads="1"/>
        </xdr:cNvSpPr>
      </xdr:nvSpPr>
      <xdr:spPr bwMode="auto">
        <a:xfrm>
          <a:off x="13296900" y="136874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18</xdr:row>
      <xdr:rowOff>0</xdr:rowOff>
    </xdr:from>
    <xdr:ext cx="304800" cy="308437"/>
    <xdr:sp macro="" textlink="">
      <xdr:nvSpPr>
        <xdr:cNvPr id="3" name="AutoShape 232" descr="Resultado de imagen para beer consumption trend">
          <a:extLst>
            <a:ext uri="{FF2B5EF4-FFF2-40B4-BE49-F238E27FC236}">
              <a16:creationId xmlns:a16="http://schemas.microsoft.com/office/drawing/2014/main" id="{FF7AFE3D-6EE3-477E-BF50-626D16901589}"/>
            </a:ext>
            <a:ext uri="{147F2762-F138-4A5C-976F-8EAC2B608ADB}">
              <a16:predDERef xmlns:a16="http://schemas.microsoft.com/office/drawing/2014/main" pred="{D8C9DF03-DA08-4863-A26C-FDC75B601502}"/>
            </a:ext>
          </a:extLst>
        </xdr:cNvPr>
        <xdr:cNvSpPr>
          <a:spLocks noChangeAspect="1" noChangeArrowheads="1"/>
        </xdr:cNvSpPr>
      </xdr:nvSpPr>
      <xdr:spPr bwMode="auto">
        <a:xfrm>
          <a:off x="13296900" y="115347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18</xdr:row>
      <xdr:rowOff>0</xdr:rowOff>
    </xdr:from>
    <xdr:ext cx="304800" cy="306171"/>
    <xdr:sp macro="" textlink="">
      <xdr:nvSpPr>
        <xdr:cNvPr id="4" name="AutoShape 233" descr="Resultado de imagen para beer consumption trend">
          <a:extLst>
            <a:ext uri="{FF2B5EF4-FFF2-40B4-BE49-F238E27FC236}">
              <a16:creationId xmlns:a16="http://schemas.microsoft.com/office/drawing/2014/main" id="{95C6B25A-8596-4ABD-AC75-60E41803D40C}"/>
            </a:ext>
            <a:ext uri="{147F2762-F138-4A5C-976F-8EAC2B608ADB}">
              <a16:predDERef xmlns:a16="http://schemas.microsoft.com/office/drawing/2014/main" pred="{FF7AFE3D-6EE3-477E-BF50-626D16901589}"/>
            </a:ext>
          </a:extLst>
        </xdr:cNvPr>
        <xdr:cNvSpPr>
          <a:spLocks noChangeAspect="1" noChangeArrowheads="1"/>
        </xdr:cNvSpPr>
      </xdr:nvSpPr>
      <xdr:spPr bwMode="auto">
        <a:xfrm>
          <a:off x="11153775" y="16716375"/>
          <a:ext cx="304800" cy="3061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18</xdr:row>
      <xdr:rowOff>0</xdr:rowOff>
    </xdr:from>
    <xdr:ext cx="304800" cy="305262"/>
    <xdr:sp macro="" textlink="">
      <xdr:nvSpPr>
        <xdr:cNvPr id="5" name="AutoShape 231" descr="Resultado de imagen para beer consumption trend">
          <a:extLst>
            <a:ext uri="{FF2B5EF4-FFF2-40B4-BE49-F238E27FC236}">
              <a16:creationId xmlns:a16="http://schemas.microsoft.com/office/drawing/2014/main" id="{27CB644A-C72E-410A-A774-B414C3629665}"/>
            </a:ext>
            <a:ext uri="{147F2762-F138-4A5C-976F-8EAC2B608ADB}">
              <a16:predDERef xmlns:a16="http://schemas.microsoft.com/office/drawing/2014/main" pred="{95C6B25A-8596-4ABD-AC75-60E41803D40C}"/>
            </a:ext>
          </a:extLst>
        </xdr:cNvPr>
        <xdr:cNvSpPr>
          <a:spLocks noChangeAspect="1" noChangeArrowheads="1"/>
        </xdr:cNvSpPr>
      </xdr:nvSpPr>
      <xdr:spPr bwMode="auto">
        <a:xfrm>
          <a:off x="13296900" y="1368742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18</xdr:row>
      <xdr:rowOff>0</xdr:rowOff>
    </xdr:from>
    <xdr:ext cx="304800" cy="309071"/>
    <xdr:sp macro="" textlink="">
      <xdr:nvSpPr>
        <xdr:cNvPr id="6" name="AutoShape 232" descr="Resultado de imagen para beer consumption trend">
          <a:extLst>
            <a:ext uri="{FF2B5EF4-FFF2-40B4-BE49-F238E27FC236}">
              <a16:creationId xmlns:a16="http://schemas.microsoft.com/office/drawing/2014/main" id="{915E61C7-2171-488F-8F0A-761586D1E368}"/>
            </a:ext>
            <a:ext uri="{147F2762-F138-4A5C-976F-8EAC2B608ADB}">
              <a16:predDERef xmlns:a16="http://schemas.microsoft.com/office/drawing/2014/main" pred="{27CB644A-C72E-410A-A774-B414C3629665}"/>
            </a:ext>
          </a:extLst>
        </xdr:cNvPr>
        <xdr:cNvSpPr>
          <a:spLocks noChangeAspect="1" noChangeArrowheads="1"/>
        </xdr:cNvSpPr>
      </xdr:nvSpPr>
      <xdr:spPr bwMode="auto">
        <a:xfrm>
          <a:off x="13296900" y="115347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18</xdr:row>
      <xdr:rowOff>0</xdr:rowOff>
    </xdr:from>
    <xdr:ext cx="304800" cy="301207"/>
    <xdr:sp macro="" textlink="">
      <xdr:nvSpPr>
        <xdr:cNvPr id="7" name="AutoShape 233" descr="Resultado de imagen para beer consumption trend">
          <a:extLst>
            <a:ext uri="{FF2B5EF4-FFF2-40B4-BE49-F238E27FC236}">
              <a16:creationId xmlns:a16="http://schemas.microsoft.com/office/drawing/2014/main" id="{C8C94D2A-7BA8-439B-9B5E-C6AF4CDB3023}"/>
            </a:ext>
            <a:ext uri="{147F2762-F138-4A5C-976F-8EAC2B608ADB}">
              <a16:predDERef xmlns:a16="http://schemas.microsoft.com/office/drawing/2014/main" pred="{915E61C7-2171-488F-8F0A-761586D1E368}"/>
            </a:ext>
          </a:extLst>
        </xdr:cNvPr>
        <xdr:cNvSpPr>
          <a:spLocks noChangeAspect="1" noChangeArrowheads="1"/>
        </xdr:cNvSpPr>
      </xdr:nvSpPr>
      <xdr:spPr bwMode="auto">
        <a:xfrm>
          <a:off x="11153775" y="16716375"/>
          <a:ext cx="304800" cy="3012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1</xdr:col>
      <xdr:colOff>0</xdr:colOff>
      <xdr:row>0</xdr:row>
      <xdr:rowOff>0</xdr:rowOff>
    </xdr:from>
    <xdr:to>
      <xdr:col>1</xdr:col>
      <xdr:colOff>304800</xdr:colOff>
      <xdr:row>1</xdr:row>
      <xdr:rowOff>152400</xdr:rowOff>
    </xdr:to>
    <xdr:sp macro="" textlink="">
      <xdr:nvSpPr>
        <xdr:cNvPr id="9" name="AutoShape 1" descr="Pilgrim's Pride Logo Vector Logo - Download Free SVG Icon | Worldvectorlogo">
          <a:extLst>
            <a:ext uri="{FF2B5EF4-FFF2-40B4-BE49-F238E27FC236}">
              <a16:creationId xmlns:a16="http://schemas.microsoft.com/office/drawing/2014/main" id="{FC049891-2D85-48FA-BFED-467BB4923281}"/>
            </a:ext>
            <a:ext uri="{147F2762-F138-4A5C-976F-8EAC2B608ADB}">
              <a16:predDERef xmlns:a16="http://schemas.microsoft.com/office/drawing/2014/main" pred="{C8C94D2A-7BA8-439B-9B5E-C6AF4CDB3023}"/>
            </a:ext>
          </a:extLst>
        </xdr:cNvPr>
        <xdr:cNvSpPr>
          <a:spLocks noChangeAspect="1" noChangeArrowheads="1"/>
        </xdr:cNvSpPr>
      </xdr:nvSpPr>
      <xdr:spPr bwMode="auto">
        <a:xfrm>
          <a:off x="28575" y="3409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24</xdr:col>
      <xdr:colOff>0</xdr:colOff>
      <xdr:row>0</xdr:row>
      <xdr:rowOff>0</xdr:rowOff>
    </xdr:from>
    <xdr:to>
      <xdr:col>24</xdr:col>
      <xdr:colOff>304800</xdr:colOff>
      <xdr:row>1</xdr:row>
      <xdr:rowOff>152400</xdr:rowOff>
    </xdr:to>
    <xdr:sp macro="" textlink="">
      <xdr:nvSpPr>
        <xdr:cNvPr id="10" name="AutoShape 2" descr="Pilgrim's Pride Logo Vector Logo - Download Free SVG Icon | Worldvectorlogo">
          <a:extLst>
            <a:ext uri="{FF2B5EF4-FFF2-40B4-BE49-F238E27FC236}">
              <a16:creationId xmlns:a16="http://schemas.microsoft.com/office/drawing/2014/main" id="{1DBF6760-6CA6-42F1-A073-22F220F23BDF}"/>
            </a:ext>
            <a:ext uri="{147F2762-F138-4A5C-976F-8EAC2B608ADB}">
              <a16:predDERef xmlns:a16="http://schemas.microsoft.com/office/drawing/2014/main" pred="{FC049891-2D85-48FA-BFED-467BB4923281}"/>
            </a:ext>
          </a:extLst>
        </xdr:cNvPr>
        <xdr:cNvSpPr>
          <a:spLocks noChangeAspect="1" noChangeArrowheads="1"/>
        </xdr:cNvSpPr>
      </xdr:nvSpPr>
      <xdr:spPr bwMode="auto">
        <a:xfrm>
          <a:off x="32432625" y="4867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304800</xdr:colOff>
      <xdr:row>1</xdr:row>
      <xdr:rowOff>152400</xdr:rowOff>
    </xdr:to>
    <xdr:sp macro="" textlink="">
      <xdr:nvSpPr>
        <xdr:cNvPr id="11" name="AutoShape 1" descr="Pilgrim's Pride Logo Vector Logo - Download Free SVG Icon | Worldvectorlogo">
          <a:extLst>
            <a:ext uri="{FF2B5EF4-FFF2-40B4-BE49-F238E27FC236}">
              <a16:creationId xmlns:a16="http://schemas.microsoft.com/office/drawing/2014/main" id="{767F86A5-0936-4013-AEE3-9110DC0FC3C6}"/>
            </a:ext>
            <a:ext uri="{147F2762-F138-4A5C-976F-8EAC2B608ADB}">
              <a16:predDERef xmlns:a16="http://schemas.microsoft.com/office/drawing/2014/main" pred="{1DBF6760-6CA6-42F1-A073-22F220F23BDF}"/>
            </a:ext>
          </a:extLst>
        </xdr:cNvPr>
        <xdr:cNvSpPr>
          <a:spLocks noChangeAspect="1" noChangeArrowheads="1"/>
        </xdr:cNvSpPr>
      </xdr:nvSpPr>
      <xdr:spPr bwMode="auto">
        <a:xfrm>
          <a:off x="28575" y="3409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9</xdr:col>
      <xdr:colOff>0</xdr:colOff>
      <xdr:row>18</xdr:row>
      <xdr:rowOff>0</xdr:rowOff>
    </xdr:from>
    <xdr:ext cx="304800" cy="308437"/>
    <xdr:sp macro="" textlink="">
      <xdr:nvSpPr>
        <xdr:cNvPr id="12" name="AutoShape 231" descr="Resultado de imagen para beer consumption trend">
          <a:extLst>
            <a:ext uri="{FF2B5EF4-FFF2-40B4-BE49-F238E27FC236}">
              <a16:creationId xmlns:a16="http://schemas.microsoft.com/office/drawing/2014/main" id="{B1E619D7-412F-414B-A5D4-9A0E21BBA939}"/>
            </a:ext>
            <a:ext uri="{147F2762-F138-4A5C-976F-8EAC2B608ADB}">
              <a16:predDERef xmlns:a16="http://schemas.microsoft.com/office/drawing/2014/main" pred="{767F86A5-0936-4013-AEE3-9110DC0FC3C6}"/>
            </a:ext>
          </a:extLst>
        </xdr:cNvPr>
        <xdr:cNvSpPr>
          <a:spLocks noChangeAspect="1" noChangeArrowheads="1"/>
        </xdr:cNvSpPr>
      </xdr:nvSpPr>
      <xdr:spPr bwMode="auto">
        <a:xfrm>
          <a:off x="11115675"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18</xdr:row>
      <xdr:rowOff>0</xdr:rowOff>
    </xdr:from>
    <xdr:ext cx="304800" cy="308437"/>
    <xdr:sp macro="" textlink="">
      <xdr:nvSpPr>
        <xdr:cNvPr id="13" name="AutoShape 232" descr="Resultado de imagen para beer consumption trend">
          <a:extLst>
            <a:ext uri="{FF2B5EF4-FFF2-40B4-BE49-F238E27FC236}">
              <a16:creationId xmlns:a16="http://schemas.microsoft.com/office/drawing/2014/main" id="{0B74D170-E6E8-470A-9801-3D68BC0CB5AF}"/>
            </a:ext>
            <a:ext uri="{147F2762-F138-4A5C-976F-8EAC2B608ADB}">
              <a16:predDERef xmlns:a16="http://schemas.microsoft.com/office/drawing/2014/main" pred="{B1E619D7-412F-414B-A5D4-9A0E21BBA939}"/>
            </a:ext>
          </a:extLst>
        </xdr:cNvPr>
        <xdr:cNvSpPr>
          <a:spLocks noChangeAspect="1" noChangeArrowheads="1"/>
        </xdr:cNvSpPr>
      </xdr:nvSpPr>
      <xdr:spPr bwMode="auto">
        <a:xfrm>
          <a:off x="11115675"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18</xdr:row>
      <xdr:rowOff>0</xdr:rowOff>
    </xdr:from>
    <xdr:ext cx="304800" cy="305262"/>
    <xdr:sp macro="" textlink="">
      <xdr:nvSpPr>
        <xdr:cNvPr id="14" name="AutoShape 231" descr="Resultado de imagen para beer consumption trend">
          <a:extLst>
            <a:ext uri="{FF2B5EF4-FFF2-40B4-BE49-F238E27FC236}">
              <a16:creationId xmlns:a16="http://schemas.microsoft.com/office/drawing/2014/main" id="{FD744A21-B4FB-4607-A092-536B05DFCD96}"/>
            </a:ext>
            <a:ext uri="{147F2762-F138-4A5C-976F-8EAC2B608ADB}">
              <a16:predDERef xmlns:a16="http://schemas.microsoft.com/office/drawing/2014/main" pred="{0B74D170-E6E8-470A-9801-3D68BC0CB5AF}"/>
            </a:ext>
          </a:extLst>
        </xdr:cNvPr>
        <xdr:cNvSpPr>
          <a:spLocks noChangeAspect="1" noChangeArrowheads="1"/>
        </xdr:cNvSpPr>
      </xdr:nvSpPr>
      <xdr:spPr bwMode="auto">
        <a:xfrm>
          <a:off x="11115675" y="324802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18</xdr:row>
      <xdr:rowOff>0</xdr:rowOff>
    </xdr:from>
    <xdr:ext cx="304800" cy="309071"/>
    <xdr:sp macro="" textlink="">
      <xdr:nvSpPr>
        <xdr:cNvPr id="15" name="AutoShape 232" descr="Resultado de imagen para beer consumption trend">
          <a:extLst>
            <a:ext uri="{FF2B5EF4-FFF2-40B4-BE49-F238E27FC236}">
              <a16:creationId xmlns:a16="http://schemas.microsoft.com/office/drawing/2014/main" id="{7C8EDBC0-F902-4BA6-98B9-9EA1A713070C}"/>
            </a:ext>
            <a:ext uri="{147F2762-F138-4A5C-976F-8EAC2B608ADB}">
              <a16:predDERef xmlns:a16="http://schemas.microsoft.com/office/drawing/2014/main" pred="{FD744A21-B4FB-4607-A092-536B05DFCD96}"/>
            </a:ext>
          </a:extLst>
        </xdr:cNvPr>
        <xdr:cNvSpPr>
          <a:spLocks noChangeAspect="1" noChangeArrowheads="1"/>
        </xdr:cNvSpPr>
      </xdr:nvSpPr>
      <xdr:spPr bwMode="auto">
        <a:xfrm>
          <a:off x="11115675" y="324802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18</xdr:row>
      <xdr:rowOff>0</xdr:rowOff>
    </xdr:from>
    <xdr:ext cx="304800" cy="308437"/>
    <xdr:sp macro="" textlink="">
      <xdr:nvSpPr>
        <xdr:cNvPr id="16" name="AutoShape 231" descr="Resultado de imagen para beer consumption trend">
          <a:extLst>
            <a:ext uri="{FF2B5EF4-FFF2-40B4-BE49-F238E27FC236}">
              <a16:creationId xmlns:a16="http://schemas.microsoft.com/office/drawing/2014/main" id="{3E764D9C-5554-40B8-BB30-00320572AF54}"/>
            </a:ext>
            <a:ext uri="{147F2762-F138-4A5C-976F-8EAC2B608ADB}">
              <a16:predDERef xmlns:a16="http://schemas.microsoft.com/office/drawing/2014/main" pred="{7C8EDBC0-F902-4BA6-98B9-9EA1A713070C}"/>
            </a:ext>
          </a:extLst>
        </xdr:cNvPr>
        <xdr:cNvSpPr>
          <a:spLocks noChangeAspect="1" noChangeArrowheads="1"/>
        </xdr:cNvSpPr>
      </xdr:nvSpPr>
      <xdr:spPr bwMode="auto">
        <a:xfrm>
          <a:off x="15068550"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18</xdr:row>
      <xdr:rowOff>0</xdr:rowOff>
    </xdr:from>
    <xdr:ext cx="304800" cy="308437"/>
    <xdr:sp macro="" textlink="">
      <xdr:nvSpPr>
        <xdr:cNvPr id="17" name="AutoShape 232" descr="Resultado de imagen para beer consumption trend">
          <a:extLst>
            <a:ext uri="{FF2B5EF4-FFF2-40B4-BE49-F238E27FC236}">
              <a16:creationId xmlns:a16="http://schemas.microsoft.com/office/drawing/2014/main" id="{88156D4E-2C43-49C6-87C0-841E57088092}"/>
            </a:ext>
            <a:ext uri="{147F2762-F138-4A5C-976F-8EAC2B608ADB}">
              <a16:predDERef xmlns:a16="http://schemas.microsoft.com/office/drawing/2014/main" pred="{3E764D9C-5554-40B8-BB30-00320572AF54}"/>
            </a:ext>
          </a:extLst>
        </xdr:cNvPr>
        <xdr:cNvSpPr>
          <a:spLocks noChangeAspect="1" noChangeArrowheads="1"/>
        </xdr:cNvSpPr>
      </xdr:nvSpPr>
      <xdr:spPr bwMode="auto">
        <a:xfrm>
          <a:off x="15068550"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18</xdr:row>
      <xdr:rowOff>0</xdr:rowOff>
    </xdr:from>
    <xdr:ext cx="304800" cy="305262"/>
    <xdr:sp macro="" textlink="">
      <xdr:nvSpPr>
        <xdr:cNvPr id="18" name="AutoShape 231" descr="Resultado de imagen para beer consumption trend">
          <a:extLst>
            <a:ext uri="{FF2B5EF4-FFF2-40B4-BE49-F238E27FC236}">
              <a16:creationId xmlns:a16="http://schemas.microsoft.com/office/drawing/2014/main" id="{35CC89AD-BD6E-4996-8A2A-B74F4FC8B037}"/>
            </a:ext>
            <a:ext uri="{147F2762-F138-4A5C-976F-8EAC2B608ADB}">
              <a16:predDERef xmlns:a16="http://schemas.microsoft.com/office/drawing/2014/main" pred="{88156D4E-2C43-49C6-87C0-841E57088092}"/>
            </a:ext>
          </a:extLst>
        </xdr:cNvPr>
        <xdr:cNvSpPr>
          <a:spLocks noChangeAspect="1" noChangeArrowheads="1"/>
        </xdr:cNvSpPr>
      </xdr:nvSpPr>
      <xdr:spPr bwMode="auto">
        <a:xfrm>
          <a:off x="15068550" y="324802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18</xdr:row>
      <xdr:rowOff>0</xdr:rowOff>
    </xdr:from>
    <xdr:ext cx="304800" cy="309071"/>
    <xdr:sp macro="" textlink="">
      <xdr:nvSpPr>
        <xdr:cNvPr id="19" name="AutoShape 232" descr="Resultado de imagen para beer consumption trend">
          <a:extLst>
            <a:ext uri="{FF2B5EF4-FFF2-40B4-BE49-F238E27FC236}">
              <a16:creationId xmlns:a16="http://schemas.microsoft.com/office/drawing/2014/main" id="{225EEE83-9DC8-4E68-BCE0-8915C5FDC753}"/>
            </a:ext>
            <a:ext uri="{147F2762-F138-4A5C-976F-8EAC2B608ADB}">
              <a16:predDERef xmlns:a16="http://schemas.microsoft.com/office/drawing/2014/main" pred="{35CC89AD-BD6E-4996-8A2A-B74F4FC8B037}"/>
            </a:ext>
          </a:extLst>
        </xdr:cNvPr>
        <xdr:cNvSpPr>
          <a:spLocks noChangeAspect="1" noChangeArrowheads="1"/>
        </xdr:cNvSpPr>
      </xdr:nvSpPr>
      <xdr:spPr bwMode="auto">
        <a:xfrm>
          <a:off x="15068550" y="324802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8437"/>
    <xdr:sp macro="" textlink="">
      <xdr:nvSpPr>
        <xdr:cNvPr id="20" name="AutoShape 231" descr="Resultado de imagen para beer consumption trend">
          <a:extLst>
            <a:ext uri="{FF2B5EF4-FFF2-40B4-BE49-F238E27FC236}">
              <a16:creationId xmlns:a16="http://schemas.microsoft.com/office/drawing/2014/main" id="{33BD7492-7FD0-49C7-B9B6-8D6416AF52EB}"/>
            </a:ext>
            <a:ext uri="{147F2762-F138-4A5C-976F-8EAC2B608ADB}">
              <a16:predDERef xmlns:a16="http://schemas.microsoft.com/office/drawing/2014/main" pred="{225EEE83-9DC8-4E68-BCE0-8915C5FDC753}"/>
            </a:ext>
          </a:extLst>
        </xdr:cNvPr>
        <xdr:cNvSpPr>
          <a:spLocks noChangeAspect="1" noChangeArrowheads="1"/>
        </xdr:cNvSpPr>
      </xdr:nvSpPr>
      <xdr:spPr bwMode="auto">
        <a:xfrm>
          <a:off x="19021425"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8437"/>
    <xdr:sp macro="" textlink="">
      <xdr:nvSpPr>
        <xdr:cNvPr id="21" name="AutoShape 232" descr="Resultado de imagen para beer consumption trend">
          <a:extLst>
            <a:ext uri="{FF2B5EF4-FFF2-40B4-BE49-F238E27FC236}">
              <a16:creationId xmlns:a16="http://schemas.microsoft.com/office/drawing/2014/main" id="{092A7679-008F-44AA-B377-CFF8F78C52CC}"/>
            </a:ext>
            <a:ext uri="{147F2762-F138-4A5C-976F-8EAC2B608ADB}">
              <a16:predDERef xmlns:a16="http://schemas.microsoft.com/office/drawing/2014/main" pred="{33BD7492-7FD0-49C7-B9B6-8D6416AF52EB}"/>
            </a:ext>
          </a:extLst>
        </xdr:cNvPr>
        <xdr:cNvSpPr>
          <a:spLocks noChangeAspect="1" noChangeArrowheads="1"/>
        </xdr:cNvSpPr>
      </xdr:nvSpPr>
      <xdr:spPr bwMode="auto">
        <a:xfrm>
          <a:off x="19021425"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5262"/>
    <xdr:sp macro="" textlink="">
      <xdr:nvSpPr>
        <xdr:cNvPr id="22" name="AutoShape 231" descr="Resultado de imagen para beer consumption trend">
          <a:extLst>
            <a:ext uri="{FF2B5EF4-FFF2-40B4-BE49-F238E27FC236}">
              <a16:creationId xmlns:a16="http://schemas.microsoft.com/office/drawing/2014/main" id="{F9BFD5E4-6430-4A57-BA5C-452AA1185D6E}"/>
            </a:ext>
            <a:ext uri="{147F2762-F138-4A5C-976F-8EAC2B608ADB}">
              <a16:predDERef xmlns:a16="http://schemas.microsoft.com/office/drawing/2014/main" pred="{092A7679-008F-44AA-B377-CFF8F78C52CC}"/>
            </a:ext>
          </a:extLst>
        </xdr:cNvPr>
        <xdr:cNvSpPr>
          <a:spLocks noChangeAspect="1" noChangeArrowheads="1"/>
        </xdr:cNvSpPr>
      </xdr:nvSpPr>
      <xdr:spPr bwMode="auto">
        <a:xfrm>
          <a:off x="19021425" y="324802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9071"/>
    <xdr:sp macro="" textlink="">
      <xdr:nvSpPr>
        <xdr:cNvPr id="23" name="AutoShape 232" descr="Resultado de imagen para beer consumption trend">
          <a:extLst>
            <a:ext uri="{FF2B5EF4-FFF2-40B4-BE49-F238E27FC236}">
              <a16:creationId xmlns:a16="http://schemas.microsoft.com/office/drawing/2014/main" id="{1CFF9D02-18D2-4666-9D9F-EDBD513B56AD}"/>
            </a:ext>
            <a:ext uri="{147F2762-F138-4A5C-976F-8EAC2B608ADB}">
              <a16:predDERef xmlns:a16="http://schemas.microsoft.com/office/drawing/2014/main" pred="{F9BFD5E4-6430-4A57-BA5C-452AA1185D6E}"/>
            </a:ext>
          </a:extLst>
        </xdr:cNvPr>
        <xdr:cNvSpPr>
          <a:spLocks noChangeAspect="1" noChangeArrowheads="1"/>
        </xdr:cNvSpPr>
      </xdr:nvSpPr>
      <xdr:spPr bwMode="auto">
        <a:xfrm>
          <a:off x="19021425" y="324802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18</xdr:row>
      <xdr:rowOff>0</xdr:rowOff>
    </xdr:from>
    <xdr:ext cx="304800" cy="308437"/>
    <xdr:sp macro="" textlink="">
      <xdr:nvSpPr>
        <xdr:cNvPr id="27" name="AutoShape 231" descr="Resultado de imagen para beer consumption trend">
          <a:extLst>
            <a:ext uri="{FF2B5EF4-FFF2-40B4-BE49-F238E27FC236}">
              <a16:creationId xmlns:a16="http://schemas.microsoft.com/office/drawing/2014/main" id="{D574E466-EF19-4AAA-B0F9-215A47A140FB}"/>
            </a:ext>
            <a:ext uri="{147F2762-F138-4A5C-976F-8EAC2B608ADB}">
              <a16:predDERef xmlns:a16="http://schemas.microsoft.com/office/drawing/2014/main" pred="{48860EEF-0E46-8F71-3C77-95DD878ADDC4}"/>
            </a:ext>
          </a:extLst>
        </xdr:cNvPr>
        <xdr:cNvSpPr>
          <a:spLocks noChangeAspect="1" noChangeArrowheads="1"/>
        </xdr:cNvSpPr>
      </xdr:nvSpPr>
      <xdr:spPr bwMode="auto">
        <a:xfrm>
          <a:off x="899160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18</xdr:row>
      <xdr:rowOff>0</xdr:rowOff>
    </xdr:from>
    <xdr:ext cx="304800" cy="308437"/>
    <xdr:sp macro="" textlink="">
      <xdr:nvSpPr>
        <xdr:cNvPr id="28" name="AutoShape 232" descr="Resultado de imagen para beer consumption trend">
          <a:extLst>
            <a:ext uri="{FF2B5EF4-FFF2-40B4-BE49-F238E27FC236}">
              <a16:creationId xmlns:a16="http://schemas.microsoft.com/office/drawing/2014/main" id="{E6AF3547-11DC-4531-8A3C-049B26E53090}"/>
            </a:ext>
            <a:ext uri="{147F2762-F138-4A5C-976F-8EAC2B608ADB}">
              <a16:predDERef xmlns:a16="http://schemas.microsoft.com/office/drawing/2014/main" pred="{D574E466-EF19-4AAA-B0F9-215A47A140FB}"/>
            </a:ext>
          </a:extLst>
        </xdr:cNvPr>
        <xdr:cNvSpPr>
          <a:spLocks noChangeAspect="1" noChangeArrowheads="1"/>
        </xdr:cNvSpPr>
      </xdr:nvSpPr>
      <xdr:spPr bwMode="auto">
        <a:xfrm>
          <a:off x="899160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18</xdr:row>
      <xdr:rowOff>0</xdr:rowOff>
    </xdr:from>
    <xdr:ext cx="304800" cy="305262"/>
    <xdr:sp macro="" textlink="">
      <xdr:nvSpPr>
        <xdr:cNvPr id="29" name="AutoShape 231" descr="Resultado de imagen para beer consumption trend">
          <a:extLst>
            <a:ext uri="{FF2B5EF4-FFF2-40B4-BE49-F238E27FC236}">
              <a16:creationId xmlns:a16="http://schemas.microsoft.com/office/drawing/2014/main" id="{D98E2B33-DA07-4B0E-B215-B8E03DF546B7}"/>
            </a:ext>
            <a:ext uri="{147F2762-F138-4A5C-976F-8EAC2B608ADB}">
              <a16:predDERef xmlns:a16="http://schemas.microsoft.com/office/drawing/2014/main" pred="{E6AF3547-11DC-4531-8A3C-049B26E53090}"/>
            </a:ext>
          </a:extLst>
        </xdr:cNvPr>
        <xdr:cNvSpPr>
          <a:spLocks noChangeAspect="1" noChangeArrowheads="1"/>
        </xdr:cNvSpPr>
      </xdr:nvSpPr>
      <xdr:spPr bwMode="auto">
        <a:xfrm>
          <a:off x="8991600"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18</xdr:row>
      <xdr:rowOff>0</xdr:rowOff>
    </xdr:from>
    <xdr:ext cx="304800" cy="309071"/>
    <xdr:sp macro="" textlink="">
      <xdr:nvSpPr>
        <xdr:cNvPr id="30" name="AutoShape 232" descr="Resultado de imagen para beer consumption trend">
          <a:extLst>
            <a:ext uri="{FF2B5EF4-FFF2-40B4-BE49-F238E27FC236}">
              <a16:creationId xmlns:a16="http://schemas.microsoft.com/office/drawing/2014/main" id="{67998A09-ACB4-41BD-AA83-86AB4AA6D8CB}"/>
            </a:ext>
            <a:ext uri="{147F2762-F138-4A5C-976F-8EAC2B608ADB}">
              <a16:predDERef xmlns:a16="http://schemas.microsoft.com/office/drawing/2014/main" pred="{D98E2B33-DA07-4B0E-B215-B8E03DF546B7}"/>
            </a:ext>
          </a:extLst>
        </xdr:cNvPr>
        <xdr:cNvSpPr>
          <a:spLocks noChangeAspect="1" noChangeArrowheads="1"/>
        </xdr:cNvSpPr>
      </xdr:nvSpPr>
      <xdr:spPr bwMode="auto">
        <a:xfrm>
          <a:off x="8991600"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18</xdr:row>
      <xdr:rowOff>0</xdr:rowOff>
    </xdr:from>
    <xdr:ext cx="304800" cy="308437"/>
    <xdr:sp macro="" textlink="">
      <xdr:nvSpPr>
        <xdr:cNvPr id="31" name="AutoShape 231" descr="Resultado de imagen para beer consumption trend">
          <a:extLst>
            <a:ext uri="{FF2B5EF4-FFF2-40B4-BE49-F238E27FC236}">
              <a16:creationId xmlns:a16="http://schemas.microsoft.com/office/drawing/2014/main" id="{2D7D8238-3BCF-4653-ACA9-5C09A0A3A469}"/>
            </a:ext>
            <a:ext uri="{147F2762-F138-4A5C-976F-8EAC2B608ADB}">
              <a16:predDERef xmlns:a16="http://schemas.microsoft.com/office/drawing/2014/main" pred="{67998A09-ACB4-41BD-AA83-86AB4AA6D8CB}"/>
            </a:ext>
          </a:extLst>
        </xdr:cNvPr>
        <xdr:cNvSpPr>
          <a:spLocks noChangeAspect="1" noChangeArrowheads="1"/>
        </xdr:cNvSpPr>
      </xdr:nvSpPr>
      <xdr:spPr bwMode="auto">
        <a:xfrm>
          <a:off x="1198245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18</xdr:row>
      <xdr:rowOff>0</xdr:rowOff>
    </xdr:from>
    <xdr:ext cx="304800" cy="308437"/>
    <xdr:sp macro="" textlink="">
      <xdr:nvSpPr>
        <xdr:cNvPr id="32" name="AutoShape 232" descr="Resultado de imagen para beer consumption trend">
          <a:extLst>
            <a:ext uri="{FF2B5EF4-FFF2-40B4-BE49-F238E27FC236}">
              <a16:creationId xmlns:a16="http://schemas.microsoft.com/office/drawing/2014/main" id="{5BED5983-2082-4FB4-9D13-5C051C89595A}"/>
            </a:ext>
            <a:ext uri="{147F2762-F138-4A5C-976F-8EAC2B608ADB}">
              <a16:predDERef xmlns:a16="http://schemas.microsoft.com/office/drawing/2014/main" pred="{2D7D8238-3BCF-4653-ACA9-5C09A0A3A469}"/>
            </a:ext>
          </a:extLst>
        </xdr:cNvPr>
        <xdr:cNvSpPr>
          <a:spLocks noChangeAspect="1" noChangeArrowheads="1"/>
        </xdr:cNvSpPr>
      </xdr:nvSpPr>
      <xdr:spPr bwMode="auto">
        <a:xfrm>
          <a:off x="1198245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18</xdr:row>
      <xdr:rowOff>0</xdr:rowOff>
    </xdr:from>
    <xdr:ext cx="304800" cy="305262"/>
    <xdr:sp macro="" textlink="">
      <xdr:nvSpPr>
        <xdr:cNvPr id="33" name="AutoShape 231" descr="Resultado de imagen para beer consumption trend">
          <a:extLst>
            <a:ext uri="{FF2B5EF4-FFF2-40B4-BE49-F238E27FC236}">
              <a16:creationId xmlns:a16="http://schemas.microsoft.com/office/drawing/2014/main" id="{68FB8A10-3B5A-4E91-B2E4-951DFB442228}"/>
            </a:ext>
            <a:ext uri="{147F2762-F138-4A5C-976F-8EAC2B608ADB}">
              <a16:predDERef xmlns:a16="http://schemas.microsoft.com/office/drawing/2014/main" pred="{5BED5983-2082-4FB4-9D13-5C051C89595A}"/>
            </a:ext>
          </a:extLst>
        </xdr:cNvPr>
        <xdr:cNvSpPr>
          <a:spLocks noChangeAspect="1" noChangeArrowheads="1"/>
        </xdr:cNvSpPr>
      </xdr:nvSpPr>
      <xdr:spPr bwMode="auto">
        <a:xfrm>
          <a:off x="11982450"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18</xdr:row>
      <xdr:rowOff>0</xdr:rowOff>
    </xdr:from>
    <xdr:ext cx="304800" cy="309071"/>
    <xdr:sp macro="" textlink="">
      <xdr:nvSpPr>
        <xdr:cNvPr id="34" name="AutoShape 232" descr="Resultado de imagen para beer consumption trend">
          <a:extLst>
            <a:ext uri="{FF2B5EF4-FFF2-40B4-BE49-F238E27FC236}">
              <a16:creationId xmlns:a16="http://schemas.microsoft.com/office/drawing/2014/main" id="{AB4894ED-05C5-425B-BD0C-FE1769D4B92B}"/>
            </a:ext>
            <a:ext uri="{147F2762-F138-4A5C-976F-8EAC2B608ADB}">
              <a16:predDERef xmlns:a16="http://schemas.microsoft.com/office/drawing/2014/main" pred="{68FB8A10-3B5A-4E91-B2E4-951DFB442228}"/>
            </a:ext>
          </a:extLst>
        </xdr:cNvPr>
        <xdr:cNvSpPr>
          <a:spLocks noChangeAspect="1" noChangeArrowheads="1"/>
        </xdr:cNvSpPr>
      </xdr:nvSpPr>
      <xdr:spPr bwMode="auto">
        <a:xfrm>
          <a:off x="11982450"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8437"/>
    <xdr:sp macro="" textlink="">
      <xdr:nvSpPr>
        <xdr:cNvPr id="51" name="AutoShape 231" descr="Resultado de imagen para beer consumption trend">
          <a:extLst>
            <a:ext uri="{FF2B5EF4-FFF2-40B4-BE49-F238E27FC236}">
              <a16:creationId xmlns:a16="http://schemas.microsoft.com/office/drawing/2014/main" id="{AA6CF309-B24C-4FAC-A31B-A185A0BA276A}"/>
            </a:ext>
            <a:ext uri="{147F2762-F138-4A5C-976F-8EAC2B608ADB}">
              <a16:predDERef xmlns:a16="http://schemas.microsoft.com/office/drawing/2014/main" pred="{AB4894ED-05C5-425B-BD0C-FE1769D4B92B}"/>
            </a:ext>
          </a:extLst>
        </xdr:cNvPr>
        <xdr:cNvSpPr>
          <a:spLocks noChangeAspect="1" noChangeArrowheads="1"/>
        </xdr:cNvSpPr>
      </xdr:nvSpPr>
      <xdr:spPr bwMode="auto">
        <a:xfrm>
          <a:off x="1497330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8437"/>
    <xdr:sp macro="" textlink="">
      <xdr:nvSpPr>
        <xdr:cNvPr id="52" name="AutoShape 232" descr="Resultado de imagen para beer consumption trend">
          <a:extLst>
            <a:ext uri="{FF2B5EF4-FFF2-40B4-BE49-F238E27FC236}">
              <a16:creationId xmlns:a16="http://schemas.microsoft.com/office/drawing/2014/main" id="{79BB585B-1768-4866-97DF-520A84C990C0}"/>
            </a:ext>
            <a:ext uri="{147F2762-F138-4A5C-976F-8EAC2B608ADB}">
              <a16:predDERef xmlns:a16="http://schemas.microsoft.com/office/drawing/2014/main" pred="{AA6CF309-B24C-4FAC-A31B-A185A0BA276A}"/>
            </a:ext>
          </a:extLst>
        </xdr:cNvPr>
        <xdr:cNvSpPr>
          <a:spLocks noChangeAspect="1" noChangeArrowheads="1"/>
        </xdr:cNvSpPr>
      </xdr:nvSpPr>
      <xdr:spPr bwMode="auto">
        <a:xfrm>
          <a:off x="1497330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5262"/>
    <xdr:sp macro="" textlink="">
      <xdr:nvSpPr>
        <xdr:cNvPr id="53" name="AutoShape 231" descr="Resultado de imagen para beer consumption trend">
          <a:extLst>
            <a:ext uri="{FF2B5EF4-FFF2-40B4-BE49-F238E27FC236}">
              <a16:creationId xmlns:a16="http://schemas.microsoft.com/office/drawing/2014/main" id="{A76D0278-CA0F-4F58-A7E7-4A2D0CB819BA}"/>
            </a:ext>
            <a:ext uri="{147F2762-F138-4A5C-976F-8EAC2B608ADB}">
              <a16:predDERef xmlns:a16="http://schemas.microsoft.com/office/drawing/2014/main" pred="{79BB585B-1768-4866-97DF-520A84C990C0}"/>
            </a:ext>
          </a:extLst>
        </xdr:cNvPr>
        <xdr:cNvSpPr>
          <a:spLocks noChangeAspect="1" noChangeArrowheads="1"/>
        </xdr:cNvSpPr>
      </xdr:nvSpPr>
      <xdr:spPr bwMode="auto">
        <a:xfrm>
          <a:off x="14973300"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9071"/>
    <xdr:sp macro="" textlink="">
      <xdr:nvSpPr>
        <xdr:cNvPr id="54" name="AutoShape 232" descr="Resultado de imagen para beer consumption trend">
          <a:extLst>
            <a:ext uri="{FF2B5EF4-FFF2-40B4-BE49-F238E27FC236}">
              <a16:creationId xmlns:a16="http://schemas.microsoft.com/office/drawing/2014/main" id="{C5812F1C-0B96-452B-B188-F1BD0DD60FAF}"/>
            </a:ext>
            <a:ext uri="{147F2762-F138-4A5C-976F-8EAC2B608ADB}">
              <a16:predDERef xmlns:a16="http://schemas.microsoft.com/office/drawing/2014/main" pred="{A76D0278-CA0F-4F58-A7E7-4A2D0CB819BA}"/>
            </a:ext>
          </a:extLst>
        </xdr:cNvPr>
        <xdr:cNvSpPr>
          <a:spLocks noChangeAspect="1" noChangeArrowheads="1"/>
        </xdr:cNvSpPr>
      </xdr:nvSpPr>
      <xdr:spPr bwMode="auto">
        <a:xfrm>
          <a:off x="14973300"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8437"/>
    <xdr:sp macro="" textlink="">
      <xdr:nvSpPr>
        <xdr:cNvPr id="55" name="AutoShape 231" descr="Resultado de imagen para beer consumption trend">
          <a:extLst>
            <a:ext uri="{FF2B5EF4-FFF2-40B4-BE49-F238E27FC236}">
              <a16:creationId xmlns:a16="http://schemas.microsoft.com/office/drawing/2014/main" id="{3B3BB98E-453E-42AE-91A1-6910D265F1C1}"/>
            </a:ext>
            <a:ext uri="{147F2762-F138-4A5C-976F-8EAC2B608ADB}">
              <a16:predDERef xmlns:a16="http://schemas.microsoft.com/office/drawing/2014/main" pred="{C5812F1C-0B96-452B-B188-F1BD0DD60FAF}"/>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8437"/>
    <xdr:sp macro="" textlink="">
      <xdr:nvSpPr>
        <xdr:cNvPr id="56" name="AutoShape 232" descr="Resultado de imagen para beer consumption trend">
          <a:extLst>
            <a:ext uri="{FF2B5EF4-FFF2-40B4-BE49-F238E27FC236}">
              <a16:creationId xmlns:a16="http://schemas.microsoft.com/office/drawing/2014/main" id="{B762A3DC-990B-40CD-ACCD-B6E84F39EDEF}"/>
            </a:ext>
            <a:ext uri="{147F2762-F138-4A5C-976F-8EAC2B608ADB}">
              <a16:predDERef xmlns:a16="http://schemas.microsoft.com/office/drawing/2014/main" pred="{3B3BB98E-453E-42AE-91A1-6910D265F1C1}"/>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5262"/>
    <xdr:sp macro="" textlink="">
      <xdr:nvSpPr>
        <xdr:cNvPr id="57" name="AutoShape 231" descr="Resultado de imagen para beer consumption trend">
          <a:extLst>
            <a:ext uri="{FF2B5EF4-FFF2-40B4-BE49-F238E27FC236}">
              <a16:creationId xmlns:a16="http://schemas.microsoft.com/office/drawing/2014/main" id="{1FC50CEC-9BA5-4DB9-A053-050227108D4C}"/>
            </a:ext>
            <a:ext uri="{147F2762-F138-4A5C-976F-8EAC2B608ADB}">
              <a16:predDERef xmlns:a16="http://schemas.microsoft.com/office/drawing/2014/main" pred="{B762A3DC-990B-40CD-ACCD-B6E84F39EDEF}"/>
            </a:ext>
          </a:extLst>
        </xdr:cNvPr>
        <xdr:cNvSpPr>
          <a:spLocks noChangeAspect="1" noChangeArrowheads="1"/>
        </xdr:cNvSpPr>
      </xdr:nvSpPr>
      <xdr:spPr bwMode="auto">
        <a:xfrm>
          <a:off x="16468725"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9071"/>
    <xdr:sp macro="" textlink="">
      <xdr:nvSpPr>
        <xdr:cNvPr id="58" name="AutoShape 232" descr="Resultado de imagen para beer consumption trend">
          <a:extLst>
            <a:ext uri="{FF2B5EF4-FFF2-40B4-BE49-F238E27FC236}">
              <a16:creationId xmlns:a16="http://schemas.microsoft.com/office/drawing/2014/main" id="{73A174AE-F196-43B6-B33F-AE251C210FFE}"/>
            </a:ext>
            <a:ext uri="{147F2762-F138-4A5C-976F-8EAC2B608ADB}">
              <a16:predDERef xmlns:a16="http://schemas.microsoft.com/office/drawing/2014/main" pred="{1FC50CEC-9BA5-4DB9-A053-050227108D4C}"/>
            </a:ext>
          </a:extLst>
        </xdr:cNvPr>
        <xdr:cNvSpPr>
          <a:spLocks noChangeAspect="1" noChangeArrowheads="1"/>
        </xdr:cNvSpPr>
      </xdr:nvSpPr>
      <xdr:spPr bwMode="auto">
        <a:xfrm>
          <a:off x="16468725"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8437"/>
    <xdr:sp macro="" textlink="">
      <xdr:nvSpPr>
        <xdr:cNvPr id="59" name="AutoShape 231" descr="Resultado de imagen para beer consumption trend">
          <a:extLst>
            <a:ext uri="{FF2B5EF4-FFF2-40B4-BE49-F238E27FC236}">
              <a16:creationId xmlns:a16="http://schemas.microsoft.com/office/drawing/2014/main" id="{02A20EF7-E9F4-4648-A9DC-B9D147176B04}"/>
            </a:ext>
            <a:ext uri="{147F2762-F138-4A5C-976F-8EAC2B608ADB}">
              <a16:predDERef xmlns:a16="http://schemas.microsoft.com/office/drawing/2014/main" pred="{73A174AE-F196-43B6-B33F-AE251C210FFE}"/>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8437"/>
    <xdr:sp macro="" textlink="">
      <xdr:nvSpPr>
        <xdr:cNvPr id="60" name="AutoShape 232" descr="Resultado de imagen para beer consumption trend">
          <a:extLst>
            <a:ext uri="{FF2B5EF4-FFF2-40B4-BE49-F238E27FC236}">
              <a16:creationId xmlns:a16="http://schemas.microsoft.com/office/drawing/2014/main" id="{3ED10B6F-8A0C-44B8-9978-680E6F17FB65}"/>
            </a:ext>
            <a:ext uri="{147F2762-F138-4A5C-976F-8EAC2B608ADB}">
              <a16:predDERef xmlns:a16="http://schemas.microsoft.com/office/drawing/2014/main" pred="{02A20EF7-E9F4-4648-A9DC-B9D147176B04}"/>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5262"/>
    <xdr:sp macro="" textlink="">
      <xdr:nvSpPr>
        <xdr:cNvPr id="61" name="AutoShape 231" descr="Resultado de imagen para beer consumption trend">
          <a:extLst>
            <a:ext uri="{FF2B5EF4-FFF2-40B4-BE49-F238E27FC236}">
              <a16:creationId xmlns:a16="http://schemas.microsoft.com/office/drawing/2014/main" id="{F004E243-F461-4E6E-8A12-4265190758FB}"/>
            </a:ext>
            <a:ext uri="{147F2762-F138-4A5C-976F-8EAC2B608ADB}">
              <a16:predDERef xmlns:a16="http://schemas.microsoft.com/office/drawing/2014/main" pred="{3ED10B6F-8A0C-44B8-9978-680E6F17FB65}"/>
            </a:ext>
          </a:extLst>
        </xdr:cNvPr>
        <xdr:cNvSpPr>
          <a:spLocks noChangeAspect="1" noChangeArrowheads="1"/>
        </xdr:cNvSpPr>
      </xdr:nvSpPr>
      <xdr:spPr bwMode="auto">
        <a:xfrm>
          <a:off x="16468725"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9071"/>
    <xdr:sp macro="" textlink="">
      <xdr:nvSpPr>
        <xdr:cNvPr id="62" name="AutoShape 232" descr="Resultado de imagen para beer consumption trend">
          <a:extLst>
            <a:ext uri="{FF2B5EF4-FFF2-40B4-BE49-F238E27FC236}">
              <a16:creationId xmlns:a16="http://schemas.microsoft.com/office/drawing/2014/main" id="{FBF804EE-814A-4039-9909-23C5879F4D2C}"/>
            </a:ext>
            <a:ext uri="{147F2762-F138-4A5C-976F-8EAC2B608ADB}">
              <a16:predDERef xmlns:a16="http://schemas.microsoft.com/office/drawing/2014/main" pred="{F004E243-F461-4E6E-8A12-4265190758FB}"/>
            </a:ext>
          </a:extLst>
        </xdr:cNvPr>
        <xdr:cNvSpPr>
          <a:spLocks noChangeAspect="1" noChangeArrowheads="1"/>
        </xdr:cNvSpPr>
      </xdr:nvSpPr>
      <xdr:spPr bwMode="auto">
        <a:xfrm>
          <a:off x="16468725"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18</xdr:row>
      <xdr:rowOff>0</xdr:rowOff>
    </xdr:from>
    <xdr:ext cx="304800" cy="308437"/>
    <xdr:sp macro="" textlink="">
      <xdr:nvSpPr>
        <xdr:cNvPr id="63" name="AutoShape 231" descr="Resultado de imagen para beer consumption trend">
          <a:extLst>
            <a:ext uri="{FF2B5EF4-FFF2-40B4-BE49-F238E27FC236}">
              <a16:creationId xmlns:a16="http://schemas.microsoft.com/office/drawing/2014/main" id="{999F8A09-15A0-4B22-876B-694CC2485B79}"/>
            </a:ext>
            <a:ext uri="{147F2762-F138-4A5C-976F-8EAC2B608ADB}">
              <a16:predDERef xmlns:a16="http://schemas.microsoft.com/office/drawing/2014/main" pred="{FBF804EE-814A-4039-9909-23C5879F4D2C}"/>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18</xdr:row>
      <xdr:rowOff>0</xdr:rowOff>
    </xdr:from>
    <xdr:ext cx="304800" cy="308437"/>
    <xdr:sp macro="" textlink="">
      <xdr:nvSpPr>
        <xdr:cNvPr id="64" name="AutoShape 232" descr="Resultado de imagen para beer consumption trend">
          <a:extLst>
            <a:ext uri="{FF2B5EF4-FFF2-40B4-BE49-F238E27FC236}">
              <a16:creationId xmlns:a16="http://schemas.microsoft.com/office/drawing/2014/main" id="{B3A80241-FC17-469E-9232-FCF5FFCFDE57}"/>
            </a:ext>
            <a:ext uri="{147F2762-F138-4A5C-976F-8EAC2B608ADB}">
              <a16:predDERef xmlns:a16="http://schemas.microsoft.com/office/drawing/2014/main" pred="{999F8A09-15A0-4B22-876B-694CC2485B79}"/>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18</xdr:row>
      <xdr:rowOff>0</xdr:rowOff>
    </xdr:from>
    <xdr:ext cx="304800" cy="305262"/>
    <xdr:sp macro="" textlink="">
      <xdr:nvSpPr>
        <xdr:cNvPr id="65" name="AutoShape 231" descr="Resultado de imagen para beer consumption trend">
          <a:extLst>
            <a:ext uri="{FF2B5EF4-FFF2-40B4-BE49-F238E27FC236}">
              <a16:creationId xmlns:a16="http://schemas.microsoft.com/office/drawing/2014/main" id="{47BB418A-1085-4AE3-A2A4-C05210E1DB8B}"/>
            </a:ext>
            <a:ext uri="{147F2762-F138-4A5C-976F-8EAC2B608ADB}">
              <a16:predDERef xmlns:a16="http://schemas.microsoft.com/office/drawing/2014/main" pred="{B3A80241-FC17-469E-9232-FCF5FFCFDE57}"/>
            </a:ext>
          </a:extLst>
        </xdr:cNvPr>
        <xdr:cNvSpPr>
          <a:spLocks noChangeAspect="1" noChangeArrowheads="1"/>
        </xdr:cNvSpPr>
      </xdr:nvSpPr>
      <xdr:spPr bwMode="auto">
        <a:xfrm>
          <a:off x="16468725"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18</xdr:row>
      <xdr:rowOff>0</xdr:rowOff>
    </xdr:from>
    <xdr:ext cx="304800" cy="309071"/>
    <xdr:sp macro="" textlink="">
      <xdr:nvSpPr>
        <xdr:cNvPr id="66" name="AutoShape 232" descr="Resultado de imagen para beer consumption trend">
          <a:extLst>
            <a:ext uri="{FF2B5EF4-FFF2-40B4-BE49-F238E27FC236}">
              <a16:creationId xmlns:a16="http://schemas.microsoft.com/office/drawing/2014/main" id="{450A0AAB-9C64-4D39-B37C-8A369C4F973A}"/>
            </a:ext>
            <a:ext uri="{147F2762-F138-4A5C-976F-8EAC2B608ADB}">
              <a16:predDERef xmlns:a16="http://schemas.microsoft.com/office/drawing/2014/main" pred="{47BB418A-1085-4AE3-A2A4-C05210E1DB8B}"/>
            </a:ext>
          </a:extLst>
        </xdr:cNvPr>
        <xdr:cNvSpPr>
          <a:spLocks noChangeAspect="1" noChangeArrowheads="1"/>
        </xdr:cNvSpPr>
      </xdr:nvSpPr>
      <xdr:spPr bwMode="auto">
        <a:xfrm>
          <a:off x="16468725"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28</xdr:col>
      <xdr:colOff>376581</xdr:colOff>
      <xdr:row>95</xdr:row>
      <xdr:rowOff>144423</xdr:rowOff>
    </xdr:from>
    <xdr:to>
      <xdr:col>31</xdr:col>
      <xdr:colOff>553052</xdr:colOff>
      <xdr:row>101</xdr:row>
      <xdr:rowOff>103451</xdr:rowOff>
    </xdr:to>
    <xdr:pic>
      <xdr:nvPicPr>
        <xdr:cNvPr id="2" name="Imagem 1">
          <a:extLst>
            <a:ext uri="{FF2B5EF4-FFF2-40B4-BE49-F238E27FC236}">
              <a16:creationId xmlns:a16="http://schemas.microsoft.com/office/drawing/2014/main" id="{86171600-BFAA-486F-896C-DEB4EC8527AC}"/>
            </a:ext>
          </a:extLst>
        </xdr:cNvPr>
        <xdr:cNvPicPr>
          <a:picLocks noChangeAspect="1"/>
        </xdr:cNvPicPr>
      </xdr:nvPicPr>
      <xdr:blipFill>
        <a:blip xmlns:r="http://schemas.openxmlformats.org/officeDocument/2006/relationships" r:embed="rId1"/>
        <a:stretch>
          <a:fillRect/>
        </a:stretch>
      </xdr:blipFill>
      <xdr:spPr>
        <a:xfrm>
          <a:off x="26310715" y="24095614"/>
          <a:ext cx="1879738" cy="908090"/>
        </a:xfrm>
        <a:prstGeom prst="rect">
          <a:avLst/>
        </a:prstGeom>
      </xdr:spPr>
    </xdr:pic>
    <xdr:clientData/>
  </xdr:twoCellAnchor>
  <xdr:twoCellAnchor>
    <xdr:from>
      <xdr:col>4</xdr:col>
      <xdr:colOff>95250</xdr:colOff>
      <xdr:row>16</xdr:row>
      <xdr:rowOff>27214</xdr:rowOff>
    </xdr:from>
    <xdr:to>
      <xdr:col>11</xdr:col>
      <xdr:colOff>854981</xdr:colOff>
      <xdr:row>30</xdr:row>
      <xdr:rowOff>95892</xdr:rowOff>
    </xdr:to>
    <xdr:graphicFrame macro="">
      <xdr:nvGraphicFramePr>
        <xdr:cNvPr id="9" name="Gráfico 2">
          <a:extLst>
            <a:ext uri="{FF2B5EF4-FFF2-40B4-BE49-F238E27FC236}">
              <a16:creationId xmlns:a16="http://schemas.microsoft.com/office/drawing/2014/main" id="{813747F1-65E3-4D83-8C5A-286DA008C844}"/>
            </a:ext>
            <a:ext uri="{147F2762-F138-4A5C-976F-8EAC2B608ADB}">
              <a16:predDERef xmlns:a16="http://schemas.microsoft.com/office/drawing/2014/main" pred="{86171600-BFAA-486F-896C-DEB4EC8527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16</xdr:row>
      <xdr:rowOff>40822</xdr:rowOff>
    </xdr:from>
    <xdr:to>
      <xdr:col>15</xdr:col>
      <xdr:colOff>750206</xdr:colOff>
      <xdr:row>30</xdr:row>
      <xdr:rowOff>109500</xdr:rowOff>
    </xdr:to>
    <xdr:graphicFrame macro="">
      <xdr:nvGraphicFramePr>
        <xdr:cNvPr id="10" name="Gráfico 2">
          <a:extLst>
            <a:ext uri="{FF2B5EF4-FFF2-40B4-BE49-F238E27FC236}">
              <a16:creationId xmlns:a16="http://schemas.microsoft.com/office/drawing/2014/main" id="{C7A6B119-2FBF-41F9-87EE-A53D83641B6A}"/>
            </a:ext>
            <a:ext uri="{147F2762-F138-4A5C-976F-8EAC2B608ADB}">
              <a16:predDERef xmlns:a16="http://schemas.microsoft.com/office/drawing/2014/main" pred="{813747F1-65E3-4D83-8C5A-286DA008C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707570</xdr:colOff>
      <xdr:row>16</xdr:row>
      <xdr:rowOff>81643</xdr:rowOff>
    </xdr:from>
    <xdr:to>
      <xdr:col>18</xdr:col>
      <xdr:colOff>616584</xdr:colOff>
      <xdr:row>30</xdr:row>
      <xdr:rowOff>150321</xdr:rowOff>
    </xdr:to>
    <xdr:graphicFrame macro="">
      <xdr:nvGraphicFramePr>
        <xdr:cNvPr id="11" name="Gráfico 2">
          <a:extLst>
            <a:ext uri="{FF2B5EF4-FFF2-40B4-BE49-F238E27FC236}">
              <a16:creationId xmlns:a16="http://schemas.microsoft.com/office/drawing/2014/main" id="{6A195EDE-DF04-4F4F-8F8A-ABD766638B49}"/>
            </a:ext>
            <a:ext uri="{147F2762-F138-4A5C-976F-8EAC2B608ADB}">
              <a16:predDERef xmlns:a16="http://schemas.microsoft.com/office/drawing/2014/main" pred="{C7A6B119-2FBF-41F9-87EE-A53D83641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68036</xdr:colOff>
      <xdr:row>16</xdr:row>
      <xdr:rowOff>81643</xdr:rowOff>
    </xdr:from>
    <xdr:to>
      <xdr:col>21</xdr:col>
      <xdr:colOff>814580</xdr:colOff>
      <xdr:row>30</xdr:row>
      <xdr:rowOff>150321</xdr:rowOff>
    </xdr:to>
    <xdr:graphicFrame macro="">
      <xdr:nvGraphicFramePr>
        <xdr:cNvPr id="12" name="Gráfico 5">
          <a:extLst>
            <a:ext uri="{FF2B5EF4-FFF2-40B4-BE49-F238E27FC236}">
              <a16:creationId xmlns:a16="http://schemas.microsoft.com/office/drawing/2014/main" id="{F3638278-5944-4261-813D-C5BE2FF7B09C}"/>
            </a:ext>
            <a:ext uri="{147F2762-F138-4A5C-976F-8EAC2B608ADB}">
              <a16:predDERef xmlns:a16="http://schemas.microsoft.com/office/drawing/2014/main" pred="{6A195EDE-DF04-4F4F-8F8A-ABD766638B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12</xdr:col>
      <xdr:colOff>301423</xdr:colOff>
      <xdr:row>6</xdr:row>
      <xdr:rowOff>2530</xdr:rowOff>
    </xdr:from>
    <xdr:to>
      <xdr:col>22</xdr:col>
      <xdr:colOff>602848</xdr:colOff>
      <xdr:row>29</xdr:row>
      <xdr:rowOff>156739</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CF0695A3-3E01-4CD9-A375-1D96DB0C52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327823" y="1158230"/>
              <a:ext cx="6841925" cy="428170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Rafael Gaspar Rodrigues" id="{8D2DD166-3F27-4539-A038-357691399EAC}" userId="S::l61704@aln.iseg.ulisboa.pt::1d5a54a4-488b-4361-b346-86e59768d22c" providerId="AD"/>
  <person displayName="Maria Correia Gonçalves" id="{FA057350-F83E-49B6-8D15-AF5D529AC39E}" userId="S::l63847@aln.iseg.ulisboa.pt::8a9b2095-7277-4a03-a312-9812dde775b8" providerId="AD"/>
  <person displayName="Raul Vasconcelos da Silva" id="{8FC7388A-B149-40B4-B48E-70DCA56CA41C}" userId="S::raul.vasconcelos@aln.iseg.ulisboa.pt::f4a05a0d-064a-4000-bf4d-254a683f4a3f"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14">
  <a r="1">
    <v t="i">0</v>
  </a>
  <a r="1">
    <v>9.82</v>
  </a>
  <a r="1">
    <v>9.7899999999999991</v>
  </a>
  <a r="1">
    <v>0.88009999999999999</v>
  </a>
  <a r="1">
    <v>1.46</v>
  </a>
  <a r="1">
    <v>8.4</v>
  </a>
  <a r="1">
    <v>9.61</v>
  </a>
  <a r="1">
    <v>25.31</v>
  </a>
  <a r="1">
    <v>20</v>
  </a>
  <a r="1">
    <v>29.65</v>
  </a>
  <a r="1">
    <v>18.754999999999999</v>
  </a>
  <a r="1">
    <v>18.850000000000001</v>
  </a>
  <a r="1">
    <v>43.1</v>
  </a>
  <a r="1">
    <v>64.260000000000005</v>
  </a>
</arrayData>
</file>

<file path=xl/richData/rdrichvalue.xml><?xml version="1.0" encoding="utf-8"?>
<rvData xmlns="http://schemas.microsoft.com/office/spreadsheetml/2017/richdata" count="25">
  <rv s="0">
    <v>https://www.bing.com/financeapi/forcetrigger?t=bx3ch7&amp;q=XNYS%3aXPOA&amp;form=skydnc</v>
    <v>Learn more on Bing</v>
  </rv>
  <rv s="1">
    <v>en-US</v>
    <v>bx3ch7</v>
    <v>268435456</v>
    <v>1</v>
    <v>Powered by Refinitiv</v>
    <v>0</v>
    <v>1</v>
    <v>D-WAVE QUANTUM INC. (XNYS:QBTS)</v>
    <v>3</v>
    <v>4</v>
    <v>Finance</v>
    <v>5</v>
    <v>29.18</v>
    <v>0.87239999999999995</v>
    <v>1.4737</v>
    <v>-0.61</v>
    <v>5.666E-3</v>
    <v>-2.4100999999999997E-2</v>
    <v>0.14000000000000001</v>
    <v>USD</v>
    <v>D-Wave Quantum Inc. is a quantum computing company, which is engaged in the development and delivery of quantum computing systems, software, and services. The Company builds and delivers systems, cloud services, application development tools, and professional services to support the end-to-end quantum computing journey for enterprises and developers. The Company's products include Cloud Platform, Systems, Professional Services, and others. Under its Cloud Platform, the Leap quantum cloud service delivers immediate, real-time access to its quantum computers and hybrid solvers services. Under its Systems, the Advantage quantum system is a quantum computer designed for business. It also offers quantum applications to a range of customers, including resource scheduling, factory scheduling, industrial construction design, drug discovery, and others. It offers solutions across workforce scheduling, production scheduling, vehicle routing, resource optimization, and cargo loading.</v>
    <v>220</v>
    <v>New York Stock Exchange</v>
    <v>XNYS</v>
    <v>XNYS</v>
    <v>2650 East Bayshore Road, PALO ALTO, CA, 94303 US</v>
    <v>25.475000000000001</v>
    <v>Software &amp; IT Services</v>
    <v>Stock</v>
    <v>45930.848039478908</v>
    <v>0</v>
    <v>23.671199999999999</v>
    <v>8447852010</v>
    <v>D-WAVE QUANTUM INC.</v>
    <v>D-WAVE QUANTUM INC.</v>
    <v>24.94</v>
    <v>25.31</v>
    <v>24.7</v>
    <v>24.85</v>
    <v>342018300</v>
    <v>QBTS</v>
    <v>D-WAVE QUANTUM INC. (XNYS:QBTS)</v>
    <v>46061994</v>
    <v>48896395</v>
    <v>2022</v>
  </rv>
  <rv s="2">
    <v>1</v>
  </rv>
  <rv s="0">
    <v>https://www.bing.com/financeapi/forcetrigger?t=bxb5m7&amp;q=XNYS%3aIONQ&amp;form=skydnc</v>
    <v>Learn more on Bing</v>
  </rv>
  <rv s="3">
    <v>pt-BR</v>
    <v>bxb5m7</v>
    <v>268435456</v>
    <v>1</v>
    <v>Da plataforma Refinitiv</v>
    <v>6</v>
    <v>7</v>
    <v>IONQ (XNYS:IONQ)</v>
    <v>3</v>
    <v>8</v>
    <v>Finance</v>
    <v>9</v>
    <v>76.129000000000005</v>
    <v>7.99</v>
    <v>XNYS</v>
    <v>323054600</v>
    <v>4.8780000000000004E-3</v>
    <v>0.3</v>
    <v>65</v>
    <v>2020</v>
    <v>60.59</v>
    <v>2.6034999999999999</v>
    <v>New York Stock Exchange</v>
    <v>19854935716</v>
    <v>IonQ, Inc. is engaged in the quantum computing and networking industry, delivering high-performance systems capable of solving complex commercial and research use cases. Its generation quantum computers, IonQ Forte and IonQ Forte Enterprise, are cutting-edge systems, boasting 36 algorithmic qubits. It sells specialized quantum computing and networking hardware together with related maintenance and support. It also sells access to several quantum computers of various qubit capacities and is in the process of researching and developing technologies for quantum computers with increasing computational capabilities. It makes access to its quantum computers available via three cloud platforms, Amazon Web Services' (AWS) Amazon Braket, Microsoft's Azure Quantum and Google's Cloud Marketplace, and also to select customers via its own cloud service. Its product portfolio also includes quantum key distribution (QKD) systems, quantum random number generators (QRNGs), and single-photon detectors.</v>
    <v>XNYS</v>
    <v>64.260000000000005</v>
    <v>407</v>
    <v>45930.848141469534</v>
    <v>3</v>
    <v>27109110</v>
    <v>USD</v>
    <v>IONQ</v>
    <v>IONQ</v>
    <v>63.59</v>
    <v>61.46</v>
    <v>61.8</v>
    <v>4505 Campus Drive, Suite 100, COLLEGE PARK, MD, 20740 US</v>
    <v>Software &amp; IT Services</v>
    <v>IONQ</v>
    <v>Ações</v>
    <v>IONQ (XNYS:IONQ)</v>
    <v>-2.8</v>
    <v>-4.3573000000000001E-2</v>
    <v>22334969</v>
  </rv>
  <rv s="2">
    <v>4</v>
  </rv>
  <rv s="0">
    <v>https://www.bing.com/financeapi/forcetrigger?t=c1uvkr&amp;q=XNAS%3aRGTI&amp;form=skydnc</v>
    <v>Learn more on Bing</v>
  </rv>
  <rv s="4">
    <v>pt-BR</v>
    <v>c1uvkr</v>
    <v>268435456</v>
    <v>1</v>
    <v>Da plataforma Refinitiv</v>
    <v>10</v>
    <v>11</v>
    <v>Rigetti (XNAS:RGTI)</v>
    <v>3</v>
    <v>12</v>
    <v>Finance</v>
    <v>9</v>
    <v>34.4</v>
    <v>0.72499999999999998</v>
    <v>XNAS</v>
    <v>324165200</v>
    <v>1.678E-3</v>
    <v>0.05</v>
    <v>30.623899999999999</v>
    <v>2022</v>
    <v>28.97</v>
    <v>1.5812999999999999</v>
    <v>Nasdaq Stock Market</v>
    <v>9656881308</v>
    <v>Rigetti Computing, Inc. is a full-stack quantum computing company. The Company operates quantum computers over the cloud and serves global enterprise, government, and research clients through its Rigetti Quantum Cloud Services platform. The Company’s quantum-classical infrastructure provides high-performance integration with public and private clouds for practical quantum computing. It has developed a multi-chip quantum processor for scalable quantum computing systems. Through the Company’s Quantum Computing as a Service (QCaaS) platform, its machines can be integrated into any public, private or hybrid cloud. It is also engaged in the sale of quantum processing units (QPUs) and custom computing components, and development contracts and other services. Its QPUs contain fabricated silicon-based chips featuring superconducting qubits. The Company designs and manufactures its chips in-house at Fab-1, an integrated quantum device manufacturing facility.</v>
    <v>XNAS</v>
    <v>29.65</v>
    <v>137</v>
    <v>45930.848077094532</v>
    <v>6</v>
    <v>67848508</v>
    <v>USD</v>
    <v>Rigetti</v>
    <v>Rigetti</v>
    <v>0</v>
    <v>29.22</v>
    <v>29.79</v>
    <v>29.84</v>
    <v>775 Heinz Avenue, BERKELEY, CA, 94710 US</v>
    <v>Semiconductors &amp; Semiconductor Equipment</v>
    <v>RGTI</v>
    <v>Ações</v>
    <v>Rigetti (XNAS:RGTI)</v>
    <v>0.14000000000000001</v>
    <v>4.7220000000000005E-3</v>
    <v>71701882</v>
  </rv>
  <rv s="2">
    <v>7</v>
  </rv>
  <rv s="0">
    <v>https://www.bing.com/financeapi/forcetrigger?t=bgr8c7&amp;q=XNAS%3aQUBT&amp;form=skydnc</v>
    <v>Learn more on Bing</v>
  </rv>
  <rv s="4">
    <v>pt-BR</v>
    <v>bgr8c7</v>
    <v>268435456</v>
    <v>1</v>
    <v>Da plataforma Refinitiv</v>
    <v>10</v>
    <v>11</v>
    <v>Quantum (XNAS:QUBT)</v>
    <v>3</v>
    <v>12</v>
    <v>Finance</v>
    <v>9</v>
    <v>27.15</v>
    <v>0.6391</v>
    <v>XNAS</v>
    <v>186750500</v>
    <v>3.8019999999999998E-3</v>
    <v>7.0000000000000007E-2</v>
    <v>19.29</v>
    <v>2018</v>
    <v>18.21</v>
    <v>3.8656000000000001</v>
    <v>Nasdaq Stock Market</v>
    <v>3438076705</v>
    <v xml:space="preserve">Quantum Computing Inc. is an integrated quantum optics and nanophotonic technology company. The Company is utilizing integrated photonics and non-linear quantum optics to develop and deliver machines for quantum computing, reservoir computing, and remote sensing, imaging and cybersecurity applications. Its products are designed to operate at room temperature and low power. Its Entropy Quantum Computer is a full-stack system, incorporating the Company’s custom user interface software Qatalyst, which allows users to avoid the complexity of software development kits at the circuit level and has evolved from the Company’s primary Software as a Service offering to the software that powers its offerings. Its Reservoir Computer is a device that uses an integrated circuit that can be reprogrammed after manufacturing and optimized for recurrent neural network applications. Its Quantum Photonic Vibrometer is a proprietary, instrument for remote vibration detection, sensing, and inspection. </v>
    <v>XNAS</v>
    <v>18.850000000000001</v>
    <v>41</v>
    <v>45930.848034964845</v>
    <v>9</v>
    <v>30507758</v>
    <v>USD</v>
    <v>Quantum</v>
    <v>Quantum</v>
    <v>0</v>
    <v>18.850000000000001</v>
    <v>18.41</v>
    <v>18.48</v>
    <v>5 MARINE VIEW PLZ, SUITE 214, HOBOKEN, NJ, 07030 US</v>
    <v>Software &amp; IT Services</v>
    <v>QUBT</v>
    <v>Ações</v>
    <v>Quantum (XNAS:QUBT)</v>
    <v>-0.44</v>
    <v>-2.3342000000000002E-2</v>
    <v>20727650</v>
  </rv>
  <rv s="2">
    <v>10</v>
  </rv>
  <rv s="5">
    <v>13</v>
    <v>QBTS</v>
    <v>Daily</v>
    <v>44561</v>
    <v>44561</v>
    <v>0</v>
    <v>1</v>
    <v>637765056000000000,638799740270536304,0</v>
    <v>0</v>
    <v>bx3ch7</v>
    <v>XNYS:QBTS</v>
    <v>1</v>
  </rv>
  <rv s="5">
    <v>13</v>
    <v>QBTS</v>
    <v>Daily</v>
    <v>44559</v>
    <v>44559</v>
    <v>0</v>
    <v>1</v>
    <v>637763328000000000,638799740270994287,0</v>
    <v>0</v>
    <v>bx3ch7</v>
    <v>XNYS:QBTS</v>
    <v>2</v>
  </rv>
  <rv s="5">
    <v>13</v>
    <v>QBTS</v>
    <v>Daily</v>
    <v>45289</v>
    <v>45289</v>
    <v>0</v>
    <v>1</v>
    <v>638394048000000000,638799740271681275,0</v>
    <v>0</v>
    <v>bx3ch7</v>
    <v>XNYS:QBTS</v>
    <v>3</v>
  </rv>
  <rv s="5">
    <v>13</v>
    <v>QBTS</v>
    <v>Daily</v>
    <v>44924</v>
    <v>44924</v>
    <v>0</v>
    <v>1</v>
    <v>638078688000000000,638799740272432943,0</v>
    <v>0</v>
    <v>bx3ch7</v>
    <v>XNYS:QBTS</v>
    <v>4</v>
  </rv>
  <rv s="5">
    <v>13</v>
    <v>QBTS</v>
    <v>Daily</v>
    <v>45657</v>
    <v>45657</v>
    <v>0</v>
    <v>1</v>
    <v>638712000000000000,638799740272656992,0</v>
    <v>0</v>
    <v>bx3ch7</v>
    <v>XNYS:QBTS</v>
    <v>5</v>
  </rv>
  <rv s="5">
    <v>13</v>
    <v>QBTS</v>
    <v>Daily</v>
    <v>45659</v>
    <v>45659</v>
    <v>0</v>
    <v>1</v>
    <v>638713728000000000,638799740270124515,0</v>
    <v>0</v>
    <v>bx3ch7</v>
    <v>XNYS:QBTS</v>
    <v>6</v>
  </rv>
  <rv s="5">
    <v>13</v>
    <v>QBTS</v>
    <v>Daily</v>
    <v>45929</v>
    <v>45929</v>
    <v>0</v>
    <v>1</v>
    <v>638947008000000000,638948604794902591,0</v>
    <v>0</v>
    <v>bx3ch7</v>
    <v>XNYS:QBTS</v>
    <v>7</v>
  </rv>
  <rv s="5">
    <v>13</v>
    <v>RGTI</v>
    <v>Daily</v>
    <v>45659</v>
    <v>45659</v>
    <v>0</v>
    <v>1</v>
    <v>638713728000000000,638799740270927111,0</v>
    <v>0</v>
    <v>c1uvkr</v>
    <v>XNAS:RGTI</v>
    <v>8</v>
  </rv>
  <rv s="5">
    <v>13</v>
    <v>RGTI</v>
    <v>Daily</v>
    <v>45929</v>
    <v>45929</v>
    <v>0</v>
    <v>1</v>
    <v>638947008000000000,638948604794287237,0</v>
    <v>0</v>
    <v>c1uvkr</v>
    <v>XNAS:RGTI</v>
    <v>9</v>
  </rv>
  <rv s="5">
    <v>13</v>
    <v>QUBT</v>
    <v>Daily</v>
    <v>45659</v>
    <v>45659</v>
    <v>0</v>
    <v>1</v>
    <v>638713728000000000,638799740270246960,0</v>
    <v>0</v>
    <v>bgr8c7</v>
    <v>XNAS:QUBT</v>
    <v>10</v>
  </rv>
  <rv s="5">
    <v>13</v>
    <v>QUBT</v>
    <v>Daily</v>
    <v>45929</v>
    <v>45929</v>
    <v>0</v>
    <v>1</v>
    <v>638947008000000000,638948604794132861,0</v>
    <v>0</v>
    <v>bgr8c7</v>
    <v>XNAS:QUBT</v>
    <v>11</v>
  </rv>
  <rv s="5">
    <v>13</v>
    <v>IONQ</v>
    <v>Daily</v>
    <v>45659</v>
    <v>45659</v>
    <v>0</v>
    <v>1</v>
    <v>638713728000000000,638799740270357787,0</v>
    <v>0</v>
    <v>bxb5m7</v>
    <v>XNYS:IONQ</v>
    <v>12</v>
  </rv>
  <rv s="5">
    <v>13</v>
    <v>IONQ</v>
    <v>Daily</v>
    <v>45929</v>
    <v>45929</v>
    <v>0</v>
    <v>1</v>
    <v>638947008000000000,638948604794591311,0</v>
    <v>0</v>
    <v>bxb5m7</v>
    <v>XNYS:IONQ</v>
    <v>13</v>
  </rv>
</rvData>
</file>

<file path=xl/richData/rdrichvaluestructure.xml><?xml version="1.0" encoding="utf-8"?>
<rvStructures xmlns="http://schemas.microsoft.com/office/spreadsheetml/2017/richdata" count="6">
  <s t="_hyperlink">
    <k n="Address" t="s"/>
    <k n="Text" t="s"/>
  </s>
  <s t="_linkedentitycore">
    <k n="%EntityCulture" t="s"/>
    <k n="%EntityId" t="s"/>
    <k n="%EntityServiceId"/>
    <k n="%IsRefreshable" t="b"/>
    <k n="%ProviderInfo" t="s"/>
    <k n="_CanonicalPropertyNames" t="spb"/>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Price (Extended hours)"/>
    <k n="Shares outstanding"/>
    <k n="Ticker symbol" t="s"/>
    <k n="UniqueName" t="s"/>
    <k n="Volume"/>
    <k n="Volume average"/>
    <k n="Year incorporated"/>
  </s>
  <s t="_linkedentity">
    <k n="%cvi" t="r"/>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eração % (Horário prolongado)"/>
    <k n="Alteração (Horário prolongad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ndência"/>
    <k n="Preço"/>
    <k n="Preço (Horário prolongad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eração % (Horário prolongado)"/>
    <k n="Alteração (Horário prolongad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
    <k n="Pendência"/>
    <k n="Preço"/>
    <k n="Preço (Horário prolongado)"/>
    <k n="Sede" t="s"/>
    <k n="Setor" t="s"/>
    <k n="Símbolo do ticker" t="s"/>
    <k n="Tipo de instrumento" t="s"/>
    <k n="UniqueName" t="s"/>
    <k n="Variação"/>
    <k n="Variação (%)"/>
    <k n="Volume"/>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Arrays count="3">
    <a count="45">
      <v t="s">%EntityServiceId</v>
      <v t="s">_Format</v>
      <v t="s">%IsRefreshable</v>
      <v t="s">_CanonicalPropertyNames</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45">
      <v t="s">%EntityServiceId</v>
      <v t="s">_Format</v>
      <v t="s">%IsRefreshable</v>
      <v t="s">_CanonicalPropertyNames</v>
      <v t="s">%EntityCulture</v>
      <v t="s">%EntityId</v>
      <v t="s">_Icon</v>
      <v t="s">_Display</v>
      <v t="s">Nome</v>
      <v t="s">_SubLabel</v>
      <v t="s">Preço</v>
      <v t="s">Preço (Horário prolongado)</v>
      <v t="s">Bolsa</v>
      <v t="s">Nome oficial</v>
      <v t="s">Hora da última transação</v>
      <v t="s">Símbolo do ticker</v>
      <v t="s">Abreviatura do câmbio</v>
      <v t="s">Variação</v>
      <v t="s">Alteração (Horário prolongado)</v>
      <v t="s">Variação (%)</v>
      <v t="s">Alteração % (Horário prolongado)</v>
      <v t="s">Moeda</v>
      <v t="s">Fechamento anterior</v>
      <v t="s">Pendência</v>
      <v t="s">Alto</v>
      <v t="s">Baixo</v>
      <v t="s">52 semanas de alta</v>
      <v t="s">52 semanas de baixa</v>
      <v t="s">Volume</v>
      <v t="s">Média de volume</v>
      <v t="s">Capitalização de mercado</v>
      <v t="s">Beta</v>
      <v t="s">Ações em circulação</v>
      <v t="s">Descrição</v>
      <v t="s">Funcionários</v>
      <v t="s">Sede</v>
      <v t="s">Setor</v>
      <v t="s">Tipo de instrumento</v>
      <v t="s">Ano de incorporação</v>
      <v t="s">_Flags</v>
      <v t="s">UniqueName</v>
      <v t="s">_DisplayString</v>
      <v t="s">LearnMoreOnLink</v>
      <v t="s">ExchangeID</v>
      <v t="s">%ProviderInfo</v>
    </a>
    <a count="46">
      <v t="s">%EntityServiceId</v>
      <v t="s">_Format</v>
      <v t="s">%IsRefreshable</v>
      <v t="s">_CanonicalPropertyNames</v>
      <v t="s">%EntityCulture</v>
      <v t="s">%EntityId</v>
      <v t="s">_Icon</v>
      <v t="s">_Display</v>
      <v t="s">Nome</v>
      <v t="s">_SubLabel</v>
      <v t="s">Preço</v>
      <v t="s">Preço (Horário prolongado)</v>
      <v t="s">Bolsa</v>
      <v t="s">Nome oficial</v>
      <v t="s">Hora da última transação</v>
      <v t="s">Símbolo do ticker</v>
      <v t="s">Abreviatura do câmbio</v>
      <v t="s">Variação</v>
      <v t="s">Alteração (Horário prolongado)</v>
      <v t="s">Variação (%)</v>
      <v t="s">Alteração % (Horário prolongado)</v>
      <v t="s">Moeda</v>
      <v t="s">Fechamento anterior</v>
      <v t="s">Pendência</v>
      <v t="s">Alto</v>
      <v t="s">Baixo</v>
      <v t="s">52 semanas de alta</v>
      <v t="s">52 semanas de baixa</v>
      <v t="s">Volume</v>
      <v t="s">Média de volume</v>
      <v t="s">Capitalização de mercado</v>
      <v t="s">Beta</v>
      <v t="s">P/E</v>
      <v t="s">Ações em circulação</v>
      <v t="s">Descrição</v>
      <v t="s">Funcionários</v>
      <v t="s">Sede</v>
      <v t="s">Setor</v>
      <v t="s">Tipo de instrumento</v>
      <v t="s">Ano de incorporação</v>
      <v t="s">_Flags</v>
      <v t="s">UniqueName</v>
      <v t="s">_DisplayString</v>
      <v t="s">LearnMoreOnLink</v>
      <v t="s">ExchangeID</v>
      <v t="s">%ProviderInfo</v>
    </a>
  </spbArrays>
  <spbData count="14">
    <spb s="0">
      <v>Low</v>
      <v>Beta</v>
      <v>High</v>
      <v>Name</v>
      <v>Open</v>
      <v>Price</v>
      <v>Change</v>
      <v>Volume</v>
      <v>Currency</v>
      <v>Exchange</v>
      <v>Industry</v>
      <v>Employees</v>
      <v>Change (%)</v>
      <v>ExchangeID</v>
      <v>Market cap</v>
      <v>UniqueName</v>
      <v>52 week low</v>
      <v>Description</v>
      <v>52 week high</v>
      <v>Headquarters</v>
      <v>%ProviderInfo</v>
      <v>Official name</v>
      <v>Ticker symbol</v>
      <v>Previous close</v>
      <v>Volume average</v>
      <v>Instrument type</v>
      <v>Last trade time</v>
      <v>LearnMoreOnLink</v>
      <v>Year incorporated</v>
      <v>Shares outstanding</v>
      <v>Exchange abbreviation</v>
      <v>Price (Extended hours)</v>
      <v>Change (Extended hours)</v>
      <v>Change % (Extended hours)</v>
    </spb>
    <spb s="1">
      <v>0</v>
      <v>Name</v>
      <v>LearnMoreOnLink</v>
    </spb>
    <spb s="2">
      <v>0</v>
      <v>0</v>
      <v>0</v>
    </spb>
    <spb s="3">
      <v>2</v>
      <v>2</v>
      <v>2</v>
      <v>2</v>
    </spb>
    <spb s="4">
      <v>1</v>
      <v>2</v>
      <v>1</v>
      <v>3</v>
      <v>1</v>
      <v>1</v>
      <v>1</v>
      <v>4</v>
      <v>4</v>
      <v>5</v>
      <v>6</v>
      <v>1</v>
      <v>1</v>
      <v>1</v>
      <v>4</v>
      <v>7</v>
      <v>8</v>
      <v>9</v>
      <v>4</v>
      <v>1</v>
      <v>1</v>
      <v>5</v>
    </spb>
    <spb s="5">
      <v>at close</v>
      <v>from previous close</v>
      <v>from previous close</v>
      <v>Source: Nasdaq Last Sale</v>
      <v>GMT</v>
      <v>Real-Time Nasdaq Last Sale</v>
      <v>from close</v>
      <v>from close</v>
    </spb>
    <spb s="6">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v>Price (Extended hours)</v>
      <v>Change (Extended hours)</v>
      <v>Change % (Extended hours)</v>
    </spb>
    <spb s="1">
      <v>1</v>
      <v>Name</v>
      <v>LearnMoreOnLink</v>
    </spb>
    <spb s="7">
      <v>1</v>
      <v>2</v>
      <v>3</v>
      <v>1</v>
      <v>1</v>
      <v>4</v>
      <v>1</v>
      <v>1</v>
      <v>4</v>
      <v>5</v>
      <v>4</v>
      <v>9</v>
      <v>1</v>
      <v>1</v>
      <v>8</v>
      <v>4</v>
      <v>1</v>
      <v>6</v>
      <v>7</v>
      <v>1</v>
      <v>1</v>
      <v>5</v>
    </spb>
    <spb s="8">
      <v xml:space="preserve">no fechamento </v>
      <v xml:space="preserve">do fechamento anterior </v>
      <v>Origem : Nasdaq Última venda</v>
      <v xml:space="preserve">do fechamento anterior </v>
      <v>GMT</v>
      <v>Tempo Real Nasdaq Última venda</v>
      <v xml:space="preserve">do fechamento </v>
      <v xml:space="preserve">do fechamento </v>
    </spb>
    <spb s="9">
      <v>P/E</v>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v>Price (Extended hours)</v>
      <v>Change (Extended hours)</v>
      <v>Change % (Extended hours)</v>
    </spb>
    <spb s="1">
      <v>2</v>
      <v>Name</v>
      <v>LearnMoreOnLink</v>
    </spb>
    <spb s="10">
      <v>2</v>
      <v>1</v>
      <v>2</v>
      <v>3</v>
      <v>1</v>
      <v>1</v>
      <v>4</v>
      <v>1</v>
      <v>1</v>
      <v>4</v>
      <v>5</v>
      <v>4</v>
      <v>9</v>
      <v>1</v>
      <v>1</v>
      <v>8</v>
      <v>4</v>
      <v>1</v>
      <v>6</v>
      <v>7</v>
      <v>1</v>
      <v>1</v>
      <v>5</v>
    </spb>
    <spb s="11">
      <v>10</v>
      <v>1</v>
    </spb>
  </spbData>
</supportingPropertyBags>
</file>

<file path=xl/richData/rdsupportingpropertybagstructure.xml><?xml version="1.0" encoding="utf-8"?>
<spbStructures xmlns="http://schemas.microsoft.com/office/spreadsheetml/2017/richdata2" count="12">
  <s>
    <k n="Low" t="s"/>
    <k n="Beta" t="s"/>
    <k n="High" t="s"/>
    <k n="Name" t="s"/>
    <k n="Open" t="s"/>
    <k n="Price" t="s"/>
    <k n="Change" t="s"/>
    <k n="Volume" t="s"/>
    <k n="Currency" t="s"/>
    <k n="Exchange" t="s"/>
    <k n="Industry" t="s"/>
    <k n="Employees" t="s"/>
    <k n="Change (%)" t="s"/>
    <k n="ExchangeID" t="s"/>
    <k n="Market cap" t="s"/>
    <k n="UniqueName" t="s"/>
    <k n="52 week low" t="s"/>
    <k n="Description" t="s"/>
    <k n="52 week high" t="s"/>
    <k n="Headquarters" t="s"/>
    <k n="%ProviderInfo" t="s"/>
    <k n="Official name" t="s"/>
    <k n="Ticker symbol" t="s"/>
    <k n="Previous close" t="s"/>
    <k n="Volume average" t="s"/>
    <k n="Instrument type" t="s"/>
    <k n="Last trade time" t="s"/>
    <k n="LearnMoreOnLink" t="s"/>
    <k n="Year incorporated" t="s"/>
    <k n="Shares outstanding" t="s"/>
    <k n="Exchange abbreviation" t="s"/>
    <k n="Price (Extended hours)" t="s"/>
    <k n="Change (Extended hours)" t="s"/>
    <k n="Change % (Extended hours)" t="s"/>
  </s>
  <s>
    <k n="^Order" t="spba"/>
    <k n="TitleProperty" t="s"/>
    <k n="SubTitleProperty" t="s"/>
  </s>
  <s>
    <k n="ShowInCardView" t="b"/>
    <k n="ShowInDotNotation" t="b"/>
    <k n="ShowInAutoComplete" t="b"/>
  </s>
  <s>
    <k n="ExchangeID" t="spb"/>
    <k n="UniqueName" t="spb"/>
    <k n="`%ProviderInfo" t="spb"/>
    <k n="LearnMoreOnLink" t="spb"/>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k n="Preço (Horário prolongado)" t="s"/>
    <k n="Alteração (Horário prolongado)" t="s"/>
    <k n="Alteração % (Horário prolongado)" t="s"/>
  </s>
  <s>
    <k n="Alto" t="i"/>
    <k n="Beta" t="i"/>
    <k n="Nome" t="i"/>
    <k n="Baixo" t="i"/>
    <k n="Preço"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k n="Preço (Horário prolongado)" t="i"/>
    <k n="Alteração (Horário prolongado)" t="i"/>
    <k n="Alteração % (Horário prolongado)" t="i"/>
  </s>
  <s>
    <k n="Preço" t="s"/>
    <k n="Variação" t="s"/>
    <k n="ExchangeID" t="s"/>
    <k n="Variação (%)" t="s"/>
    <k n="Hora da última transação" t="s"/>
    <k n="Preço (Horário prolongado)" t="s"/>
    <k n="Alteração (Horário prolongado)" t="s"/>
    <k n="Alteração % (Horário prolongado)" t="s"/>
  </s>
  <s>
    <k n="P/E" t="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k n="Preço (Horário prolongado)" t="s"/>
    <k n="Alteração (Horário prolongado)" t="s"/>
    <k n="Alteração % (Horário prolongado)" t="s"/>
  </s>
  <s>
    <k n="P/E" t="i"/>
    <k n="Alto" t="i"/>
    <k n="Beta" t="i"/>
    <k n="Nome" t="i"/>
    <k n="Baixo" t="i"/>
    <k n="Preço"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k n="Preço (Horário prolongado)" t="i"/>
    <k n="Alteração (Horário prolongado)" t="i"/>
    <k n="Alteração % (Horário prolongado)" t="i"/>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0" formatCode="General"/>
    </x:dxf>
    <x:dxf>
      <x:numFmt numFmtId="2" formatCode="0.00"/>
    </x:dxf>
    <x:dxf>
      <x:numFmt numFmtId="27" formatCode="dd/mm/yyyy\ hh:mm"/>
    </x:dxf>
    <x:dxf>
      <x:numFmt numFmtId="14" formatCode="0.00%"/>
    </x:dxf>
    <x:dxf>
      <x:numFmt numFmtId="3" formatCode="#,##0"/>
    </x:dxf>
    <x:dxf>
      <x:numFmt numFmtId="4" formatCode="#,##0.00"/>
    </x:dxf>
    <x:dxf>
      <x:numFmt numFmtId="1" formatCode="0"/>
    </x:dxf>
    <x:dxf>
      <x:numFmt numFmtId="19" formatCode="dd/mm/yyyy"/>
    </x:dxf>
  </dxfs>
  <richProperties>
    <rPr n="NumberFormat" t="s"/>
    <rPr n="IsTitleField" t="b"/>
  </richProperties>
  <richStyles>
    <rSty dxfid="0">
      <rpv i="0">_([$$-en-US]* #,##0.00_);_([$$-en-US]* (#,##0.00);_([$$-en-US]* "-"??_);_(@_)</rpv>
    </rSty>
    <rSty dxfid="5">
      <rpv i="0">#,##0.00</rpv>
    </rSty>
    <rSty>
      <rpv i="1">1</rpv>
    </rSty>
    <rSty dxfid="4">
      <rpv i="0">#,##0</rpv>
    </rSty>
    <rSty dxfid="3"/>
    <rSty dxfid="0">
      <rpv i="0">_([$$-en-US]* #,##0_);_([$$-en-US]* (#,##0);_([$$-en-US]* "-"_);_(@_)</rpv>
    </rSty>
    <rSty dxfid="2"/>
    <rSty dxfid="6">
      <rpv i="0">0</rpv>
    </rSty>
    <rSty dxfid="1">
      <rpv i="0">0.00</rpv>
    </rSty>
    <rSty dxfid="7"/>
  </richStyles>
</richStyleSheet>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801414"/>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N5" dT="2025-04-18T18:37:39.03" personId="{FA057350-F83E-49B6-8D15-AF5D529AC39E}" id="{97499253-CA62-4967-9EE2-A69D600AA52B}">
    <text>Source: https://www.dwavequantum.com/company/newsroom/press-release/d-wave-and-carahsoft-partner-to-expand-distribution-of-quantum-computing-solutions-to-the-public-sector/</text>
    <extLst>
      <x:ext xmlns:xltc2="http://schemas.microsoft.com/office/spreadsheetml/2020/threadedcomments2" uri="{F7C98A9C-CBB3-438F-8F68-D28B6AF4A901}">
        <xltc2:checksum>352679518</xltc2:checksum>
        <xltc2:hyperlink startIndex="8" length="164" url="https://www.dwavequantum.com/company/newsroom/press-release/d-wave-and-carahsoft-partner-to-expand-distribution-of-quantum-computing-solutions-to-the-public-sector/"/>
      </x:ext>
    </extLst>
  </threadedComment>
  <threadedComment ref="K49" dT="2025-04-09T20:31:49.84" personId="{FA057350-F83E-49B6-8D15-AF5D529AC39E}" id="{5A30B1DF-0443-4E8C-A706-00F3A1DDDAD0}">
    <text>The small decrease in workforce size should be viewed in the context of broader changes across the quantum computing industry. Source: stock analysis</text>
  </threadedComment>
  <threadedComment ref="H53" dT="2025-04-13T10:28:37.45" personId="{FA057350-F83E-49B6-8D15-AF5D529AC39E}" id="{BAE893F3-E1E1-46D6-9F3C-E7CCC44E9425}">
    <text>Source: Financial Times</text>
  </threadedComment>
  <threadedComment ref="K53" dT="2025-04-13T10:24:47.52" personId="{FA057350-F83E-49B6-8D15-AF5D529AC39E}" id="{A70B7508-A853-4C7D-B153-EA9FE9D94232}">
    <text>Source: TipRanks</text>
  </threadedComment>
  <threadedComment ref="O55" dT="2025-04-13T10:47:01.58" personId="{FA057350-F83E-49B6-8D15-AF5D529AC39E}" id="{633474A3-6440-44D9-B3C4-FE5CB51C58F0}">
    <text>Source: Glassdoor</text>
  </threadedComment>
  <threadedComment ref="H63" dT="2025-04-13T15:36:14.71" personId="{FA057350-F83E-49B6-8D15-AF5D529AC39E}" id="{5473EFA5-5FE8-4109-84F3-E2D9933CC453}">
    <text>Source: dwavequantum.com</text>
  </threadedComment>
  <threadedComment ref="K67" dT="2025-04-13T16:30:43.25" personId="{FA057350-F83E-49B6-8D15-AF5D529AC39E}" id="{2CA9A5FD-8FFC-4B84-9145-049210D4580E}">
    <text>Source: dwavefederal.com</text>
  </threadedComment>
  <threadedComment ref="H84" dT="2025-04-14T13:45:00.98" personId="{FA057350-F83E-49B6-8D15-AF5D529AC39E}" id="{09A142DF-4C86-424C-9278-65D63208B1F4}">
    <text xml:space="preserve">Source: IBM Research Blog, April 2022
</text>
  </threadedComment>
  <threadedComment ref="O84" dT="2025-04-14T13:47:21.61" personId="{FA057350-F83E-49B6-8D15-AF5D529AC39E}" id="{1A3CE29F-ECD4-4566-8024-DABB0786D040}">
    <text>Source: arXiv, june 2021</text>
  </threadedComment>
  <threadedComment ref="O90" dT="2025-04-14T14:34:02.64" personId="{FA057350-F83E-49B6-8D15-AF5D529AC39E}" id="{2A3849FF-0007-45E7-A464-807E11C88037}">
    <text>Source: Audit Analytics</text>
  </threadedComment>
  <threadedComment ref="K94" dT="2025-04-14T15:13:17.15" personId="{FA057350-F83E-49B6-8D15-AF5D529AC39E}" id="{E3F2C29E-DC13-4BEB-8078-0A02D4AB6398}">
    <text xml:space="preserve">Source: D-Wave’s SEC filings </text>
  </threadedComment>
</ThreadedComments>
</file>

<file path=xl/threadedComments/threadedComment2.xml><?xml version="1.0" encoding="utf-8"?>
<ThreadedComments xmlns="http://schemas.microsoft.com/office/spreadsheetml/2018/threadedcomments" xmlns:x="http://schemas.openxmlformats.org/spreadsheetml/2006/main">
  <threadedComment ref="B121" dT="2025-02-26T18:55:21.53" personId="{8FC7388A-B149-40B4-B48E-70DCA56CA41C}" id="{CB5C8E83-E3D0-4441-B6E0-D862C650B5F5}">
    <text>Chipotle does not have any Intangibles in its Balance Sheet, except for Goodwill. Hence Depreciation and Amortization are forecasted only as % of PP&amp;E.</text>
  </threadedComment>
  <threadedComment ref="B135" dT="2025-02-26T18:54:39.98" personId="{8FC7388A-B149-40B4-B48E-70DCA56CA41C}" id="{CE396053-595E-4126-9C71-0875E5897884}">
    <text xml:space="preserve">Forecasted based on net number of stores opening </text>
  </threadedComment>
  <threadedComment ref="B152" dT="2025-02-26T17:14:37.81" personId="{8FC7388A-B149-40B4-B48E-70DCA56CA41C}" id="{E2CDF95A-7B2F-4661-BCB3-C007122C6CFD}">
    <text>Payment for Right of Use Assets are recognized as occupancy costs under SG&amp;A expenses.</text>
  </threadedComment>
  <threadedComment ref="B155" dT="2025-02-26T17:14:37.81" personId="{8FC7388A-B149-40B4-B48E-70DCA56CA41C}" id="{CD092673-94DE-4108-B6AF-FC73424C056A}">
    <text>Payment for Right of Use Assets are recognized as occupancy costs under SG&amp;A expenses.</text>
  </threadedComment>
  <threadedComment ref="B157" dT="2025-02-26T17:14:37.81" personId="{8FC7388A-B149-40B4-B48E-70DCA56CA41C}" id="{62E50C66-BA1C-4031-B660-F25771E0B7AB}">
    <text>Payment for Right of Use Assets are recognized as occupancy costs under SG&amp;A expenses.</text>
  </threadedComment>
  <threadedComment ref="B164" dT="2025-02-26T17:14:37.81" personId="{8FC7388A-B149-40B4-B48E-70DCA56CA41C}" id="{9EF6C6D7-5E70-49FE-A672-ED08A0372EC5}">
    <text>Payment for Right of Use Assets are recognized as occupancy costs under SG&amp;A expenses.</text>
  </threadedComment>
</ThreadedComments>
</file>

<file path=xl/threadedComments/threadedComment3.xml><?xml version="1.0" encoding="utf-8"?>
<ThreadedComments xmlns="http://schemas.microsoft.com/office/spreadsheetml/2018/threadedcomments" xmlns:x="http://schemas.openxmlformats.org/spreadsheetml/2006/main">
  <threadedComment ref="N9" dT="2025-04-02T19:53:13.58" personId="{8D2DD166-3F27-4539-A038-357691399EAC}" id="{A4D661DD-10B0-44E4-B82E-442DFCF8EECE}">
    <text>Includes general and administrative and sales and marketing</text>
  </threadedComment>
  <threadedComment ref="O9" dT="2025-04-02T19:53:25.18" personId="{8D2DD166-3F27-4539-A038-357691399EAC}" id="{DA74278F-2B10-4A90-9923-4778C8865FA7}">
    <text>Includes general and administrative and sales and marketing</text>
  </threadedComment>
  <threadedComment ref="P9" dT="2025-04-02T19:53:30.66" personId="{8D2DD166-3F27-4539-A038-357691399EAC}" id="{D6B4285D-8A9C-4A88-911E-29C55ABE273B}">
    <text>Includes general and administrative and sales and marketing</text>
  </threadedComment>
  <threadedComment ref="Q9" dT="2025-04-02T19:53:36.29" personId="{8D2DD166-3F27-4539-A038-357691399EAC}" id="{1CCAA643-4D3D-4BD3-91BB-59E51EA762B2}">
    <text>Includes general and administrative and sales and marketing</text>
  </threadedComment>
  <threadedComment ref="N12" dT="2025-04-10T01:48:05.22" personId="{8D2DD166-3F27-4539-A038-357691399EAC}" id="{43027C90-94CA-4B43-9113-A1EFA7B4B318}">
    <text>not reported, bloomberg</text>
  </threadedComment>
  <threadedComment ref="O12" dT="2025-04-10T01:48:18.22" personId="{8D2DD166-3F27-4539-A038-357691399EAC}" id="{72027D71-D49B-41D4-B2E0-B85D176AF73E}">
    <text>not reported, bloomberg</text>
  </threadedComment>
  <threadedComment ref="P12" dT="2025-04-10T01:48:28.33" personId="{8D2DD166-3F27-4539-A038-357691399EAC}" id="{FEE5DE30-D444-45BF-BEC2-BDE14940FB03}">
    <text>not reported, bloomberg</text>
  </threadedComment>
  <threadedComment ref="Q12" dT="2025-04-10T01:48:38.16" personId="{8D2DD166-3F27-4539-A038-357691399EAC}" id="{BA2DA153-2865-477B-BAFB-1CE7DE8F9C7F}">
    <text>not reported, bloomberg</text>
  </threadedComment>
  <threadedComment ref="N13" dT="2025-04-02T20:00:05.42" personId="{8D2DD166-3F27-4539-A038-357691399EAC}" id="{32919114-FA40-48B3-B403-D1480BE8010F}">
    <text xml:space="preserve">as reported in the annual report </text>
  </threadedComment>
  <threadedComment ref="O13" dT="2025-04-02T19:59:19.84" personId="{8D2DD166-3F27-4539-A038-357691399EAC}" id="{91574140-23FB-4030-B8D9-C52ABF453AE4}">
    <text xml:space="preserve">as reported in the annual report </text>
  </threadedComment>
  <threadedComment ref="P13" dT="2025-04-02T19:58:48.10" personId="{8D2DD166-3F27-4539-A038-357691399EAC}" id="{14D1EB4B-0FA3-409C-8182-FED757F1F610}">
    <text xml:space="preserve">as reported in the annual report </text>
  </threadedComment>
  <threadedComment ref="Q13" dT="2025-04-02T19:58:26.20" personId="{8D2DD166-3F27-4539-A038-357691399EAC}" id="{A12E7CAC-66A1-42BF-BA7A-92775314F4A3}">
    <text xml:space="preserve">as reported in the annual report </text>
  </threadedComment>
  <threadedComment ref="N22" dT="2025-04-10T01:50:46.12" personId="{8D2DD166-3F27-4539-A038-357691399EAC}" id="{26960ECD-B815-4EFE-B90B-89C410EA2CF2}">
    <text>bloomberg</text>
  </threadedComment>
  <threadedComment ref="N24" dT="2025-04-10T01:50:57.54" personId="{8D2DD166-3F27-4539-A038-357691399EAC}" id="{76AFA668-EC48-4E24-A577-991EA0A2F170}">
    <text>bloomberg</text>
  </threadedComment>
  <threadedComment ref="N42" dT="2025-04-02T20:59:26.37" personId="{8D2DD166-3F27-4539-A038-357691399EAC}" id="{FB486923-E7EE-40FD-974C-C92687E3DDD9}">
    <text>Operating lease right-of-use assets, as stated in the annual report</text>
  </threadedComment>
  <threadedComment ref="O42" dT="2025-04-02T20:59:32.27" personId="{8D2DD166-3F27-4539-A038-357691399EAC}" id="{09F00E3A-15B2-4D03-A863-18FB38B3B406}">
    <text>Operating lease right-of-use assets, as stated in the annual report</text>
  </threadedComment>
  <threadedComment ref="P42" dT="2025-04-02T20:59:37.56" personId="{8D2DD166-3F27-4539-A038-357691399EAC}" id="{3BD6D911-F427-45AB-8D61-4CE6BDE61444}">
    <text>Operating lease right-of-use assets, as stated in the annual report</text>
  </threadedComment>
  <threadedComment ref="Q42" dT="2025-04-02T20:59:43.10" personId="{8D2DD166-3F27-4539-A038-357691399EAC}" id="{2118C33A-777E-4E87-976A-EB634A9C1D16}">
    <text>Operating lease right-of-use assets, as stated in the annual report</text>
  </threadedComment>
  <threadedComment ref="N43" dT="2025-04-02T21:01:28.82" personId="{8D2DD166-3F27-4539-A038-357691399EAC}" id="{F059078F-18E4-49D1-B39A-9331338F797A}">
    <text>Total intangible assets, net, as reported in the annual income</text>
  </threadedComment>
  <threadedComment ref="O43" dT="2025-04-02T21:01:33.53" personId="{8D2DD166-3F27-4539-A038-357691399EAC}" id="{7F42B967-4783-47A9-B37E-99B7E53A6984}">
    <text>Total intangible assets, net, as reported in the annual income</text>
  </threadedComment>
  <threadedComment ref="P43" dT="2025-04-02T21:01:39.34" personId="{8D2DD166-3F27-4539-A038-357691399EAC}" id="{514E3E77-DE7B-402C-9287-73F594C2453E}">
    <text>Total intangible assets, net, as reported in the annual income</text>
  </threadedComment>
  <threadedComment ref="Q43" dT="2025-04-02T21:01:45.84" personId="{8D2DD166-3F27-4539-A038-357691399EAC}" id="{00052305-80A2-47D8-9BDE-C0E11D011B5E}">
    <text>Total intangible assets, net, as reported in the annual income</text>
  </threadedComment>
  <threadedComment ref="N48" dT="2025-04-10T01:59:33.34" personId="{8D2DD166-3F27-4539-A038-357691399EAC}" id="{21438D2F-3253-4BC0-AE68-00F8828615A4}">
    <text>bloomberg</text>
  </threadedComment>
  <threadedComment ref="N50" dT="2025-04-10T02:04:05.04" personId="{8D2DD166-3F27-4539-A038-357691399EAC}" id="{A46F6D18-F486-4AB1-9CF0-8165B0D9C55A}">
    <text>bloomberg</text>
  </threadedComment>
  <threadedComment ref="O50" dT="2025-04-10T02:04:12.26" personId="{8D2DD166-3F27-4539-A038-357691399EAC}" id="{A3548062-9DBC-4BA1-A01A-96674C210460}">
    <text>bloomberg</text>
  </threadedComment>
  <threadedComment ref="P50" dT="2025-04-10T02:04:23.31" personId="{8D2DD166-3F27-4539-A038-357691399EAC}" id="{2FC54A9D-F991-424A-AF0A-0DA5862865C3}">
    <text>bloomberg</text>
  </threadedComment>
  <threadedComment ref="Q50" dT="2025-04-10T02:04:29.32" personId="{8D2DD166-3F27-4539-A038-357691399EAC}" id="{C095CAAD-18FB-44B9-9A8E-ABB8FF32039B}">
    <text>bloomberg</text>
  </threadedComment>
  <threadedComment ref="N51" dT="2025-04-10T02:02:08.91" personId="{8D2DD166-3F27-4539-A038-357691399EAC}" id="{1D4A6DA8-0DFA-4093-A57C-8B879F2214F7}">
    <text xml:space="preserve">bloomberg
</text>
  </threadedComment>
  <threadedComment ref="O51" dT="2025-04-10T02:02:16.13" personId="{8D2DD166-3F27-4539-A038-357691399EAC}" id="{16058DE1-2454-4DA0-8DC2-071B3D245CFA}">
    <text>bloomberg</text>
  </threadedComment>
  <threadedComment ref="P51" dT="2025-04-10T02:02:22.88" personId="{8D2DD166-3F27-4539-A038-357691399EAC}" id="{30A86072-5201-4424-96F3-A1BD36B4959B}">
    <text>bloomberg</text>
  </threadedComment>
  <threadedComment ref="Q51" dT="2025-04-10T02:02:29.57" personId="{8D2DD166-3F27-4539-A038-357691399EAC}" id="{FF147C33-F0B6-4879-A380-4948A8872531}">
    <text>bloomberg</text>
  </threadedComment>
  <threadedComment ref="N52" dT="2025-04-02T21:39:46.89" personId="{8D2DD166-3F27-4539-A038-357691399EAC}" id="{AE642FEB-9F25-4D1C-B1AB-BEA8FB6F6603}">
    <text>current capital lease obligation, yahoo finance</text>
  </threadedComment>
  <threadedComment ref="O52" dT="2025-04-02T21:39:56.70" personId="{8D2DD166-3F27-4539-A038-357691399EAC}" id="{1951422C-B743-41F1-B4FA-8AD053055F36}">
    <text>current capital lease obligation, yahoo finance</text>
  </threadedComment>
  <threadedComment ref="P52" dT="2025-04-02T21:40:01.76" personId="{8D2DD166-3F27-4539-A038-357691399EAC}" id="{74D08D92-D7B3-46F5-98FE-3B777BA9BEE8}">
    <text>current capital lease obligation, yahoo finance</text>
  </threadedComment>
  <threadedComment ref="Q52" dT="2025-04-02T21:40:05.76" personId="{8D2DD166-3F27-4539-A038-357691399EAC}" id="{D7874FB9-1433-470A-853F-93EBCD61B7CF}">
    <text>current capital lease obligation, yahoo finance</text>
  </threadedComment>
  <threadedComment ref="N54" dT="2025-04-10T02:05:45.78" personId="{8D2DD166-3F27-4539-A038-357691399EAC}" id="{BFEC9DFA-2948-426E-8216-F63590177F6E}">
    <text>bloomberg</text>
  </threadedComment>
  <threadedComment ref="N68" dT="2025-04-03T18:05:53.33" personId="{8D2DD166-3F27-4539-A038-357691399EAC}" id="{C957DB1F-FCE6-4178-823E-96B047279783}">
    <text>change in working capital, yahoo finance</text>
  </threadedComment>
  <threadedComment ref="O68" dT="2025-04-03T18:06:07.63" personId="{8D2DD166-3F27-4539-A038-357691399EAC}" id="{48AE3424-7B9D-42FC-8A2F-2FB1A4BF5872}">
    <text>change in working capital, yahoo finance</text>
  </threadedComment>
  <threadedComment ref="P68" dT="2025-04-03T18:06:20.30" personId="{8D2DD166-3F27-4539-A038-357691399EAC}" id="{A3413669-4158-4E31-9C99-94C9A1E17A10}">
    <text>change in working capital yahoo finance</text>
  </threadedComment>
  <threadedComment ref="Q68" dT="2025-04-03T18:06:37.29" personId="{8D2DD166-3F27-4539-A038-357691399EAC}" id="{D107DA88-4243-45A3-820D-63D7576E785E}">
    <text>change in working capital, yahoo finance</text>
  </threadedComment>
  <threadedComment ref="N72" dT="2025-04-10T02:24:17.75" personId="{8D2DD166-3F27-4539-A038-357691399EAC}" id="{E06B34C5-E2E1-4E28-8B04-B92A9AC347E9}">
    <text>bloomberg</text>
  </threadedComment>
  <threadedComment ref="O72" dT="2025-04-10T02:24:23.71" personId="{8D2DD166-3F27-4539-A038-357691399EAC}" id="{1B2A8B43-E228-4D97-BA9E-963DF500B22D}">
    <text>bloomberg</text>
  </threadedComment>
  <threadedComment ref="P72" dT="2025-04-10T02:24:29.68" personId="{8D2DD166-3F27-4539-A038-357691399EAC}" id="{2CCB9E4E-7D31-4D2E-AFE1-2D3DBE78555D}">
    <text>bloomberg</text>
  </threadedComment>
  <threadedComment ref="Q72" dT="2025-04-10T02:24:35.45" personId="{8D2DD166-3F27-4539-A038-357691399EAC}" id="{7BA0A01C-949C-4A7B-B2FC-2B2813EE32FA}">
    <text>bloomberg</text>
  </threadedComment>
  <threadedComment ref="N75" dT="2025-04-03T18:08:21.65" personId="{8D2DD166-3F27-4539-A038-357691399EAC}" id="{09892308-8051-4CA6-B479-2DC7A0ABE015}">
    <text>net cash used in operating activities as reported in the annual report</text>
  </threadedComment>
  <threadedComment ref="O75" dT="2025-04-03T18:08:02.02" personId="{8D2DD166-3F27-4539-A038-357691399EAC}" id="{BCF92269-A710-40E2-9250-CB69A2F45E61}">
    <text xml:space="preserve">net cash used in operating activities, as reported in the annual report </text>
  </threadedComment>
  <threadedComment ref="P75" dT="2025-04-03T17:40:58.27" personId="{8D2DD166-3F27-4539-A038-357691399EAC}" id="{616E620F-479C-4AF1-B46A-BCAB98F7DC5D}">
    <text>net cash used in operating activities, as reported in the annual report</text>
  </threadedComment>
  <threadedComment ref="Q75" dT="2025-04-03T17:40:23.82" personId="{8D2DD166-3F27-4539-A038-357691399EAC}" id="{B38AF643-16ED-4510-BAE1-D98424AFF9C3}">
    <text xml:space="preserve">net cash used in operating activities, as reported in the annual report. 
</text>
  </threadedComment>
  <threadedComment ref="N78" dT="2025-04-03T18:27:26.87" personId="{8D2DD166-3F27-4539-A038-357691399EAC}" id="{55ECDD8E-234F-4714-82B5-0A6FA3E1F8AC}">
    <text xml:space="preserve">
"Upon sale or retirement of the assets, the cost and related accumulated depreciation are removed from the accounts and the resulting gain or loss is recognized in the statement of operations and comprehensive loss. Expenditures for general maintenance and repairs are expensed as incurred."</text>
  </threadedComment>
  <threadedComment ref="Q82" dT="2025-04-03T18:40:10.28" personId="{8D2DD166-3F27-4539-A038-357691399EAC}" id="{BB628DBE-2D54-484B-9465-79F69B696EF3}">
    <text>purchase of convertible note</text>
  </threadedComment>
  <threadedComment ref="Q83" dT="2025-04-03T18:41:26.87" personId="{8D2DD166-3F27-4539-A038-357691399EAC}" id="{B8B422CD-8108-42C5-8D7F-BECC2DF6F28A}">
    <text>sale of investment, yahoo finance</text>
  </threadedComment>
  <threadedComment ref="B86" dT="2025-04-03T18:51:40.65" personId="{8D2DD166-3F27-4539-A038-357691399EAC}" id="{EC2AD536-2BF0-4EB5-896F-C8790A7063A4}">
    <text>includes proceeds from term loan and proceeds from government assistance.</text>
  </threadedComment>
  <threadedComment ref="B87" dT="2025-04-10T02:38:40.89" personId="{8D2DD166-3F27-4539-A038-357691399EAC}" id="{A28F16D7-837E-4002-A221-1C04BCC9A1F5}">
    <text>Repayment of LT Debt, bloomberg</text>
  </threadedComment>
  <threadedComment ref="N89" dT="2025-04-03T19:15:05.67" personId="{8D2DD166-3F27-4539-A038-357691399EAC}" id="{CC106876-7C5D-46B5-BFC6-A3CAAD3FFA9C}">
    <text>d-wave quantum does not currently pay dividends.</text>
  </threadedComment>
  <threadedComment ref="O90" dT="2025-04-03T19:19:28.58" personId="{8D2DD166-3F27-4539-A038-357691399EAC}" id="{9C3D626E-3374-45F3-B681-F4EF0A674275}">
    <text>common stock issuance, yahoo finance</text>
  </threadedComment>
  <threadedComment ref="P90" dT="2025-04-03T19:19:17.41" personId="{8D2DD166-3F27-4539-A038-357691399EAC}" id="{D4F8222C-BDFB-4FF9-977B-42EAE70BB38F}">
    <text>common stock issuance, yahoo finance</text>
  </threadedComment>
  <threadedComment ref="Q90" dT="2025-04-03T19:19:07.13" personId="{8D2DD166-3F27-4539-A038-357691399EAC}" id="{A05C7BCB-8C9B-4C53-ACCA-F05EC36A0473}">
    <text>common stock issuance, yahoo finance</text>
  </threadedComment>
  <threadedComment ref="N93" dT="2025-04-03T19:29:31.08" personId="{8D2DD166-3F27-4539-A038-357691399EAC}" id="{5B59CDDF-15F4-4562-BB00-93C727636B4C}">
    <text>effect of exchange rate changes on cash and cash equivalents, as reported in the annual report</text>
  </threadedComment>
  <threadedComment ref="O93" dT="2025-04-03T19:29:50.66" personId="{8D2DD166-3F27-4539-A038-357691399EAC}" id="{E464C701-17FD-42E5-A282-0ED6211FDFF5}">
    <text>effect of exchange rate changes on cash and cash equivalents, as reported in the annual report</text>
  </threadedComment>
  <threadedComment ref="P93" dT="2025-04-03T19:29:54.93" personId="{8D2DD166-3F27-4539-A038-357691399EAC}" id="{5447379D-9D94-4AC5-B3CC-8704B7863B38}">
    <text>effect of exchange rate changes on cash and cash equivalents, as reported in the annual report</text>
  </threadedComment>
  <threadedComment ref="Q93" dT="2025-04-03T19:29:58.86" personId="{8D2DD166-3F27-4539-A038-357691399EAC}" id="{2A2EF401-1E69-4B9B-BA10-7804F7F3F264}">
    <text>effect of exchange rate changes on cash and cash equivalents, as reported in the annual report</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4.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 Id="rId4" Type="http://schemas.microsoft.com/office/2017/10/relationships/threadedComment" Target="../threadedComments/threadedComment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 Id="rId4" Type="http://schemas.microsoft.com/office/2017/10/relationships/threadedComment" Target="../threadedComments/threadedComment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B1314"/>
  </sheetPr>
  <dimension ref="A1:AI1048576"/>
  <sheetViews>
    <sheetView showGridLines="0" zoomScale="70" zoomScaleNormal="100" workbookViewId="0">
      <selection activeCell="U14" sqref="U14"/>
    </sheetView>
  </sheetViews>
  <sheetFormatPr defaultColWidth="15.58203125" defaultRowHeight="14" x14ac:dyDescent="0.3"/>
  <cols>
    <col min="1" max="1" width="11.58203125" style="546" customWidth="1"/>
    <col min="2" max="2" width="0.58203125" style="544" customWidth="1"/>
    <col min="3" max="3" width="2.5" style="542" customWidth="1"/>
    <col min="4" max="4" width="13.58203125" style="542" customWidth="1"/>
    <col min="5" max="6" width="16.58203125" style="542" customWidth="1"/>
    <col min="7" max="7" width="17.08203125" style="542" customWidth="1"/>
    <col min="8" max="9" width="18.58203125" style="542" customWidth="1"/>
    <col min="10" max="10" width="4" style="542" customWidth="1"/>
    <col min="11" max="12" width="12.58203125" style="542" customWidth="1"/>
    <col min="13" max="13" width="3.58203125" style="542" customWidth="1"/>
    <col min="14" max="18" width="12.58203125" style="542" customWidth="1"/>
    <col min="19" max="19" width="3.58203125" style="595" customWidth="1"/>
    <col min="20" max="20" width="4" style="542" customWidth="1"/>
    <col min="21" max="21" width="48.5" style="542" customWidth="1"/>
    <col min="22" max="22" width="12.58203125" style="542" customWidth="1"/>
    <col min="23" max="16384" width="15.58203125" style="542"/>
  </cols>
  <sheetData>
    <row r="1" spans="1:22" ht="24.75" customHeight="1" x14ac:dyDescent="0.3">
      <c r="A1" s="672"/>
      <c r="B1" s="673"/>
      <c r="C1" s="424"/>
      <c r="D1" s="424"/>
      <c r="E1" s="424"/>
      <c r="F1" s="424"/>
      <c r="G1" s="424"/>
      <c r="H1" s="424"/>
      <c r="I1" s="424"/>
      <c r="J1" s="424"/>
      <c r="K1" s="424"/>
      <c r="L1" s="424"/>
      <c r="M1" s="424"/>
      <c r="N1" s="424"/>
      <c r="O1" s="424"/>
      <c r="P1" s="424"/>
      <c r="Q1" s="424"/>
      <c r="R1" s="424"/>
      <c r="S1" s="424"/>
      <c r="T1" s="424"/>
      <c r="U1" s="424"/>
      <c r="V1" s="424"/>
    </row>
    <row r="2" spans="1:22" ht="24" customHeight="1" x14ac:dyDescent="0.4">
      <c r="A2" s="672"/>
      <c r="B2" s="673"/>
      <c r="C2" s="424"/>
      <c r="D2" s="424"/>
      <c r="E2" s="703" t="s">
        <v>0</v>
      </c>
      <c r="F2" s="424"/>
      <c r="G2" s="424"/>
      <c r="H2" s="424"/>
      <c r="I2" s="424"/>
      <c r="J2" s="424"/>
      <c r="K2" s="424"/>
      <c r="L2" s="424"/>
      <c r="M2" s="424"/>
      <c r="N2" s="424"/>
      <c r="O2" s="424"/>
      <c r="P2" s="424"/>
      <c r="Q2" s="424"/>
      <c r="R2" s="424"/>
      <c r="S2" s="424"/>
      <c r="T2" s="424"/>
      <c r="U2" s="614" t="s">
        <v>1</v>
      </c>
      <c r="V2" s="424"/>
    </row>
    <row r="3" spans="1:22" x14ac:dyDescent="0.3">
      <c r="A3" s="672"/>
      <c r="B3" s="673"/>
      <c r="C3" s="424"/>
      <c r="D3" s="424"/>
      <c r="E3" s="424"/>
      <c r="F3" s="424"/>
      <c r="G3" s="424"/>
      <c r="H3" s="424"/>
      <c r="I3" s="424"/>
      <c r="J3" s="424"/>
      <c r="K3" s="424"/>
      <c r="L3" s="424"/>
      <c r="M3" s="424"/>
      <c r="N3" s="424"/>
      <c r="O3" s="424"/>
      <c r="P3" s="424"/>
      <c r="Q3" s="424"/>
      <c r="R3" s="424"/>
      <c r="S3" s="424"/>
      <c r="T3" s="424"/>
      <c r="U3" s="601" t="s">
        <v>2</v>
      </c>
      <c r="V3" s="424"/>
    </row>
    <row r="4" spans="1:22" x14ac:dyDescent="0.3">
      <c r="A4" s="672"/>
      <c r="B4" s="673"/>
      <c r="C4" s="424"/>
      <c r="D4" s="424"/>
      <c r="E4" s="424"/>
      <c r="F4" s="424"/>
      <c r="G4" s="424"/>
      <c r="H4" s="424"/>
      <c r="I4" s="424"/>
      <c r="J4" s="424"/>
      <c r="K4" s="424"/>
      <c r="L4" s="424"/>
      <c r="M4" s="424"/>
      <c r="N4" s="424"/>
      <c r="O4" s="424"/>
      <c r="P4" s="424"/>
      <c r="Q4" s="424"/>
      <c r="R4" s="424"/>
      <c r="S4" s="424"/>
      <c r="T4" s="424"/>
      <c r="U4" s="601"/>
      <c r="V4" s="424"/>
    </row>
    <row r="5" spans="1:22" x14ac:dyDescent="0.3">
      <c r="A5" s="672"/>
      <c r="B5" s="673"/>
      <c r="C5" s="424"/>
      <c r="D5" s="424"/>
      <c r="E5" s="424"/>
      <c r="F5" s="424"/>
      <c r="G5" s="424"/>
      <c r="H5" s="424"/>
      <c r="I5"/>
      <c r="J5" s="424"/>
      <c r="K5" s="424"/>
      <c r="L5" s="424"/>
      <c r="M5" s="424"/>
      <c r="N5" s="424"/>
      <c r="O5" s="424"/>
      <c r="P5" s="424"/>
      <c r="Q5" s="424"/>
      <c r="R5" s="424"/>
      <c r="S5" s="424"/>
      <c r="T5" s="424"/>
      <c r="U5" s="424"/>
      <c r="V5" s="424"/>
    </row>
    <row r="6" spans="1:22" s="543" customFormat="1" ht="16.399999999999999" customHeight="1" x14ac:dyDescent="0.4">
      <c r="A6" s="547"/>
      <c r="B6" s="548"/>
      <c r="D6" s="550" t="str" cm="1">
        <f t="array" aca="1" ref="D6" ca="1">+_FV(DCF!R4,"Name")</f>
        <v>D-WAVE QUANTUM INC.</v>
      </c>
      <c r="S6" s="674"/>
      <c r="U6" s="600" t="s">
        <v>3</v>
      </c>
    </row>
    <row r="7" spans="1:22" ht="3.75" customHeight="1" x14ac:dyDescent="0.35">
      <c r="A7" s="672"/>
      <c r="B7" s="673"/>
      <c r="C7" s="424"/>
      <c r="D7" s="424"/>
      <c r="E7" s="424"/>
      <c r="F7" s="424"/>
      <c r="G7" s="424"/>
      <c r="H7" s="424"/>
      <c r="I7" s="424"/>
      <c r="J7" s="424"/>
      <c r="K7" s="424"/>
      <c r="L7" s="424"/>
      <c r="M7" s="424"/>
      <c r="N7" s="424"/>
      <c r="O7" s="424"/>
      <c r="P7" s="424"/>
      <c r="Q7" s="424"/>
      <c r="R7" s="424"/>
      <c r="S7" s="674"/>
      <c r="T7" s="424"/>
      <c r="U7" s="543"/>
      <c r="V7" s="424"/>
    </row>
    <row r="8" spans="1:22" ht="14.25" customHeight="1" x14ac:dyDescent="0.3">
      <c r="A8" s="672"/>
      <c r="B8" s="673"/>
      <c r="C8" s="424"/>
      <c r="D8" s="953"/>
      <c r="E8" s="953"/>
      <c r="F8" s="953"/>
      <c r="G8" s="953"/>
      <c r="H8" s="953"/>
      <c r="I8" s="953"/>
      <c r="J8" s="953"/>
      <c r="K8" s="953"/>
      <c r="L8" s="953"/>
      <c r="M8" s="953"/>
      <c r="N8" s="953"/>
      <c r="O8" s="953"/>
      <c r="P8" s="953"/>
      <c r="Q8" s="953"/>
      <c r="R8" s="953"/>
      <c r="S8" s="675"/>
      <c r="T8" s="424"/>
      <c r="U8" s="676" t="s">
        <v>4</v>
      </c>
      <c r="V8" s="424"/>
    </row>
    <row r="9" spans="1:22" ht="14.25" customHeight="1" x14ac:dyDescent="0.3">
      <c r="A9" s="672"/>
      <c r="B9" s="673"/>
      <c r="C9" s="424"/>
      <c r="D9" s="953"/>
      <c r="E9" s="953"/>
      <c r="F9" s="953"/>
      <c r="G9" s="953"/>
      <c r="H9" s="953"/>
      <c r="I9" s="953"/>
      <c r="J9" s="953"/>
      <c r="K9" s="953"/>
      <c r="L9" s="953"/>
      <c r="M9" s="953"/>
      <c r="N9" s="953"/>
      <c r="O9" s="953"/>
      <c r="P9" s="953"/>
      <c r="Q9" s="953"/>
      <c r="R9" s="953"/>
      <c r="S9" s="675"/>
      <c r="T9" s="424"/>
      <c r="U9" s="549" t="str" cm="1">
        <f t="array" aca="1" ref="U9" ca="1">+"Price (7 Mar 25): $"&amp;_FV(DCF!$R$4,"Price")</f>
        <v>Price (7 Mar 25): $24,7</v>
      </c>
      <c r="V9" s="424"/>
    </row>
    <row r="10" spans="1:22" ht="20.149999999999999" customHeight="1" x14ac:dyDescent="0.4">
      <c r="A10" s="672"/>
      <c r="B10" s="673"/>
      <c r="C10" s="424"/>
      <c r="D10" s="550" t="s">
        <v>5</v>
      </c>
      <c r="E10" s="677"/>
      <c r="F10" s="677"/>
      <c r="G10" s="677"/>
      <c r="H10" s="677"/>
      <c r="I10" s="677"/>
      <c r="J10" s="677"/>
      <c r="K10" s="677"/>
      <c r="L10" s="677"/>
      <c r="M10" s="677"/>
      <c r="N10" s="677"/>
      <c r="O10" s="677"/>
      <c r="P10" s="677"/>
      <c r="Q10" s="677"/>
      <c r="R10" s="677"/>
      <c r="S10" s="678"/>
      <c r="T10" s="424"/>
      <c r="U10" s="1" t="str">
        <f>"Price Target: $" &amp; ROUND(IF(Summary!G25="FCFF",DCF!Q207,IF(Summary!G25="FCFE",DCF!Q250,IF(Summary!G25="Tax Shield",DCF!Q223,DCF!Q266))),2) &amp;" "&amp;IF(Summary!G25="FCFF","(FCFF)",IF(Summary!G25="FCFE","(FCFE)",IF(Summary!G25="Tax Shield","(APV)","(DDM)")))</f>
        <v>Price Target: $0 (FCFF)</v>
      </c>
      <c r="V10" s="424"/>
    </row>
    <row r="11" spans="1:22" ht="14.25" customHeight="1" x14ac:dyDescent="0.3">
      <c r="A11" s="672"/>
      <c r="B11" s="673"/>
      <c r="C11" s="424"/>
      <c r="D11" s="953"/>
      <c r="E11" s="953"/>
      <c r="F11" s="953"/>
      <c r="G11" s="953"/>
      <c r="H11" s="953"/>
      <c r="I11" s="953"/>
      <c r="J11" s="953"/>
      <c r="K11" s="953"/>
      <c r="L11" s="953"/>
      <c r="M11" s="953"/>
      <c r="N11" s="953"/>
      <c r="O11" s="953"/>
      <c r="P11" s="953"/>
      <c r="Q11" s="953"/>
      <c r="R11" s="953"/>
      <c r="S11" s="675"/>
      <c r="T11" s="424"/>
      <c r="U11" s="549" t="str">
        <f>+"Upside (Downside): "&amp;ROUND((DCF!$Q$210*100),2)&amp;"%"</f>
        <v>Upside (Downside): 0%</v>
      </c>
      <c r="V11" s="424"/>
    </row>
    <row r="12" spans="1:22" ht="3.75" customHeight="1" x14ac:dyDescent="0.3">
      <c r="A12" s="672"/>
      <c r="B12" s="673"/>
      <c r="C12" s="424"/>
      <c r="D12" s="953"/>
      <c r="E12" s="953"/>
      <c r="F12" s="953"/>
      <c r="G12" s="953"/>
      <c r="H12" s="953"/>
      <c r="I12" s="953"/>
      <c r="J12" s="953"/>
      <c r="K12" s="953"/>
      <c r="L12" s="953"/>
      <c r="M12" s="953"/>
      <c r="N12" s="953"/>
      <c r="O12" s="953"/>
      <c r="P12" s="953"/>
      <c r="Q12" s="953"/>
      <c r="R12" s="953"/>
      <c r="S12" s="675"/>
      <c r="T12" s="424"/>
      <c r="U12" s="424"/>
      <c r="V12" s="424"/>
    </row>
    <row r="13" spans="1:22" ht="17.25" customHeight="1" x14ac:dyDescent="0.3">
      <c r="A13" s="672"/>
      <c r="B13" s="673"/>
      <c r="C13" s="424"/>
      <c r="D13" s="953"/>
      <c r="E13" s="953"/>
      <c r="F13" s="953"/>
      <c r="G13" s="953"/>
      <c r="H13" s="953"/>
      <c r="I13" s="953"/>
      <c r="J13" s="953"/>
      <c r="K13" s="953"/>
      <c r="L13" s="953"/>
      <c r="M13" s="953"/>
      <c r="N13" s="953"/>
      <c r="O13" s="953"/>
      <c r="P13" s="953"/>
      <c r="Q13" s="953"/>
      <c r="R13" s="953"/>
      <c r="S13" s="675"/>
      <c r="T13" s="424"/>
      <c r="U13" s="424"/>
      <c r="V13" s="424"/>
    </row>
    <row r="14" spans="1:22" ht="15" customHeight="1" x14ac:dyDescent="0.3">
      <c r="A14" s="672"/>
      <c r="B14" s="673"/>
      <c r="C14" s="424"/>
      <c r="D14" s="953"/>
      <c r="E14" s="953"/>
      <c r="F14" s="953"/>
      <c r="G14" s="953"/>
      <c r="H14" s="953"/>
      <c r="I14" s="953"/>
      <c r="J14" s="953"/>
      <c r="K14" s="953"/>
      <c r="L14" s="953"/>
      <c r="M14" s="953"/>
      <c r="N14" s="953"/>
      <c r="O14" s="953"/>
      <c r="P14" s="953"/>
      <c r="Q14" s="953"/>
      <c r="R14" s="953"/>
      <c r="S14" s="675"/>
      <c r="T14" s="424"/>
      <c r="U14" s="679" t="str">
        <f>+Industry!E28&amp;", "&amp;ESG!C9</f>
        <v xml:space="preserve">Canada, </v>
      </c>
      <c r="V14" s="673"/>
    </row>
    <row r="15" spans="1:22" ht="15" customHeight="1" x14ac:dyDescent="0.3">
      <c r="A15" s="672"/>
      <c r="B15" s="673"/>
      <c r="C15" s="424"/>
      <c r="D15" s="953"/>
      <c r="E15" s="953"/>
      <c r="F15" s="953"/>
      <c r="G15" s="953"/>
      <c r="H15" s="953"/>
      <c r="I15" s="953"/>
      <c r="J15" s="953"/>
      <c r="K15" s="953"/>
      <c r="L15" s="953"/>
      <c r="M15" s="953"/>
      <c r="N15" s="953"/>
      <c r="O15" s="953"/>
      <c r="P15" s="953"/>
      <c r="Q15" s="953"/>
      <c r="R15" s="953"/>
      <c r="S15" s="675"/>
      <c r="T15" s="424"/>
      <c r="U15" s="679">
        <f>+ESG!C10</f>
        <v>0</v>
      </c>
      <c r="V15" s="673"/>
    </row>
    <row r="16" spans="1:22" ht="3.75" customHeight="1" x14ac:dyDescent="0.3">
      <c r="A16" s="672"/>
      <c r="B16" s="673"/>
      <c r="C16" s="424"/>
      <c r="D16" s="424"/>
      <c r="E16" s="1"/>
      <c r="F16" s="424"/>
      <c r="G16" s="424"/>
      <c r="H16" s="424"/>
      <c r="I16" s="424"/>
      <c r="J16" s="424"/>
      <c r="K16" s="424"/>
      <c r="L16" s="424"/>
      <c r="M16" s="424"/>
      <c r="N16" s="424"/>
      <c r="O16" s="424"/>
      <c r="P16" s="424"/>
      <c r="Q16" s="424"/>
      <c r="R16" s="424"/>
      <c r="S16" s="674"/>
      <c r="T16" s="424"/>
      <c r="U16" s="680"/>
      <c r="V16" s="424"/>
    </row>
    <row r="17" spans="4:22" ht="14.25" customHeight="1" x14ac:dyDescent="0.35">
      <c r="D17" s="2" t="s">
        <v>6</v>
      </c>
      <c r="E17" s="3"/>
      <c r="F17" s="4">
        <v>2023</v>
      </c>
      <c r="G17" s="9">
        <f>+F17+1</f>
        <v>2024</v>
      </c>
      <c r="H17" s="5">
        <f>+G17+1</f>
        <v>2025</v>
      </c>
      <c r="I17" s="5">
        <f>+H17+1</f>
        <v>2026</v>
      </c>
      <c r="J17" s="424"/>
      <c r="K17" s="7" t="s">
        <v>7</v>
      </c>
      <c r="L17" s="4"/>
      <c r="M17" s="4"/>
      <c r="N17" s="4">
        <v>2022</v>
      </c>
      <c r="O17" s="4">
        <f>+N17+1</f>
        <v>2023</v>
      </c>
      <c r="P17" s="327">
        <f>+O17+1</f>
        <v>2024</v>
      </c>
      <c r="Q17" s="5">
        <f>+P17+1</f>
        <v>2025</v>
      </c>
      <c r="R17" s="5">
        <f>+Q17+1</f>
        <v>2026</v>
      </c>
      <c r="S17" s="596"/>
      <c r="T17" s="424"/>
      <c r="U17" s="681" t="s">
        <v>8</v>
      </c>
      <c r="V17" s="424"/>
    </row>
    <row r="18" spans="4:22" ht="15.5" x14ac:dyDescent="0.35">
      <c r="D18" s="10"/>
      <c r="E18" s="11"/>
      <c r="F18" s="12"/>
      <c r="G18" s="13"/>
      <c r="H18" s="14"/>
      <c r="I18" s="14"/>
      <c r="J18" s="424"/>
      <c r="K18" s="15" t="s">
        <v>9</v>
      </c>
      <c r="L18"/>
      <c r="M18"/>
      <c r="N18" s="351">
        <f ca="1">IFERROR(_xlfn.XLOOKUP($K18,Multiples!$B:$B,Multiples!N:N),"")</f>
        <v>24.922219433988566</v>
      </c>
      <c r="O18" s="351">
        <f ca="1">IFERROR(_xlfn.XLOOKUP($K18,Multiples!$B:$B,Multiples!O:O),"")</f>
        <v>10.296131468371774</v>
      </c>
      <c r="P18" s="328">
        <f ca="1">IFERROR(_xlfn.XLOOKUP($K18,Multiples!$B:$B,Multiples!P:P),"")</f>
        <v>167.01944035346096</v>
      </c>
      <c r="Q18" s="335">
        <f ca="1">IFERROR(_xlfn.XLOOKUP($K18,Multiples!$B:$B,Multiples!Q:Q),"")</f>
        <v>816.67187252061444</v>
      </c>
      <c r="R18" s="335">
        <f ca="1">IFERROR(_xlfn.XLOOKUP($K18,Multiples!$B:$B,Multiples!R:R),"")</f>
        <v>1811.9274014407144</v>
      </c>
      <c r="S18" s="597"/>
      <c r="T18" s="424"/>
      <c r="U18" s="726" t="s">
        <v>10</v>
      </c>
      <c r="V18" s="424"/>
    </row>
    <row r="19" spans="4:22" ht="15.5" x14ac:dyDescent="0.35">
      <c r="D19" s="10"/>
      <c r="E19" s="11"/>
      <c r="F19" s="12"/>
      <c r="G19" s="13"/>
      <c r="H19" s="14"/>
      <c r="I19" s="14"/>
      <c r="J19" s="424"/>
      <c r="K19" s="18" t="s">
        <v>11</v>
      </c>
      <c r="L19"/>
      <c r="M19"/>
      <c r="N19" s="351">
        <f ca="1">IFERROR(_xlfn.XLOOKUP($K19,Multiples!$B:$B,Multiples!N:N),"")</f>
        <v>24.353280356893908</v>
      </c>
      <c r="O19" s="351">
        <f ca="1">IFERROR(_xlfn.XLOOKUP($K19,Multiples!$B:$B,Multiples!O:O),"")</f>
        <v>13.867152249372003</v>
      </c>
      <c r="P19" s="328">
        <f ca="1">IFERROR(_xlfn.XLOOKUP($K19,Multiples!$B:$B,Multiples!P:P),"")</f>
        <v>182.83489294210943</v>
      </c>
      <c r="Q19" s="335">
        <f>IFERROR(_xlfn.XLOOKUP($K19,Multiples!$B:$B,Multiples!Q:Q),"")</f>
        <v>0</v>
      </c>
      <c r="R19" s="335">
        <f>IFERROR(_xlfn.XLOOKUP($K19,Multiples!$B:$B,Multiples!R:R),"")</f>
        <v>0</v>
      </c>
      <c r="S19" s="597"/>
      <c r="T19" s="424"/>
      <c r="U19" s="587" t="s">
        <v>12</v>
      </c>
      <c r="V19" s="424"/>
    </row>
    <row r="20" spans="4:22" ht="14.25" customHeight="1" x14ac:dyDescent="0.35">
      <c r="D20" s="10"/>
      <c r="E20" s="11"/>
      <c r="F20" s="19"/>
      <c r="G20" s="20"/>
      <c r="H20" s="21"/>
      <c r="I20" s="21"/>
      <c r="J20" s="424"/>
      <c r="K20" s="22" t="s">
        <v>13</v>
      </c>
      <c r="L20"/>
      <c r="M20"/>
      <c r="N20" s="351">
        <f ca="1">IFERROR(_xlfn.XLOOKUP($K20,Multiples!$B:$B,Multiples!N:N),"")</f>
        <v>-3.129401838074398</v>
      </c>
      <c r="O20" s="351">
        <f ca="1">IFERROR(_xlfn.XLOOKUP($K20,Multiples!$B:$B,Multiples!O:O),"")</f>
        <v>-1.1955705739628493</v>
      </c>
      <c r="P20" s="328">
        <f ca="1">IFERROR(_xlfn.XLOOKUP($K20,Multiples!$B:$B,Multiples!P:P),"")</f>
        <v>-21.275732386642421</v>
      </c>
      <c r="Q20" s="335">
        <f ca="1">IFERROR(_xlfn.XLOOKUP($K20,Multiples!$B:$B,Multiples!Q:Q),"")</f>
        <v>-139.41591823021881</v>
      </c>
      <c r="R20" s="335">
        <f ca="1">IFERROR(_xlfn.XLOOKUP($K20,Multiples!$B:$B,Multiples!R:R),"")</f>
        <v>-390.86999991870312</v>
      </c>
      <c r="S20" s="597"/>
      <c r="T20" s="424"/>
      <c r="U20" s="23" t="s">
        <v>14</v>
      </c>
      <c r="V20" s="424"/>
    </row>
    <row r="21" spans="4:22" ht="15.5" x14ac:dyDescent="0.35">
      <c r="D21" s="10"/>
      <c r="E21" s="11"/>
      <c r="F21" s="541"/>
      <c r="G21" s="540"/>
      <c r="H21" s="539"/>
      <c r="I21" s="539"/>
      <c r="J21" s="424"/>
      <c r="K21" s="22" t="s">
        <v>15</v>
      </c>
      <c r="L21"/>
      <c r="M21"/>
      <c r="N21" s="351">
        <f ca="1">IFERROR(_xlfn.XLOOKUP($K21,Multiples!$B:$B,Multiples!N:N),"")</f>
        <v>22.345884999999999</v>
      </c>
      <c r="O21" s="351">
        <f ca="1">IFERROR(_xlfn.XLOOKUP($K21,Multiples!$B:$B,Multiples!O:O),"")</f>
        <v>-1.1670228218667493</v>
      </c>
      <c r="P21" s="328">
        <f ca="1">IFERROR(_xlfn.XLOOKUP($K21,Multiples!$B:$B,Multiples!P:P),"")</f>
        <v>-20.255002335613987</v>
      </c>
      <c r="Q21" s="335">
        <f ca="1">IFERROR(_xlfn.XLOOKUP($K21,Multiples!$B:$B,Multiples!Q:Q),"")</f>
        <v>-139.41591823021881</v>
      </c>
      <c r="R21" s="335">
        <f ca="1">IFERROR(_xlfn.XLOOKUP($K21,Multiples!$B:$B,Multiples!R:R),"")</f>
        <v>-390.86999991870312</v>
      </c>
      <c r="S21" s="597"/>
      <c r="T21" s="424"/>
      <c r="U21" s="726" t="s">
        <v>10</v>
      </c>
      <c r="V21" s="424"/>
    </row>
    <row r="22" spans="4:22" ht="15.5" x14ac:dyDescent="0.35">
      <c r="D22" s="10"/>
      <c r="E22" s="11"/>
      <c r="F22" s="12"/>
      <c r="G22" s="13"/>
      <c r="H22" s="14"/>
      <c r="I22" s="14"/>
      <c r="J22" s="424"/>
      <c r="K22" s="18" t="s">
        <v>16</v>
      </c>
      <c r="L22"/>
      <c r="M22"/>
      <c r="N22" s="351">
        <f ca="1">IFERROR(_xlfn.XLOOKUP($K22,Multiples!$B:$B,Multiples!N:N),"")</f>
        <v>-3.2528784775241149</v>
      </c>
      <c r="O22" s="351">
        <f ca="1">IFERROR(_xlfn.XLOOKUP($K22,Multiples!$B:$B,Multiples!O:O),"")</f>
        <v>-1.4682768470047753</v>
      </c>
      <c r="P22" s="328">
        <f ca="1">IFERROR(_xlfn.XLOOKUP($K22,Multiples!$B:$B,Multiples!P:P),"")</f>
        <v>-11.216950354117001</v>
      </c>
      <c r="Q22" s="335">
        <f>IFERROR(_xlfn.XLOOKUP($K22,Multiples!$B:$B,Multiples!Q:Q),"")</f>
        <v>0</v>
      </c>
      <c r="R22" s="335">
        <f>IFERROR(_xlfn.XLOOKUP($K22,Multiples!$B:$B,Multiples!R:R),"")</f>
        <v>0</v>
      </c>
      <c r="S22" s="597"/>
      <c r="T22" s="424"/>
      <c r="U22" s="587" t="s">
        <v>12</v>
      </c>
      <c r="V22" s="424"/>
    </row>
    <row r="23" spans="4:22" ht="14.25" customHeight="1" x14ac:dyDescent="0.35">
      <c r="D23" s="10"/>
      <c r="E23" s="11"/>
      <c r="F23" s="12"/>
      <c r="G23" s="13"/>
      <c r="H23" s="14"/>
      <c r="I23" s="14"/>
      <c r="J23" s="424"/>
      <c r="K23" s="22" t="s">
        <v>17</v>
      </c>
      <c r="L23"/>
      <c r="M23"/>
      <c r="N23" s="351">
        <f ca="1">IFERROR(_xlfn.XLOOKUP($K23,Multiples!$B:$B,Multiples!N:N),"")</f>
        <v>-5.9289984047788753</v>
      </c>
      <c r="O23" s="351">
        <f ca="1">IFERROR(_xlfn.XLOOKUP($K23,Multiples!$B:$B,Multiples!O:O),"")</f>
        <v>-4.960929676075323</v>
      </c>
      <c r="P23" s="328">
        <f ca="1">IFERROR(_xlfn.XLOOKUP($K23,Multiples!$B:$B,Multiples!P:P),"")</f>
        <v>25.761957666890144</v>
      </c>
      <c r="Q23" s="335">
        <f>IFERROR(_xlfn.XLOOKUP($K23,Multiples!$B:$B,Multiples!Q:Q),"")</f>
        <v>0</v>
      </c>
      <c r="R23" s="335">
        <f>IFERROR(_xlfn.XLOOKUP($K23,Multiples!$B:$B,Multiples!R:R),"")</f>
        <v>0</v>
      </c>
      <c r="S23" s="597"/>
      <c r="T23" s="424"/>
      <c r="U23" s="23" t="s">
        <v>18</v>
      </c>
      <c r="V23" s="424"/>
    </row>
    <row r="24" spans="4:22" ht="15.5" x14ac:dyDescent="0.35">
      <c r="D24"/>
      <c r="E24"/>
      <c r="F24"/>
      <c r="G24"/>
      <c r="H24"/>
      <c r="I24"/>
      <c r="J24"/>
      <c r="K24" s="22"/>
      <c r="L24"/>
      <c r="M24"/>
      <c r="N24"/>
      <c r="O24"/>
      <c r="P24"/>
      <c r="Q24"/>
      <c r="R24"/>
      <c r="S24" s="598"/>
      <c r="T24" s="424"/>
      <c r="U24" s="726" t="s">
        <v>10</v>
      </c>
      <c r="V24" s="424"/>
    </row>
    <row r="25" spans="4:22" ht="14.25" customHeight="1" x14ac:dyDescent="0.35">
      <c r="D25" s="28" t="s">
        <v>19</v>
      </c>
      <c r="E25" s="551" t="s">
        <v>20</v>
      </c>
      <c r="F25" s="552" t="s">
        <v>21</v>
      </c>
      <c r="G25" s="552" t="s">
        <v>22</v>
      </c>
      <c r="H25" s="552" t="str">
        <f>+IF(Summary!$G$25="FCFF",DCF!AB6,IF(Summary!$G$25="FCFE",DCF!AC6,DCF!AD6))</f>
        <v>NOPAT</v>
      </c>
      <c r="I25" s="553" t="s">
        <v>23</v>
      </c>
      <c r="J25" s="424"/>
      <c r="K25" s="7" t="s">
        <v>24</v>
      </c>
      <c r="L25" s="4"/>
      <c r="M25" s="4"/>
      <c r="N25" s="4">
        <v>2022</v>
      </c>
      <c r="O25" s="4">
        <f>+N25+1</f>
        <v>2023</v>
      </c>
      <c r="P25" s="327">
        <f>+O25+1</f>
        <v>2024</v>
      </c>
      <c r="Q25" s="5">
        <f>+P25+1</f>
        <v>2025</v>
      </c>
      <c r="R25" s="5">
        <f>+Q25+1</f>
        <v>2026</v>
      </c>
      <c r="S25" s="596"/>
      <c r="T25" s="424"/>
      <c r="U25" s="587" t="s">
        <v>12</v>
      </c>
      <c r="V25" s="424"/>
    </row>
    <row r="26" spans="4:22" ht="15.5" x14ac:dyDescent="0.35">
      <c r="D26" s="29">
        <v>2022</v>
      </c>
      <c r="E26" s="554">
        <f>+DCF!E28</f>
        <v>7.173</v>
      </c>
      <c r="F26" s="555">
        <f>+DCF!E58</f>
        <v>1.1152934615920813</v>
      </c>
      <c r="G26" s="556">
        <f>+INDEX(DCF!X7:AA7,MATCH(Summary!$G$25,{"FCFF","FCFE","Tax Shield","Total Payout"},0))</f>
        <v>22.096</v>
      </c>
      <c r="H26" s="556">
        <f>+IF(Summary!$G$25="FCFF",DCF!AB7,IF(Summary!$G$25="FCFE",DCF!AC7,DCF!AD7))</f>
        <v>8</v>
      </c>
      <c r="I26" s="557">
        <f>+DCF!E132</f>
        <v>-0.42299999999999999</v>
      </c>
      <c r="J26" s="424"/>
      <c r="K26" s="22" t="s">
        <v>25</v>
      </c>
      <c r="L26"/>
      <c r="M26"/>
      <c r="N26" s="351">
        <f>IFERROR(_xlfn.XLOOKUP($K26,Multiples!$B:$B,Multiples!N:N),"")</f>
        <v>-1.9928749025865589</v>
      </c>
      <c r="O26" s="351">
        <f>IFERROR(_xlfn.XLOOKUP($K26,Multiples!$B:$B,Multiples!O:O),"")</f>
        <v>-1.3935406698564594</v>
      </c>
      <c r="P26" s="328">
        <f>IFERROR(_xlfn.XLOOKUP($K26,Multiples!$B:$B,Multiples!P:P),"")</f>
        <v>-0.7199241442460208</v>
      </c>
      <c r="Q26" s="335">
        <f>IFERROR(_xlfn.XLOOKUP($K26,Multiples!$B:$B,Multiples!Q:Q),"")</f>
        <v>-0.49141907087121417</v>
      </c>
      <c r="R26" s="335">
        <f>IFERROR(_xlfn.XLOOKUP($K26,Multiples!$B:$B,Multiples!R:R),"")</f>
        <v>-0.68204231969812112</v>
      </c>
      <c r="S26" s="597"/>
      <c r="T26" s="424"/>
      <c r="U26" s="23" t="s">
        <v>26</v>
      </c>
      <c r="V26" s="424"/>
    </row>
    <row r="27" spans="4:22" ht="14.25" customHeight="1" x14ac:dyDescent="0.35">
      <c r="D27" s="29">
        <f t="shared" ref="D27:D33" si="0">+D26+1</f>
        <v>2023</v>
      </c>
      <c r="E27" s="558">
        <f>+DCF!F28</f>
        <v>8.7579999999999991</v>
      </c>
      <c r="F27" s="559">
        <f>+DCF!F58</f>
        <v>-8.8225622288193666</v>
      </c>
      <c r="G27" s="560">
        <f>+INDEX(DCF!X8:AA8,MATCH(Summary!$G$25,{"FCFF","FCFE","Tax Shield","Total Payout"},0))</f>
        <v>-56.784999999999997</v>
      </c>
      <c r="H27" s="561">
        <f>+IF(Summary!$G$25="FCFF",DCF!AB8,IF(Summary!$G$25="FCFE",DCF!AC8,DCF!AD8))</f>
        <v>-77.268000000000001</v>
      </c>
      <c r="I27" s="557">
        <f>+DCF!F132</f>
        <v>-0.58299999999999996</v>
      </c>
      <c r="J27" s="424"/>
      <c r="K27" s="22" t="s">
        <v>27</v>
      </c>
      <c r="L27"/>
      <c r="M27"/>
      <c r="N27" s="351">
        <f>IFERROR(_xlfn.XLOOKUP($K27,Multiples!$B:$B,Multiples!N:N),"")</f>
        <v>1.8226928690221633</v>
      </c>
      <c r="O27" s="351">
        <f>IFERROR(_xlfn.XLOOKUP($K27,Multiples!$B:$B,Multiples!O:O),"")</f>
        <v>3.378742698419182</v>
      </c>
      <c r="P27" s="328">
        <f>IFERROR(_xlfn.XLOOKUP($K27,Multiples!$B:$B,Multiples!P:P),"")</f>
        <v>-2.2966989113431024</v>
      </c>
      <c r="Q27" s="335">
        <f>IFERROR(_xlfn.XLOOKUP($K27,Multiples!$B:$B,Multiples!Q:Q),"")</f>
        <v>1.1408474681846402E-2</v>
      </c>
      <c r="R27" s="335">
        <f>IFERROR(_xlfn.XLOOKUP($K27,Multiples!$B:$B,Multiples!R:R),"")</f>
        <v>1.5833863595137075E-2</v>
      </c>
      <c r="S27" s="597"/>
      <c r="T27" s="424"/>
      <c r="U27" s="726" t="s">
        <v>10</v>
      </c>
      <c r="V27" s="424"/>
    </row>
    <row r="28" spans="4:22" ht="15.5" x14ac:dyDescent="0.35">
      <c r="D28" s="375">
        <f t="shared" si="0"/>
        <v>2024</v>
      </c>
      <c r="E28" s="562">
        <f>+DCF!G28</f>
        <v>8.827</v>
      </c>
      <c r="F28" s="563">
        <f>+DCF!G58</f>
        <v>-8.2458366375892158</v>
      </c>
      <c r="G28" s="564">
        <f>+INDEX(DCF!X9:AA9,MATCH(Summary!$G$25,{"FCFF","FCFE","Tax Shield","Total Payout"},0))</f>
        <v>-36.725999999999999</v>
      </c>
      <c r="H28" s="565">
        <f>+IF(Summary!$G$25="FCFF",DCF!AB9,IF(Summary!$G$25="FCFE",DCF!AC9,DCF!AD9))</f>
        <v>-72.786000000000001</v>
      </c>
      <c r="I28" s="589">
        <f>+DCF!G132</f>
        <v>-2.395</v>
      </c>
      <c r="J28" s="424"/>
      <c r="K28" s="127" t="s">
        <v>28</v>
      </c>
      <c r="L28"/>
      <c r="M28"/>
      <c r="N28" s="351">
        <f>IFERROR(_xlfn.XLOOKUP($K28,Multiples!$B:$B,Multiples!N:N),"")</f>
        <v>-0.43675274335316916</v>
      </c>
      <c r="O28" s="351">
        <f>IFERROR(_xlfn.XLOOKUP($K28,Multiples!$B:$B,Multiples!O:O),"")</f>
        <v>5.3476365146376903</v>
      </c>
      <c r="P28" s="328">
        <f>IFERROR(_xlfn.XLOOKUP($K28,Multiples!$B:$B,Multiples!P:P),"")</f>
        <v>-0.72048939350444952</v>
      </c>
      <c r="Q28" s="335">
        <f ca="1">IFERROR(_xlfn.XLOOKUP($K28,Multiples!$B:$B,Multiples!Q:Q),"")</f>
        <v>8.7592763557151152E-3</v>
      </c>
      <c r="R28" s="335">
        <f ca="1">IFERROR(_xlfn.XLOOKUP($K28,Multiples!$B:$B,Multiples!R:R),"")</f>
        <v>1.1116744845188759E-2</v>
      </c>
      <c r="S28" s="597"/>
      <c r="T28" s="424"/>
      <c r="U28" s="727" t="s">
        <v>12</v>
      </c>
      <c r="V28" s="682"/>
    </row>
    <row r="29" spans="4:22" ht="15.5" x14ac:dyDescent="0.35">
      <c r="D29" s="30">
        <f t="shared" si="0"/>
        <v>2025</v>
      </c>
      <c r="E29" s="566">
        <f>+DCF!H28</f>
        <v>14.123200000000001</v>
      </c>
      <c r="F29" s="567">
        <f>+DCF!H58</f>
        <v>-5.857809372757826</v>
      </c>
      <c r="G29" s="568">
        <f ca="1">+INDEX(DCF!X10:AA10,MATCH(Summary!$G$25,{"FCFF","FCFE","Tax Shield","Total Payout"},0))</f>
        <v>-70.287950323457522</v>
      </c>
      <c r="H29" s="566">
        <f ca="1">+IF(Summary!$G$25="FCFF",DCF!AB10,IF(Summary!$G$25="FCFE",DCF!AC10,DCF!AD10))</f>
        <v>-82.731013333333337</v>
      </c>
      <c r="I29" s="710">
        <f>+DCF!H132</f>
        <v>0</v>
      </c>
      <c r="J29" s="424"/>
      <c r="K29" s="31" t="s">
        <v>29</v>
      </c>
      <c r="L29"/>
      <c r="M29"/>
      <c r="N29" s="351">
        <f>IFERROR(_xlfn.XLOOKUP($K29,Multiples!$B:$B,Multiples!N:N),"")</f>
        <v>-7.963892374180956</v>
      </c>
      <c r="O29" s="351">
        <f>IFERROR(_xlfn.XLOOKUP($K29,Multiples!$B:$B,Multiples!O:O),"")</f>
        <v>-8.6118976935373386</v>
      </c>
      <c r="P29" s="328">
        <f>IFERROR(_xlfn.XLOOKUP($K29,Multiples!$B:$B,Multiples!P:P),"")</f>
        <v>-7.8502322419848189</v>
      </c>
      <c r="Q29" s="335">
        <f>IFERROR(_xlfn.XLOOKUP($K29,Multiples!$B:$B,Multiples!Q:Q),"")</f>
        <v>-5.857809372757826</v>
      </c>
      <c r="R29" s="335">
        <f>IFERROR(_xlfn.XLOOKUP($K29,Multiples!$B:$B,Multiples!R:R),"")</f>
        <v>-4.6356266835970432</v>
      </c>
      <c r="S29" s="597"/>
      <c r="T29" s="424"/>
      <c r="U29" s="424"/>
      <c r="V29" s="424"/>
    </row>
    <row r="30" spans="4:22" ht="15.5" x14ac:dyDescent="0.35">
      <c r="D30" s="30">
        <f t="shared" si="0"/>
        <v>2026</v>
      </c>
      <c r="E30" s="566">
        <f>+DCF!I28</f>
        <v>22.597120000000004</v>
      </c>
      <c r="F30" s="567">
        <f>+DCF!I58</f>
        <v>-4.6356266835970432</v>
      </c>
      <c r="G30" s="568">
        <f ca="1">+INDEX(DCF!X11:AA11,MATCH(Summary!$G$25,{"FCFF","FCFE","Tax Shield","Total Payout"},0))</f>
        <v>-83.004918270873262</v>
      </c>
      <c r="H30" s="566">
        <f ca="1">+IF(Summary!$G$25="FCFF",DCF!AB11,IF(Summary!$G$25="FCFE",DCF!AC11,DCF!AD11))</f>
        <v>-104.75181244444444</v>
      </c>
      <c r="I30" s="710">
        <f>+DCF!I132</f>
        <v>0</v>
      </c>
      <c r="J30" s="424"/>
      <c r="K30" s="18" t="s">
        <v>21</v>
      </c>
      <c r="L30"/>
      <c r="M30"/>
      <c r="N30" s="351">
        <f>IFERROR(_xlfn.XLOOKUP($K30,Multiples!$B:$B,Multiples!N:N),"")</f>
        <v>1.1152934615920813</v>
      </c>
      <c r="O30" s="351">
        <f>IFERROR(_xlfn.XLOOKUP($K30,Multiples!$B:$B,Multiples!O:O),"")</f>
        <v>-8.8225622288193666</v>
      </c>
      <c r="P30" s="328">
        <f>IFERROR(_xlfn.XLOOKUP($K30,Multiples!$B:$B,Multiples!P:P),"")</f>
        <v>-8.2458366375892158</v>
      </c>
      <c r="Q30" s="335">
        <f>IFERROR(_xlfn.XLOOKUP($K30,Multiples!$B:$B,Multiples!Q:Q),"")</f>
        <v>-5.857809372757826</v>
      </c>
      <c r="R30" s="335">
        <f>IFERROR(_xlfn.XLOOKUP($K30,Multiples!$B:$B,Multiples!R:R),"")</f>
        <v>-4.6356266835970432</v>
      </c>
      <c r="S30" s="597"/>
      <c r="T30" s="424"/>
      <c r="U30" s="702" t="s">
        <v>30</v>
      </c>
      <c r="V30" s="673"/>
    </row>
    <row r="31" spans="4:22" ht="14.25" customHeight="1" x14ac:dyDescent="0.35">
      <c r="D31" s="30">
        <f t="shared" si="0"/>
        <v>2027</v>
      </c>
      <c r="E31" s="566">
        <f>+DCF!J28</f>
        <v>36.155392000000006</v>
      </c>
      <c r="F31" s="567">
        <f>+DCF!J58</f>
        <v>-3.6759375572016508</v>
      </c>
      <c r="G31" s="568">
        <f ca="1">+INDEX(DCF!X12:AA12,MATCH(Summary!$G$25,{"FCFF","FCFE","Tax Shield","Total Payout"},0))</f>
        <v>-108.34030339286761</v>
      </c>
      <c r="H31" s="566">
        <f ca="1">+IF(Summary!$G$25="FCFF",DCF!AB12,IF(Summary!$G$25="FCFE",DCF!AC12,DCF!AD12))</f>
        <v>-132.90496334814813</v>
      </c>
      <c r="I31" s="710">
        <f>+DCF!J132</f>
        <v>0</v>
      </c>
      <c r="J31" s="424"/>
      <c r="K31" s="18" t="s">
        <v>31</v>
      </c>
      <c r="L31"/>
      <c r="M31"/>
      <c r="N31" s="351">
        <f>IFERROR(_xlfn.XLOOKUP($K31,Multiples!$B:$B,Multiples!N:N),"")</f>
        <v>0.5924996514707932</v>
      </c>
      <c r="O31" s="351">
        <f>IFERROR(_xlfn.XLOOKUP($K31,Multiples!$B:$B,Multiples!O:O),"")</f>
        <v>0.52774606074446229</v>
      </c>
      <c r="P31" s="328">
        <f>IFERROR(_xlfn.XLOOKUP($K31,Multiples!$B:$B,Multiples!P:P),"")</f>
        <v>0.63022544465843433</v>
      </c>
      <c r="Q31" s="335">
        <f>IFERROR(_xlfn.XLOOKUP($K31,Multiples!$B:$B,Multiples!Q:Q),"")</f>
        <v>0.6</v>
      </c>
      <c r="R31" s="335">
        <f>IFERROR(_xlfn.XLOOKUP($K31,Multiples!$B:$B,Multiples!R:R),"")</f>
        <v>0.6</v>
      </c>
      <c r="S31" s="597"/>
      <c r="T31" s="424"/>
      <c r="U31" s="25" t="s">
        <v>32</v>
      </c>
      <c r="V31" s="34">
        <f ca="1">Peers!D74</f>
        <v>1.4737</v>
      </c>
    </row>
    <row r="32" spans="4:22" ht="14.25" customHeight="1" x14ac:dyDescent="0.35">
      <c r="D32" s="30">
        <f t="shared" si="0"/>
        <v>2028</v>
      </c>
      <c r="E32" s="566">
        <f>+DCF!K28</f>
        <v>57.84862720000001</v>
      </c>
      <c r="F32" s="567">
        <f>+DCF!K58</f>
        <v>-2.9140842821445627</v>
      </c>
      <c r="G32" s="568">
        <f ca="1">+INDEX(DCF!X14:AA14,MATCH(Summary!$G$25,{"FCFF","FCFE","Tax Shield","Total Payout"},0))</f>
        <v>-146.48189569142153</v>
      </c>
      <c r="H32" s="566">
        <f ca="1">+IF(Summary!$G$25="FCFF",DCF!AB14,IF(Summary!$G$25="FCFE",DCF!AC14,DCF!AD14))</f>
        <v>-168.57577526716045</v>
      </c>
      <c r="I32" s="710">
        <f>+DCF!K132</f>
        <v>0</v>
      </c>
      <c r="J32" s="424"/>
      <c r="K32" s="18" t="s">
        <v>33</v>
      </c>
      <c r="L32"/>
      <c r="M32"/>
      <c r="N32" s="351">
        <f>IFERROR(_xlfn.XLOOKUP($K32,Multiples!$B:$B,Multiples!N:N),"")</f>
        <v>4.4063850550676147</v>
      </c>
      <c r="O32" s="351">
        <f>IFERROR(_xlfn.XLOOKUP($K32,Multiples!$B:$B,Multiples!O:O),"")</f>
        <v>5.3996346197762053</v>
      </c>
      <c r="P32" s="328">
        <f>IFERROR(_xlfn.XLOOKUP($K32,Multiples!$B:$B,Multiples!P:P),"")</f>
        <v>5.3796306785997503</v>
      </c>
      <c r="Q32" s="335">
        <f>IFERROR(_xlfn.XLOOKUP($K32,Multiples!$B:$B,Multiples!Q:Q),"")</f>
        <v>3</v>
      </c>
      <c r="R32" s="335">
        <f>IFERROR(_xlfn.XLOOKUP($K32,Multiples!$B:$B,Multiples!R:R),"")</f>
        <v>2</v>
      </c>
      <c r="S32" s="597"/>
      <c r="T32" s="424"/>
      <c r="U32" s="35" t="s">
        <v>34</v>
      </c>
      <c r="V32" s="32">
        <f>+Peers!D73</f>
        <v>0.95899999999999996</v>
      </c>
    </row>
    <row r="33" spans="4:30" ht="14.25" customHeight="1" x14ac:dyDescent="0.35">
      <c r="D33" s="30">
        <f t="shared" si="0"/>
        <v>2029</v>
      </c>
      <c r="E33" s="566">
        <f>+DCF!L28</f>
        <v>92.557803520000022</v>
      </c>
      <c r="F33" s="567">
        <f>+DCF!L58</f>
        <v>-2.1042317434616256</v>
      </c>
      <c r="G33" s="568">
        <f ca="1">+INDEX(DCF!X15:AA15,MATCH(Summary!$G$25,{"FCFF","FCFE","Tax Shield","Total Payout"},0))</f>
        <v>-171.10264838690961</v>
      </c>
      <c r="H33" s="566">
        <f ca="1">+IF(Summary!$G$25="FCFF",DCF!AB15,IF(Summary!$G$25="FCFE",DCF!AC15,DCF!AD15))</f>
        <v>-194.76306827186824</v>
      </c>
      <c r="I33" s="710">
        <f>+DCF!L132</f>
        <v>0</v>
      </c>
      <c r="J33" s="424"/>
      <c r="K33" s="18" t="s">
        <v>35</v>
      </c>
      <c r="L33"/>
      <c r="M33"/>
      <c r="N33" s="351">
        <f>IFERROR(_xlfn.XLOOKUP($K33,Multiples!$B:$B,Multiples!N:N),"")</f>
        <v>-7.4866861843022443</v>
      </c>
      <c r="O33" s="351">
        <f>IFERROR(_xlfn.XLOOKUP($K33,Multiples!$B:$B,Multiples!O:O),"")</f>
        <v>-9.444507878511077</v>
      </c>
      <c r="P33" s="328">
        <f>IFERROR(_xlfn.XLOOKUP($K33,Multiples!$B:$B,Multiples!P:P),"")</f>
        <v>-16.299875382349608</v>
      </c>
      <c r="Q33" s="335">
        <f>IFERROR(_xlfn.XLOOKUP($K33,Multiples!$B:$B,Multiples!Q:Q),"")</f>
        <v>-7.7556771836411018</v>
      </c>
      <c r="R33" s="335">
        <f>IFERROR(_xlfn.XLOOKUP($K33,Multiples!$B:$B,Multiples!R:R),"")</f>
        <v>-6.7275828955194283</v>
      </c>
      <c r="S33" s="597"/>
      <c r="T33" s="424"/>
      <c r="U33" s="25" t="s">
        <v>36</v>
      </c>
      <c r="V33" s="32">
        <f>+Peers!D76</f>
        <v>1.7600000000000001E-2</v>
      </c>
      <c r="W33" s="424"/>
      <c r="X33" s="424"/>
      <c r="Y33" s="424"/>
      <c r="Z33" s="424"/>
      <c r="AA33" s="424"/>
      <c r="AB33" s="424"/>
      <c r="AC33" s="424"/>
      <c r="AD33" s="424"/>
    </row>
    <row r="34" spans="4:30" ht="14.25" customHeight="1" x14ac:dyDescent="0.3">
      <c r="D34" s="424"/>
      <c r="E34" s="424"/>
      <c r="F34" s="424"/>
      <c r="G34" s="424"/>
      <c r="H34" s="424"/>
      <c r="I34" s="424"/>
      <c r="J34" s="424"/>
      <c r="K34" s="424"/>
      <c r="L34" s="424"/>
      <c r="M34" s="424"/>
      <c r="N34" s="424"/>
      <c r="O34" s="424"/>
      <c r="P34" s="424"/>
      <c r="Q34" s="424"/>
      <c r="R34" s="424"/>
      <c r="S34" s="674"/>
      <c r="T34" s="424"/>
      <c r="U34" s="25" t="s">
        <v>37</v>
      </c>
      <c r="V34" s="32">
        <f>+Peers!D77</f>
        <v>0.19359999999999999</v>
      </c>
      <c r="W34" s="424"/>
      <c r="X34" s="424"/>
      <c r="Y34" s="424"/>
      <c r="Z34" s="424"/>
      <c r="AA34" s="424"/>
      <c r="AB34" s="424"/>
      <c r="AC34" s="424"/>
      <c r="AD34" s="424"/>
    </row>
    <row r="35" spans="4:30" ht="14.25" customHeight="1" x14ac:dyDescent="0.35">
      <c r="D35" s="7" t="s">
        <v>38</v>
      </c>
      <c r="E35" s="4"/>
      <c r="F35" s="4"/>
      <c r="G35" s="4"/>
      <c r="H35" s="4"/>
      <c r="I35" s="4"/>
      <c r="J35" s="424"/>
      <c r="K35" s="7" t="s">
        <v>39</v>
      </c>
      <c r="L35" s="4"/>
      <c r="M35" s="4"/>
      <c r="N35" s="4">
        <v>2022</v>
      </c>
      <c r="O35" s="4">
        <f>+N35+1</f>
        <v>2023</v>
      </c>
      <c r="P35" s="327">
        <f>+O35+1</f>
        <v>2024</v>
      </c>
      <c r="Q35" s="5">
        <f>+P35+1</f>
        <v>2025</v>
      </c>
      <c r="R35" s="5">
        <f>+Q35+1</f>
        <v>2026</v>
      </c>
      <c r="S35" s="596"/>
      <c r="T35" s="424"/>
      <c r="U35" s="36" t="s">
        <v>40</v>
      </c>
      <c r="V35" s="574">
        <f>+Peers!D78</f>
        <v>0.23100000000000001</v>
      </c>
      <c r="W35" s="424"/>
      <c r="X35" s="424"/>
      <c r="Y35" s="424"/>
      <c r="Z35" s="424"/>
      <c r="AA35" s="424"/>
      <c r="AB35" s="424"/>
      <c r="AC35" s="424"/>
      <c r="AD35" s="424"/>
    </row>
    <row r="36" spans="4:30" ht="14.25" customHeight="1" x14ac:dyDescent="0.35">
      <c r="D36" s="570" t="s">
        <v>41</v>
      </c>
      <c r="E36" s="570"/>
      <c r="F36" s="571"/>
      <c r="G36" s="570" t="s">
        <v>42</v>
      </c>
      <c r="H36" s="570"/>
      <c r="I36" s="570"/>
      <c r="J36" s="424"/>
      <c r="K36" s="33" t="s">
        <v>43</v>
      </c>
      <c r="L36"/>
      <c r="M36"/>
      <c r="N36" s="351">
        <f>IFERROR(_xlfn.XLOOKUP($K36,Multiples!$B:$B,Multiples!N:N),"")</f>
        <v>0.44046134663341652</v>
      </c>
      <c r="O36" s="351">
        <f>IFERROR(_xlfn.XLOOKUP($K36,Multiples!$B:$B,Multiples!O:O),"")</f>
        <v>3.6717333333333335</v>
      </c>
      <c r="P36" s="328">
        <f>IFERROR(_xlfn.XLOOKUP($K36,Multiples!$B:$B,Multiples!P:P),"")</f>
        <v>5.9041300381489465</v>
      </c>
      <c r="Q36" s="335">
        <f>IFERROR(_xlfn.XLOOKUP($K36,Multiples!$B:$B,Multiples!Q:Q),"")</f>
        <v>6.1449260762130251</v>
      </c>
      <c r="R36" s="335">
        <f>IFERROR(_xlfn.XLOOKUP($K36,Multiples!$B:$B,Multiples!R:R),"")</f>
        <v>4.2334192379828153</v>
      </c>
      <c r="S36" s="597"/>
      <c r="T36" s="424"/>
      <c r="U36" s="424"/>
      <c r="V36" s="424"/>
      <c r="W36" s="575">
        <v>120.87</v>
      </c>
      <c r="X36" s="424"/>
      <c r="Y36" s="424"/>
      <c r="Z36" s="424"/>
      <c r="AA36" s="424"/>
      <c r="AB36" s="424"/>
      <c r="AC36" s="424"/>
      <c r="AD36" s="424"/>
    </row>
    <row r="37" spans="4:30" ht="45.75" customHeight="1" x14ac:dyDescent="0.35">
      <c r="D37" s="947" t="s">
        <v>44</v>
      </c>
      <c r="E37" s="947"/>
      <c r="F37" s="948"/>
      <c r="G37" s="951" t="s">
        <v>45</v>
      </c>
      <c r="H37" s="947"/>
      <c r="I37" s="947"/>
      <c r="J37" s="424"/>
      <c r="K37" s="18" t="s">
        <v>46</v>
      </c>
      <c r="L37"/>
      <c r="M37"/>
      <c r="N37" s="351">
        <f>IFERROR(_xlfn.XLOOKUP($K37,Multiples!$B:$B,Multiples!N:N),"")</f>
        <v>0.48765586034912722</v>
      </c>
      <c r="O37" s="351">
        <f>IFERROR(_xlfn.XLOOKUP($K37,Multiples!$B:$B,Multiples!O:O),"")</f>
        <v>3.8185777777777781</v>
      </c>
      <c r="P37" s="328">
        <f>IFERROR(_xlfn.XLOOKUP($K37,Multiples!$B:$B,Multiples!P:P),"")</f>
        <v>5.9512356941449651</v>
      </c>
      <c r="Q37" s="335">
        <f>IFERROR(_xlfn.XLOOKUP($K37,Multiples!$B:$B,Multiples!Q:Q),"")</f>
        <v>6.2141599834128698</v>
      </c>
      <c r="R37" s="335">
        <f>IFERROR(_xlfn.XLOOKUP($K37,Multiples!$B:$B,Multiples!R:R),"")</f>
        <v>4.3554514680188854</v>
      </c>
      <c r="S37" s="597"/>
      <c r="T37" s="424"/>
      <c r="U37" s="702" t="s">
        <v>47</v>
      </c>
      <c r="V37" s="673"/>
      <c r="W37" s="575">
        <v>113.63</v>
      </c>
      <c r="X37" s="424"/>
      <c r="Y37" s="424"/>
      <c r="Z37" s="424"/>
      <c r="AA37" s="424"/>
      <c r="AB37" s="424"/>
      <c r="AC37" s="424"/>
      <c r="AD37" s="424"/>
    </row>
    <row r="38" spans="4:30" ht="54" customHeight="1" x14ac:dyDescent="0.35">
      <c r="D38" s="949"/>
      <c r="E38" s="949"/>
      <c r="F38" s="950"/>
      <c r="G38" s="952"/>
      <c r="H38" s="949"/>
      <c r="I38" s="949"/>
      <c r="J38" s="424"/>
      <c r="K38" s="18" t="s">
        <v>48</v>
      </c>
      <c r="L38"/>
      <c r="M38"/>
      <c r="N38" s="351">
        <f>IFERROR(_xlfn.XLOOKUP($K38,Multiples!$B:$B,Multiples!N:N),"")</f>
        <v>0.86814214463840411</v>
      </c>
      <c r="O38" s="351">
        <f>IFERROR(_xlfn.XLOOKUP($K38,Multiples!$B:$B,Multiples!O:O),"")</f>
        <v>4.1818666666666662</v>
      </c>
      <c r="P38" s="328">
        <f>IFERROR(_xlfn.XLOOKUP($K38,Multiples!$B:$B,Multiples!P:P),"")</f>
        <v>6.1383313982418306</v>
      </c>
      <c r="Q38" s="335">
        <f>IFERROR(_xlfn.XLOOKUP($K38,Multiples!$B:$B,Multiples!Q:Q),"")</f>
        <v>6.4917592937318158</v>
      </c>
      <c r="R38" s="335">
        <f>IFERROR(_xlfn.XLOOKUP($K38,Multiples!$B:$B,Multiples!R:R),"")</f>
        <v>6.4917592937318158</v>
      </c>
      <c r="S38" s="597"/>
      <c r="T38" s="424"/>
      <c r="U38" s="25" t="s">
        <v>49</v>
      </c>
      <c r="V38" s="17">
        <v>0.13750000000000001</v>
      </c>
      <c r="W38" s="575"/>
      <c r="X38" s="424"/>
      <c r="Y38" s="424"/>
      <c r="Z38" s="424"/>
      <c r="AA38" s="424"/>
      <c r="AB38" s="424"/>
      <c r="AC38" s="424"/>
      <c r="AD38" s="424"/>
    </row>
    <row r="39" spans="4:30" ht="41.25" customHeight="1" x14ac:dyDescent="0.3">
      <c r="D39" s="949"/>
      <c r="E39" s="949"/>
      <c r="F39" s="950"/>
      <c r="G39" s="952"/>
      <c r="H39" s="949"/>
      <c r="I39" s="949"/>
      <c r="J39" s="424"/>
      <c r="K39"/>
      <c r="L39"/>
      <c r="M39"/>
      <c r="N39"/>
      <c r="O39"/>
      <c r="P39"/>
      <c r="Q39"/>
      <c r="R39"/>
      <c r="S39" s="598"/>
      <c r="T39" s="424"/>
      <c r="U39" s="25" t="s">
        <v>50</v>
      </c>
      <c r="V39" s="17">
        <v>2.9600000000000001E-2</v>
      </c>
      <c r="W39" s="575"/>
      <c r="X39" s="424"/>
      <c r="Y39" s="424"/>
      <c r="Z39" s="424"/>
      <c r="AA39" s="424"/>
      <c r="AB39" s="424"/>
      <c r="AC39" s="424"/>
      <c r="AD39" s="424"/>
    </row>
    <row r="40" spans="4:30" ht="14.25" customHeight="1" x14ac:dyDescent="0.35">
      <c r="D40" s="570" t="s">
        <v>51</v>
      </c>
      <c r="E40" s="570"/>
      <c r="F40" s="571"/>
      <c r="G40" s="570" t="s">
        <v>52</v>
      </c>
      <c r="H40" s="570"/>
      <c r="I40" s="570"/>
      <c r="J40" s="424"/>
      <c r="K40" s="7" t="s">
        <v>53</v>
      </c>
      <c r="L40" s="4"/>
      <c r="M40" s="4"/>
      <c r="N40" s="4">
        <v>2022</v>
      </c>
      <c r="O40" s="4">
        <f>+N40+1</f>
        <v>2023</v>
      </c>
      <c r="P40" s="327">
        <f>+O40+1</f>
        <v>2024</v>
      </c>
      <c r="Q40" s="5">
        <f>+P40+1</f>
        <v>2025</v>
      </c>
      <c r="R40" s="5">
        <f>+Q40+1</f>
        <v>2026</v>
      </c>
      <c r="S40" s="596"/>
      <c r="T40" s="424"/>
      <c r="U40" s="25" t="s">
        <v>54</v>
      </c>
      <c r="V40" s="17">
        <v>2.4400000000000002E-2</v>
      </c>
      <c r="W40" s="575"/>
      <c r="X40" s="424"/>
      <c r="Y40" s="424"/>
      <c r="Z40" s="424"/>
      <c r="AA40" s="424"/>
      <c r="AB40" s="424"/>
      <c r="AC40" s="424"/>
      <c r="AD40" s="424"/>
    </row>
    <row r="41" spans="4:30" ht="53.25" customHeight="1" x14ac:dyDescent="0.35">
      <c r="D41" s="947" t="s">
        <v>55</v>
      </c>
      <c r="E41" s="947"/>
      <c r="F41" s="948"/>
      <c r="G41" s="951" t="s">
        <v>56</v>
      </c>
      <c r="H41" s="947"/>
      <c r="I41" s="947"/>
      <c r="J41" s="424"/>
      <c r="K41" s="22" t="s">
        <v>57</v>
      </c>
      <c r="L41"/>
      <c r="M41"/>
      <c r="N41" s="351">
        <f>IFERROR(_xlfn.XLOOKUP($K41,Multiples!$B:$B,Multiples!N:N),"")</f>
        <v>121.61336161058225</v>
      </c>
      <c r="O41" s="351">
        <f>IFERROR(_xlfn.XLOOKUP($K41,Multiples!$B:$B,Multiples!O:O),"")</f>
        <v>191.17594115664565</v>
      </c>
      <c r="P41" s="328">
        <f>IFERROR(_xlfn.XLOOKUP($K41,Multiples!$B:$B,Multiples!P:P),"")</f>
        <v>213.55559625713889</v>
      </c>
      <c r="Q41" s="335">
        <f>IFERROR(_xlfn.XLOOKUP($K41,Multiples!$B:$B,Multiples!Q:Q),"")</f>
        <v>40.898488049279166</v>
      </c>
      <c r="R41" s="335">
        <f>IFERROR(_xlfn.XLOOKUP($K41,Multiples!$B:$B,Multiples!R:R),"")</f>
        <v>106.62455678775345</v>
      </c>
      <c r="S41" s="597"/>
      <c r="T41" s="424"/>
      <c r="U41" s="25" t="s">
        <v>58</v>
      </c>
      <c r="V41" s="17">
        <v>1.49E-2</v>
      </c>
      <c r="W41" s="575"/>
      <c r="X41" s="424"/>
      <c r="Y41" s="424"/>
      <c r="Z41" s="424"/>
      <c r="AA41" s="424"/>
      <c r="AB41" s="424"/>
      <c r="AC41" s="424"/>
      <c r="AD41" s="424"/>
    </row>
    <row r="42" spans="4:30" ht="56.25" customHeight="1" x14ac:dyDescent="0.35">
      <c r="D42" s="949"/>
      <c r="E42" s="949"/>
      <c r="F42" s="950"/>
      <c r="G42" s="952"/>
      <c r="H42" s="949"/>
      <c r="I42" s="949"/>
      <c r="J42" s="424"/>
      <c r="K42" s="18" t="s">
        <v>59</v>
      </c>
      <c r="L42"/>
      <c r="M42"/>
      <c r="N42" s="351">
        <f>IFERROR(_xlfn.XLOOKUP($K42,Multiples!$B:$B,Multiples!N:N),"")</f>
        <v>1.1874143191969222</v>
      </c>
      <c r="O42" s="351">
        <f>IFERROR(_xlfn.XLOOKUP($K42,Multiples!$B:$B,Multiples!O:O),"")</f>
        <v>1.3638312255766789</v>
      </c>
      <c r="P42" s="328">
        <f>IFERROR(_xlfn.XLOOKUP($K42,Multiples!$B:$B,Multiples!P:P),"")</f>
        <v>3.3740355978706935</v>
      </c>
      <c r="Q42" s="335">
        <f>IFERROR(_xlfn.XLOOKUP($K42,Multiples!$B:$B,Multiples!Q:Q),"")</f>
        <v>1.652153251738145</v>
      </c>
      <c r="R42" s="335">
        <f>IFERROR(_xlfn.XLOOKUP($K42,Multiples!$B:$B,Multiples!R:R),"")</f>
        <v>1.9041721767251432</v>
      </c>
      <c r="S42" s="597"/>
      <c r="T42" s="424"/>
      <c r="U42" s="25" t="s">
        <v>60</v>
      </c>
      <c r="V42" s="17">
        <v>1.06E-2</v>
      </c>
      <c r="W42" s="575"/>
      <c r="X42" s="683"/>
      <c r="Y42" s="424"/>
      <c r="Z42" s="424"/>
      <c r="AA42" s="424"/>
      <c r="AB42" s="424"/>
      <c r="AC42" s="424"/>
      <c r="AD42" s="424"/>
    </row>
    <row r="43" spans="4:30" ht="51.75" customHeight="1" x14ac:dyDescent="0.35">
      <c r="D43" s="949"/>
      <c r="E43" s="949"/>
      <c r="F43" s="950"/>
      <c r="G43" s="952"/>
      <c r="H43" s="949"/>
      <c r="I43" s="949"/>
      <c r="J43" s="424"/>
      <c r="K43" s="33" t="s">
        <v>61</v>
      </c>
      <c r="L43"/>
      <c r="M43"/>
      <c r="N43" s="351">
        <f>IFERROR(_xlfn.XLOOKUP($K43,Multiples!$B:$B,Multiples!N:N),"")</f>
        <v>5.346482112059435E-2</v>
      </c>
      <c r="O43" s="351">
        <f>IFERROR(_xlfn.XLOOKUP($K43,Multiples!$B:$B,Multiples!O:O),"")</f>
        <v>-0.56459298586951134</v>
      </c>
      <c r="P43" s="328">
        <f>IFERROR(_xlfn.XLOOKUP($K43,Multiples!$B:$B,Multiples!P:P),"")</f>
        <v>-3.205051239359332</v>
      </c>
      <c r="Q43" s="335">
        <f>IFERROR(_xlfn.XLOOKUP($K43,Multiples!$B:$B,Multiples!Q:Q),"")</f>
        <v>-0.18604820710174533</v>
      </c>
      <c r="R43" s="335">
        <f>IFERROR(_xlfn.XLOOKUP($K43,Multiples!$B:$B,Multiples!R:R),"")</f>
        <v>0.74152458535779364</v>
      </c>
      <c r="S43" s="597"/>
      <c r="T43" s="424"/>
      <c r="U43" s="25" t="s">
        <v>62</v>
      </c>
      <c r="V43" s="17">
        <v>1.0200000000000001E-2</v>
      </c>
      <c r="W43" s="575"/>
      <c r="X43" s="424"/>
      <c r="Y43" s="424"/>
      <c r="Z43" s="424"/>
      <c r="AA43" s="424"/>
      <c r="AB43" s="424"/>
      <c r="AC43" s="424"/>
      <c r="AD43" s="424"/>
    </row>
    <row r="44" spans="4:30" ht="15.75" customHeight="1" x14ac:dyDescent="0.3">
      <c r="D44" s="424"/>
      <c r="E44" s="684"/>
      <c r="F44" s="424"/>
      <c r="G44" s="685"/>
      <c r="H44" s="424"/>
      <c r="I44" s="424"/>
      <c r="J44" s="424"/>
      <c r="K44"/>
      <c r="L44"/>
      <c r="M44"/>
      <c r="N44"/>
      <c r="O44"/>
      <c r="P44"/>
      <c r="Q44"/>
      <c r="R44"/>
      <c r="S44" s="598"/>
      <c r="T44" s="424"/>
      <c r="U44" s="25" t="s">
        <v>63</v>
      </c>
      <c r="V44" s="17">
        <v>9.7000000000000003E-3</v>
      </c>
      <c r="W44" s="575"/>
      <c r="X44" s="424"/>
      <c r="Y44" s="424"/>
      <c r="Z44" s="424"/>
      <c r="AA44" s="424"/>
      <c r="AB44" s="424"/>
      <c r="AC44" s="424"/>
      <c r="AD44" s="424"/>
    </row>
    <row r="45" spans="4:30" ht="14.25" customHeight="1" x14ac:dyDescent="0.35">
      <c r="D45" s="572" t="s">
        <v>64</v>
      </c>
      <c r="E45" s="4"/>
      <c r="F45" s="4"/>
      <c r="G45" s="4" t="s">
        <v>65</v>
      </c>
      <c r="H45" s="4"/>
      <c r="I45" s="4"/>
      <c r="J45" s="424"/>
      <c r="K45" s="7" t="s">
        <v>66</v>
      </c>
      <c r="L45" s="4"/>
      <c r="M45" s="4"/>
      <c r="N45" s="4">
        <v>2022</v>
      </c>
      <c r="O45" s="4">
        <f>+N45+1</f>
        <v>2023</v>
      </c>
      <c r="P45" s="327">
        <f>+O45+1</f>
        <v>2024</v>
      </c>
      <c r="Q45" s="5">
        <f>+P45+1</f>
        <v>2025</v>
      </c>
      <c r="R45" s="5">
        <f>+Q45+1</f>
        <v>2026</v>
      </c>
      <c r="S45" s="596"/>
      <c r="T45" s="424"/>
      <c r="U45" s="25" t="s">
        <v>67</v>
      </c>
      <c r="V45" s="17">
        <v>9.4999999999999998E-3</v>
      </c>
      <c r="W45" s="575"/>
      <c r="X45" s="424"/>
      <c r="Y45" s="424"/>
      <c r="Z45" s="424"/>
      <c r="AA45" s="424"/>
      <c r="AB45" s="424"/>
      <c r="AC45" s="424"/>
      <c r="AD45" s="424"/>
    </row>
    <row r="46" spans="4:30" ht="14.25" customHeight="1" x14ac:dyDescent="0.35">
      <c r="D46" s="424"/>
      <c r="E46" s="686"/>
      <c r="F46" s="424"/>
      <c r="G46" s="685"/>
      <c r="H46" s="424"/>
      <c r="I46" s="424"/>
      <c r="J46" s="424"/>
      <c r="K46" s="18" t="s">
        <v>68</v>
      </c>
      <c r="L46"/>
      <c r="M46"/>
      <c r="N46" s="351">
        <f>IFERROR(_xlfn.XLOOKUP($K46,Multiples!$B:$B,Multiples!N:N),"")</f>
        <v>-378.30499270271179</v>
      </c>
      <c r="O46" s="351">
        <f>IFERROR(_xlfn.XLOOKUP($K46,Multiples!$B:$B,Multiples!O:O),"")</f>
        <v>-409.78718189616433</v>
      </c>
      <c r="P46" s="328">
        <f>IFERROR(_xlfn.XLOOKUP($K46,Multiples!$B:$B,Multiples!P:P),"")</f>
        <v>612.6009641477508</v>
      </c>
      <c r="Q46" s="335">
        <f>IFERROR(_xlfn.XLOOKUP($K46,Multiples!$B:$B,Multiples!Q:Q),"")</f>
        <v>-7.3442843817404166E-3</v>
      </c>
      <c r="R46" s="335">
        <f>IFERROR(_xlfn.XLOOKUP($K46,Multiples!$B:$B,Multiples!R:R),"")</f>
        <v>-1.6272380663229832E-2</v>
      </c>
      <c r="S46" s="597"/>
      <c r="T46" s="424"/>
      <c r="U46" s="25" t="s">
        <v>69</v>
      </c>
      <c r="V46" s="17">
        <v>8.6999999999999994E-3</v>
      </c>
      <c r="W46" s="424"/>
      <c r="X46" s="424"/>
      <c r="Y46"/>
      <c r="Z46" s="424"/>
      <c r="AA46" s="424"/>
      <c r="AB46" s="424"/>
      <c r="AC46" s="424"/>
      <c r="AD46"/>
    </row>
    <row r="47" spans="4:30" ht="15" customHeight="1" x14ac:dyDescent="0.35">
      <c r="D47" s="424"/>
      <c r="E47" s="686"/>
      <c r="F47" s="424"/>
      <c r="G47" s="685"/>
      <c r="H47" s="424"/>
      <c r="I47" s="424"/>
      <c r="J47" s="424"/>
      <c r="K47" s="234" t="s">
        <v>70</v>
      </c>
      <c r="L47" s="424"/>
      <c r="M47" s="424"/>
      <c r="N47" s="351">
        <f>IFERROR(_xlfn.XLOOKUP($K47,Multiples!$B:$B,Multiples!N:N),"")</f>
        <v>1.002650375742014</v>
      </c>
      <c r="O47" s="351">
        <f>IFERROR(_xlfn.XLOOKUP($K47,Multiples!$B:$B,Multiples!O:O),"")</f>
        <v>1.0024462606566122</v>
      </c>
      <c r="P47" s="328">
        <f>IFERROR(_xlfn.XLOOKUP($K47,Multiples!$B:$B,Multiples!P:P),"")</f>
        <v>0.99837027635478226</v>
      </c>
      <c r="Q47" s="335">
        <f>IFERROR(_xlfn.XLOOKUP($K47,Multiples!$B:$B,Multiples!Q:Q),"")</f>
        <v>-7.3986219654879519E-3</v>
      </c>
      <c r="R47" s="335">
        <f>IFERROR(_xlfn.XLOOKUP($K47,Multiples!$B:$B,Multiples!R:R),"")</f>
        <v>-1.6541551079150021E-2</v>
      </c>
      <c r="S47" s="597"/>
      <c r="T47" s="424"/>
      <c r="U47" s="36" t="s">
        <v>71</v>
      </c>
      <c r="V47" s="586">
        <v>8.3000000000000001E-3</v>
      </c>
      <c r="W47" s="573"/>
      <c r="X47" s="573"/>
      <c r="Y47" s="573"/>
      <c r="Z47" s="573"/>
      <c r="AA47" s="573"/>
      <c r="AB47" s="573"/>
      <c r="AC47" s="424"/>
      <c r="AD47"/>
    </row>
    <row r="48" spans="4:30" ht="14.25" customHeight="1" x14ac:dyDescent="0.35">
      <c r="D48" s="424"/>
      <c r="E48" s="686"/>
      <c r="F48" s="424"/>
      <c r="G48" s="685"/>
      <c r="H48" s="424"/>
      <c r="I48" s="424"/>
      <c r="J48" s="424"/>
      <c r="K48" s="22" t="s">
        <v>72</v>
      </c>
      <c r="L48"/>
      <c r="M48"/>
      <c r="N48" s="351">
        <f>IFERROR(_xlfn.XLOOKUP($K48,Multiples!$B:$B,Multiples!N:N),"")</f>
        <v>2.0933684640219692</v>
      </c>
      <c r="O48" s="351">
        <f>IFERROR(_xlfn.XLOOKUP($K48,Multiples!$B:$B,Multiples!O:O),"")</f>
        <v>1.4124435608868522</v>
      </c>
      <c r="P48" s="328">
        <f>IFERROR(_xlfn.XLOOKUP($K48,Multiples!$B:$B,Multiples!P:P),"")</f>
        <v>0.68653960661085889</v>
      </c>
      <c r="Q48" s="335">
        <f>IFERROR(_xlfn.XLOOKUP($K48,Multiples!$B:$B,Multiples!Q:Q),"")</f>
        <v>44.07491444523945</v>
      </c>
      <c r="R48" s="335">
        <f>IFERROR(_xlfn.XLOOKUP($K48,Multiples!$B:$B,Multiples!R:R),"")</f>
        <v>44.07491444523945</v>
      </c>
      <c r="S48" s="597"/>
      <c r="T48" s="424"/>
      <c r="U48" s="424"/>
      <c r="V48" s="424"/>
      <c r="W48" s="573"/>
      <c r="X48" s="573"/>
      <c r="Y48" s="573"/>
      <c r="Z48" s="573"/>
      <c r="AA48" s="573"/>
      <c r="AB48" s="573"/>
      <c r="AC48" s="424"/>
      <c r="AD48"/>
    </row>
    <row r="49" spans="4:35" ht="14.25" customHeight="1" x14ac:dyDescent="0.35">
      <c r="D49" s="424"/>
      <c r="E49" s="424"/>
      <c r="F49" s="424"/>
      <c r="G49" s="424"/>
      <c r="H49" s="424"/>
      <c r="I49" s="424"/>
      <c r="J49" s="424"/>
      <c r="K49" s="18" t="s">
        <v>73</v>
      </c>
      <c r="L49"/>
      <c r="M49"/>
      <c r="N49" s="351">
        <f>IFERROR(_xlfn.XLOOKUP($K49,Multiples!$B:$B,Multiples!N:N),"")</f>
        <v>-0.19511597374179429</v>
      </c>
      <c r="O49" s="351">
        <f>IFERROR(_xlfn.XLOOKUP($K49,Multiples!$B:$B,Multiples!O:O),"")</f>
        <v>-0.13300982458931626</v>
      </c>
      <c r="P49" s="328">
        <f>IFERROR(_xlfn.XLOOKUP($K49,Multiples!$B:$B,Multiples!P:P),"")</f>
        <v>-0.55382861431004138</v>
      </c>
      <c r="Q49" s="335">
        <f>IFERROR(_xlfn.XLOOKUP($K49,Multiples!$B:$B,Multiples!Q:Q),"")</f>
        <v>-0.85232728524538803</v>
      </c>
      <c r="R49" s="335">
        <f>IFERROR(_xlfn.XLOOKUP($K49,Multiples!$B:$B,Multiples!R:R),"")</f>
        <v>-1.4914709526125207</v>
      </c>
      <c r="S49" s="597"/>
      <c r="T49" s="424"/>
      <c r="U49" s="702" t="s">
        <v>74</v>
      </c>
      <c r="V49" s="673"/>
      <c r="W49" s="573"/>
      <c r="X49" s="573"/>
      <c r="Y49" s="573"/>
      <c r="Z49" s="573"/>
      <c r="AA49" s="573"/>
      <c r="AB49" s="573"/>
      <c r="AC49" s="424"/>
      <c r="AD49"/>
      <c r="AE49" s="424"/>
      <c r="AF49" s="424"/>
      <c r="AG49" s="424"/>
      <c r="AH49" s="424"/>
      <c r="AI49" s="424"/>
    </row>
    <row r="50" spans="4:35" ht="14.25" customHeight="1" x14ac:dyDescent="0.35">
      <c r="D50" s="424"/>
      <c r="E50" s="424"/>
      <c r="F50" s="424"/>
      <c r="G50" s="424"/>
      <c r="H50" s="424"/>
      <c r="I50" s="424"/>
      <c r="J50" s="424"/>
      <c r="K50" s="18" t="s">
        <v>75</v>
      </c>
      <c r="L50" s="424"/>
      <c r="M50" s="424"/>
      <c r="N50" s="351">
        <f>IFERROR(_xlfn.XLOOKUP($K50,Multiples!$B:$B,Multiples!N:N),"")</f>
        <v>-0.19368179606589281</v>
      </c>
      <c r="O50" s="351">
        <f>IFERROR(_xlfn.XLOOKUP($K50,Multiples!$B:$B,Multiples!O:O),"")</f>
        <v>-0.13198957977001816</v>
      </c>
      <c r="P50" s="328">
        <f>IFERROR(_xlfn.XLOOKUP($K50,Multiples!$B:$B,Multiples!P:P),"")</f>
        <v>-0.53532620067234871</v>
      </c>
      <c r="Q50" s="335">
        <f>IFERROR(_xlfn.XLOOKUP($K50,Multiples!$B:$B,Multiples!Q:Q),"")</f>
        <v>-0.85232728524538803</v>
      </c>
      <c r="R50" s="335">
        <f>IFERROR(_xlfn.XLOOKUP($K50,Multiples!$B:$B,Multiples!R:R),"")</f>
        <v>-1.4914709526125207</v>
      </c>
      <c r="S50" s="597"/>
      <c r="T50" s="424"/>
      <c r="U50" s="945" t="s">
        <v>76</v>
      </c>
      <c r="V50" s="945"/>
      <c r="W50" s="573"/>
      <c r="X50" s="573"/>
      <c r="Y50" s="573"/>
      <c r="Z50" s="573"/>
      <c r="AA50" s="573"/>
      <c r="AB50" s="573"/>
      <c r="AC50" s="424"/>
      <c r="AD50"/>
      <c r="AE50" s="424"/>
      <c r="AF50" s="424"/>
      <c r="AG50" s="424"/>
      <c r="AH50" s="424"/>
      <c r="AI50" s="424"/>
    </row>
    <row r="51" spans="4:35" ht="14.25" customHeight="1" x14ac:dyDescent="0.3">
      <c r="D51" s="424"/>
      <c r="E51" s="424"/>
      <c r="F51" s="424"/>
      <c r="G51" s="424"/>
      <c r="H51" s="424"/>
      <c r="I51" s="545"/>
      <c r="J51" s="424"/>
      <c r="K51" t="s">
        <v>77</v>
      </c>
      <c r="L51"/>
      <c r="M51"/>
      <c r="N51" s="351">
        <f>IFERROR(_xlfn.XLOOKUP($K50,Multiples!$B:$B,Multiples!N:N),"")</f>
        <v>-0.19368179606589281</v>
      </c>
      <c r="O51" s="351">
        <f>IFERROR(_xlfn.XLOOKUP($K50,Multiples!$B:$B,Multiples!O:O),"")</f>
        <v>-0.13198957977001816</v>
      </c>
      <c r="P51" s="328">
        <f>IFERROR(_xlfn.XLOOKUP($K50,Multiples!$B:$B,Multiples!P:P),"")</f>
        <v>-0.53532620067234871</v>
      </c>
      <c r="Q51" s="335">
        <f>IFERROR(_xlfn.XLOOKUP($K50,Multiples!$B:$B,Multiples!Q:Q),"")</f>
        <v>-0.85232728524538803</v>
      </c>
      <c r="R51" s="335">
        <f>IFERROR(_xlfn.XLOOKUP($K50,Multiples!$B:$B,Multiples!R:R),"")</f>
        <v>-1.4914709526125207</v>
      </c>
      <c r="S51" s="597"/>
      <c r="T51" s="424"/>
      <c r="U51" s="945"/>
      <c r="V51" s="945"/>
      <c r="W51" s="573"/>
      <c r="X51" s="573"/>
      <c r="Y51" s="573"/>
      <c r="Z51" s="573"/>
      <c r="AA51" s="573"/>
      <c r="AB51" s="573"/>
      <c r="AC51" s="424"/>
      <c r="AD51"/>
      <c r="AE51" s="424"/>
      <c r="AF51" s="424"/>
      <c r="AG51" s="424"/>
      <c r="AH51" s="424"/>
      <c r="AI51" s="424"/>
    </row>
    <row r="52" spans="4:35" x14ac:dyDescent="0.3">
      <c r="D52" s="424"/>
      <c r="E52" s="424"/>
      <c r="F52" s="424"/>
      <c r="G52" s="424"/>
      <c r="H52" s="424"/>
      <c r="I52" s="1"/>
      <c r="J52" s="424"/>
      <c r="K52" s="424"/>
      <c r="L52" s="424"/>
      <c r="M52" s="424"/>
      <c r="N52" s="424"/>
      <c r="O52" s="424"/>
      <c r="P52" s="424"/>
      <c r="Q52" s="424"/>
      <c r="R52" s="424"/>
      <c r="S52" s="674"/>
      <c r="T52" s="424"/>
      <c r="U52" s="945"/>
      <c r="V52" s="945"/>
      <c r="W52" s="573"/>
      <c r="X52" s="573"/>
      <c r="Y52" s="573"/>
      <c r="Z52" s="573"/>
      <c r="AA52" s="573"/>
      <c r="AB52" s="573"/>
      <c r="AC52" s="424"/>
      <c r="AD52"/>
      <c r="AE52" s="424"/>
      <c r="AF52" s="424"/>
      <c r="AG52" s="424"/>
      <c r="AH52" s="424"/>
      <c r="AI52" s="424"/>
    </row>
    <row r="53" spans="4:35" ht="15.5" x14ac:dyDescent="0.35">
      <c r="D53" s="424"/>
      <c r="E53" s="424"/>
      <c r="F53" s="424"/>
      <c r="G53" s="424"/>
      <c r="H53" s="424"/>
      <c r="I53" s="686"/>
      <c r="J53" s="424"/>
      <c r="K53" s="7" t="s">
        <v>78</v>
      </c>
      <c r="L53" s="4"/>
      <c r="M53" s="4"/>
      <c r="N53" s="4">
        <v>2022</v>
      </c>
      <c r="O53" s="4">
        <f>+N53+1</f>
        <v>2023</v>
      </c>
      <c r="P53" s="327">
        <f>+O53+1</f>
        <v>2024</v>
      </c>
      <c r="Q53" s="5">
        <f>+P53+1</f>
        <v>2025</v>
      </c>
      <c r="R53" s="5">
        <f>+Q53+1</f>
        <v>2026</v>
      </c>
      <c r="S53" s="596"/>
      <c r="T53" s="687"/>
      <c r="U53" s="945"/>
      <c r="V53" s="945"/>
      <c r="W53" s="424"/>
      <c r="X53" s="424"/>
      <c r="Y53"/>
      <c r="Z53" s="424"/>
      <c r="AA53" s="424"/>
      <c r="AB53" s="424"/>
      <c r="AC53" s="424"/>
      <c r="AD53"/>
      <c r="AE53" s="424"/>
      <c r="AF53" s="424"/>
      <c r="AG53" s="424"/>
      <c r="AH53" s="424"/>
      <c r="AI53" s="424"/>
    </row>
    <row r="54" spans="4:35" ht="15.5" x14ac:dyDescent="0.35">
      <c r="D54" s="424"/>
      <c r="E54" s="424"/>
      <c r="F54" s="424"/>
      <c r="G54" s="424"/>
      <c r="H54" s="424"/>
      <c r="I54" s="688"/>
      <c r="J54" s="689"/>
      <c r="K54" s="22" t="s">
        <v>79</v>
      </c>
      <c r="L54"/>
      <c r="M54"/>
      <c r="N54" s="351">
        <f>IFERROR(_xlfn.XLOOKUP($K54,Multiples!$B:$B,Multiples!N:N),"")</f>
        <v>3.4261241970021414</v>
      </c>
      <c r="O54" s="351">
        <f>IFERROR(_xlfn.XLOOKUP($K54,Multiples!$B:$B,Multiples!O:O),"")</f>
        <v>-2088.3243243243246</v>
      </c>
      <c r="P54" s="328">
        <f>IFERROR(_xlfn.XLOOKUP($K54,Multiples!$B:$B,Multiples!P:P),"")</f>
        <v>-18.677444187836798</v>
      </c>
      <c r="Q54" s="335" t="str">
        <f>IFERROR(_xlfn.XLOOKUP($K54,Multiples!$B:$B,Multiples!Q:Q),"")</f>
        <v>N/A</v>
      </c>
      <c r="R54" s="335">
        <f>IFERROR(_xlfn.XLOOKUP($K54,Multiples!$B:$B,Multiples!R:R),"")</f>
        <v>0</v>
      </c>
      <c r="S54" s="597"/>
      <c r="T54" s="690"/>
      <c r="U54" s="945"/>
      <c r="V54" s="945"/>
      <c r="W54" s="424"/>
      <c r="X54" s="424"/>
      <c r="Y54"/>
      <c r="Z54" s="424"/>
      <c r="AA54" s="424"/>
      <c r="AB54" s="424"/>
      <c r="AC54" s="424"/>
      <c r="AD54"/>
      <c r="AE54" s="424"/>
      <c r="AF54" s="424"/>
      <c r="AG54" s="424"/>
      <c r="AH54" s="424"/>
      <c r="AI54" s="424"/>
    </row>
    <row r="55" spans="4:35" ht="15.5" x14ac:dyDescent="0.35">
      <c r="D55" s="424"/>
      <c r="E55" s="424"/>
      <c r="F55" s="424"/>
      <c r="G55" s="424"/>
      <c r="H55" s="424"/>
      <c r="I55" s="691"/>
      <c r="J55" s="424"/>
      <c r="K55" s="18" t="s">
        <v>80</v>
      </c>
      <c r="L55" s="424"/>
      <c r="M55" s="424"/>
      <c r="N55" s="351">
        <f>IFERROR(_xlfn.XLOOKUP($K55,Multiples!$B:$B,Multiples!N:N),"")</f>
        <v>-24.464668094218414</v>
      </c>
      <c r="O55" s="351">
        <f>IFERROR(_xlfn.XLOOKUP($K55,Multiples!$B:$B,Multiples!O:O),"")</f>
        <v>-2038.4594594594596</v>
      </c>
      <c r="P55" s="328">
        <f>IFERROR(_xlfn.XLOOKUP($K55,Multiples!$B:$B,Multiples!P:P),"")</f>
        <v>-17.781370284834487</v>
      </c>
      <c r="Q55" s="335">
        <f>IFERROR(_xlfn.XLOOKUP($K55,Multiples!$B:$B,Multiples!Q:Q),"")</f>
        <v>-19.299464234337215</v>
      </c>
      <c r="R55" s="335">
        <f>IFERROR(_xlfn.XLOOKUP($K55,Multiples!$B:$B,Multiples!R:R),"")</f>
        <v>-22.214971984053093</v>
      </c>
      <c r="S55" s="597"/>
      <c r="T55" s="424"/>
      <c r="U55" s="945"/>
      <c r="V55" s="945"/>
      <c r="W55" s="424"/>
      <c r="X55" s="424"/>
      <c r="Y55"/>
      <c r="Z55" s="424"/>
      <c r="AA55" s="424"/>
      <c r="AB55" s="424"/>
      <c r="AC55" s="424"/>
      <c r="AD55"/>
      <c r="AE55" s="424"/>
      <c r="AF55" s="424"/>
      <c r="AG55" s="424"/>
      <c r="AH55" s="424"/>
      <c r="AI55" s="145"/>
    </row>
    <row r="56" spans="4:35" ht="15" customHeight="1" x14ac:dyDescent="0.35">
      <c r="D56" s="424"/>
      <c r="E56" s="424"/>
      <c r="F56" s="424"/>
      <c r="G56" s="424"/>
      <c r="H56" s="424"/>
      <c r="I56" s="691"/>
      <c r="J56" s="424"/>
      <c r="K56" s="18" t="s">
        <v>81</v>
      </c>
      <c r="L56"/>
      <c r="M56"/>
      <c r="N56" s="351">
        <f>IFERROR(_xlfn.XLOOKUP($K56,Multiples!$B:$B,Multiples!N:N),"")</f>
        <v>-24.283511777301928</v>
      </c>
      <c r="O56" s="351">
        <f>IFERROR(_xlfn.XLOOKUP($K56,Multiples!$B:$B,Multiples!O:O),"")</f>
        <v>-2022.7027027027029</v>
      </c>
      <c r="P56" s="328">
        <f>IFERROR(_xlfn.XLOOKUP($K56,Multiples!$B:$B,Multiples!P:P),"")</f>
        <v>-17.166794970490123</v>
      </c>
      <c r="Q56" s="335">
        <f>IFERROR(_xlfn.XLOOKUP($K56,Multiples!$B:$B,Multiples!Q:Q),"")</f>
        <v>-19.299464234337215</v>
      </c>
      <c r="R56" s="335">
        <f>IFERROR(_xlfn.XLOOKUP($K56,Multiples!$B:$B,Multiples!R:R),"")</f>
        <v>-22.214971984053093</v>
      </c>
      <c r="S56" s="597"/>
      <c r="T56" s="424"/>
      <c r="U56" s="945"/>
      <c r="V56" s="945"/>
      <c r="W56" s="424"/>
      <c r="X56" s="424"/>
      <c r="Y56" s="424"/>
      <c r="Z56" s="424"/>
      <c r="AA56" s="424"/>
      <c r="AB56" s="424"/>
      <c r="AC56" s="424"/>
      <c r="AD56" s="424"/>
      <c r="AE56" s="424"/>
      <c r="AF56" s="424"/>
      <c r="AG56" s="424"/>
      <c r="AH56" s="424"/>
      <c r="AI56" s="692"/>
    </row>
    <row r="57" spans="4:35" ht="14.25" customHeight="1" x14ac:dyDescent="0.3">
      <c r="D57" s="424"/>
      <c r="E57" s="424"/>
      <c r="F57" s="424"/>
      <c r="G57" s="424"/>
      <c r="H57" s="424"/>
      <c r="I57" s="691"/>
      <c r="J57" s="424"/>
      <c r="K57" s="424"/>
      <c r="L57" s="424"/>
      <c r="M57" s="424"/>
      <c r="N57" s="424"/>
      <c r="O57" s="424"/>
      <c r="P57" s="424"/>
      <c r="Q57" s="424"/>
      <c r="R57" s="424"/>
      <c r="S57" s="674"/>
      <c r="T57" s="424"/>
      <c r="U57" s="945"/>
      <c r="V57" s="945"/>
      <c r="W57" s="424"/>
      <c r="X57" s="424"/>
      <c r="Y57" s="424"/>
      <c r="Z57" s="424"/>
      <c r="AA57" s="424"/>
      <c r="AB57" s="424"/>
      <c r="AC57" s="424"/>
      <c r="AD57" s="424"/>
      <c r="AE57" s="424"/>
      <c r="AF57" s="424"/>
      <c r="AG57" s="424"/>
      <c r="AH57" s="424"/>
      <c r="AI57" s="424"/>
    </row>
    <row r="58" spans="4:35" ht="14.25" customHeight="1" x14ac:dyDescent="0.3">
      <c r="D58" s="572" t="s">
        <v>82</v>
      </c>
      <c r="E58" s="4"/>
      <c r="F58" s="4"/>
      <c r="G58" s="4"/>
      <c r="H58" s="4"/>
      <c r="I58" s="4"/>
      <c r="J58" s="424"/>
      <c r="K58" s="572" t="s">
        <v>83</v>
      </c>
      <c r="L58" s="4"/>
      <c r="M58" s="4"/>
      <c r="N58" s="4"/>
      <c r="O58" s="4"/>
      <c r="P58" s="4"/>
      <c r="Q58" s="4"/>
      <c r="R58" s="4"/>
      <c r="S58" s="599"/>
      <c r="T58" s="424"/>
      <c r="U58" s="946"/>
      <c r="V58" s="946"/>
      <c r="W58" s="424"/>
      <c r="X58" s="424"/>
      <c r="Y58" s="424"/>
      <c r="Z58" s="424"/>
      <c r="AA58" s="424"/>
      <c r="AB58" s="424"/>
      <c r="AC58" s="424"/>
      <c r="AD58" s="424"/>
      <c r="AE58" s="424"/>
      <c r="AF58" s="424"/>
      <c r="AG58" s="424"/>
      <c r="AH58" s="424"/>
      <c r="AI58" s="424"/>
    </row>
    <row r="59" spans="4:35" ht="14.25" customHeight="1" x14ac:dyDescent="0.3">
      <c r="D59" s="424"/>
      <c r="E59" s="424"/>
      <c r="F59" s="424"/>
      <c r="G59" s="424"/>
      <c r="H59" s="424"/>
      <c r="I59" s="691"/>
      <c r="J59" s="424"/>
      <c r="K59" s="424"/>
      <c r="L59" s="424"/>
      <c r="M59" s="424"/>
      <c r="N59" s="424"/>
      <c r="O59" s="424"/>
      <c r="P59" s="424"/>
      <c r="Q59" s="424"/>
      <c r="R59" s="424"/>
      <c r="S59" s="674"/>
      <c r="T59" s="424"/>
      <c r="U59" s="424"/>
      <c r="V59" s="424"/>
      <c r="W59" s="424"/>
      <c r="X59" s="424"/>
      <c r="Y59" s="424"/>
      <c r="Z59" s="424"/>
      <c r="AA59" s="424"/>
      <c r="AB59" s="424"/>
      <c r="AC59" s="424"/>
      <c r="AD59" s="424"/>
      <c r="AE59" s="424"/>
      <c r="AF59" s="424"/>
      <c r="AG59" s="424"/>
      <c r="AH59" s="424"/>
      <c r="AI59" s="424"/>
    </row>
    <row r="60" spans="4:35" ht="14.25" customHeight="1" thickBot="1" x14ac:dyDescent="0.35">
      <c r="D60" s="424"/>
      <c r="E60" s="424"/>
      <c r="F60" s="424"/>
      <c r="G60" s="424"/>
      <c r="H60" s="424"/>
      <c r="I60" s="691"/>
      <c r="J60" s="424"/>
      <c r="K60" s="424"/>
      <c r="L60" s="424"/>
      <c r="M60" s="424"/>
      <c r="N60" s="424"/>
      <c r="O60" s="424"/>
      <c r="P60" s="424"/>
      <c r="Q60" s="424"/>
      <c r="R60" s="424"/>
      <c r="S60" s="674"/>
      <c r="T60" s="424"/>
      <c r="U60" s="679" t="s">
        <v>84</v>
      </c>
      <c r="V60" s="673"/>
      <c r="W60" s="424"/>
      <c r="X60" s="424"/>
      <c r="Y60" s="424"/>
      <c r="Z60" s="424"/>
      <c r="AA60" s="424"/>
      <c r="AB60" s="424"/>
      <c r="AC60" s="424"/>
      <c r="AD60" s="424"/>
      <c r="AE60" s="424"/>
      <c r="AF60" s="424"/>
      <c r="AG60" s="424"/>
      <c r="AH60" s="424"/>
      <c r="AI60" s="424"/>
    </row>
    <row r="61" spans="4:35" ht="14.25" customHeight="1" thickTop="1" x14ac:dyDescent="0.3">
      <c r="D61" s="424"/>
      <c r="E61" s="424"/>
      <c r="F61" s="424"/>
      <c r="G61" s="424"/>
      <c r="H61" s="424"/>
      <c r="I61" s="691"/>
      <c r="J61" s="424"/>
      <c r="K61" s="424"/>
      <c r="L61" s="424"/>
      <c r="M61" s="424"/>
      <c r="N61" s="424"/>
      <c r="O61" s="424"/>
      <c r="P61" s="424"/>
      <c r="Q61" s="424"/>
      <c r="R61" s="424"/>
      <c r="S61" s="674"/>
      <c r="T61" s="424"/>
      <c r="U61" s="47" t="s">
        <v>85</v>
      </c>
      <c r="V61" s="773">
        <f>ESG!C14</f>
        <v>0</v>
      </c>
      <c r="W61" s="424"/>
      <c r="X61" s="424"/>
      <c r="Y61" s="424"/>
      <c r="Z61" s="424"/>
      <c r="AA61" s="424"/>
      <c r="AB61" s="424"/>
      <c r="AC61" s="424"/>
      <c r="AD61" s="424"/>
      <c r="AE61" s="424"/>
      <c r="AF61" s="424"/>
      <c r="AG61" s="424"/>
      <c r="AH61" s="424"/>
      <c r="AI61" s="424"/>
    </row>
    <row r="62" spans="4:35" ht="14.25" customHeight="1" x14ac:dyDescent="0.3">
      <c r="D62" s="424"/>
      <c r="E62" s="424"/>
      <c r="F62" s="424"/>
      <c r="G62" s="424"/>
      <c r="H62" s="424"/>
      <c r="I62" s="691"/>
      <c r="J62" s="424"/>
      <c r="K62" s="424"/>
      <c r="L62" s="424"/>
      <c r="M62" s="424"/>
      <c r="N62" s="424"/>
      <c r="O62" s="424"/>
      <c r="P62" s="424"/>
      <c r="Q62" s="424"/>
      <c r="R62" s="424"/>
      <c r="S62" s="674"/>
      <c r="T62" s="424"/>
      <c r="U62" s="25" t="s">
        <v>86</v>
      </c>
      <c r="V62" s="774">
        <f>ESG!C15</f>
        <v>0</v>
      </c>
      <c r="W62" s="424"/>
      <c r="X62" s="424"/>
      <c r="Y62" s="424"/>
      <c r="Z62" s="424"/>
      <c r="AA62" s="424"/>
      <c r="AB62" s="424"/>
      <c r="AC62" s="424"/>
      <c r="AD62" s="424"/>
      <c r="AE62" s="424"/>
      <c r="AF62" s="424"/>
      <c r="AG62" s="424"/>
      <c r="AH62" s="424"/>
      <c r="AI62" s="424"/>
    </row>
    <row r="63" spans="4:35" x14ac:dyDescent="0.3">
      <c r="D63" s="424"/>
      <c r="E63" s="424"/>
      <c r="F63" s="424"/>
      <c r="G63" s="424"/>
      <c r="H63" s="424"/>
      <c r="I63" s="424"/>
      <c r="J63" s="424"/>
      <c r="K63" s="424"/>
      <c r="L63" s="424"/>
      <c r="M63" s="424"/>
      <c r="N63" s="424"/>
      <c r="O63" s="424"/>
      <c r="P63" s="424"/>
      <c r="Q63" s="424"/>
      <c r="R63" s="424"/>
      <c r="S63" s="674"/>
      <c r="T63" s="424"/>
      <c r="U63" s="25" t="s">
        <v>87</v>
      </c>
      <c r="V63" s="774">
        <f>ESG!C16</f>
        <v>0</v>
      </c>
      <c r="W63" s="424"/>
      <c r="X63" s="424"/>
      <c r="Y63" s="424"/>
      <c r="Z63" s="424"/>
      <c r="AA63" s="424"/>
      <c r="AB63" s="424"/>
      <c r="AC63" s="424"/>
      <c r="AD63" s="424"/>
      <c r="AE63" s="424"/>
      <c r="AF63" s="424"/>
      <c r="AG63" s="424"/>
      <c r="AH63" s="424"/>
      <c r="AI63" s="424"/>
    </row>
    <row r="64" spans="4:35" x14ac:dyDescent="0.3">
      <c r="D64" s="424"/>
      <c r="E64" s="424"/>
      <c r="F64" s="424"/>
      <c r="G64" s="424"/>
      <c r="H64" s="424"/>
      <c r="I64" s="424"/>
      <c r="J64" s="424"/>
      <c r="K64" s="424"/>
      <c r="L64" s="424"/>
      <c r="M64" s="424"/>
      <c r="N64" s="424"/>
      <c r="O64" s="424"/>
      <c r="P64" s="424"/>
      <c r="Q64" s="424"/>
      <c r="R64" s="424"/>
      <c r="S64" s="674"/>
      <c r="T64" s="424"/>
      <c r="U64" s="25" t="s">
        <v>88</v>
      </c>
      <c r="V64" s="774">
        <f>ESG!C17</f>
        <v>0</v>
      </c>
      <c r="W64" s="424"/>
      <c r="X64" s="424"/>
      <c r="Y64" s="424"/>
      <c r="Z64" s="424"/>
      <c r="AA64" s="424"/>
      <c r="AB64" s="424"/>
      <c r="AC64" s="424"/>
      <c r="AD64" s="424"/>
      <c r="AE64" s="424"/>
      <c r="AF64" s="424"/>
      <c r="AG64" s="424"/>
      <c r="AH64" s="424"/>
      <c r="AI64" s="424"/>
    </row>
    <row r="65" spans="4:22" x14ac:dyDescent="0.3">
      <c r="D65" s="424"/>
      <c r="E65" s="424"/>
      <c r="F65" s="424"/>
      <c r="G65" s="424"/>
      <c r="H65" s="424"/>
      <c r="I65" s="424"/>
      <c r="J65" s="424"/>
      <c r="K65" s="424"/>
      <c r="L65" s="424"/>
      <c r="M65" s="424"/>
      <c r="N65" s="424"/>
      <c r="O65" s="424"/>
      <c r="P65" s="424"/>
      <c r="Q65" s="424"/>
      <c r="R65" s="424"/>
      <c r="S65" s="674"/>
      <c r="T65" s="424"/>
      <c r="U65" s="23" t="s">
        <v>89</v>
      </c>
      <c r="V65" s="775">
        <f>ESG!C18</f>
        <v>0</v>
      </c>
    </row>
    <row r="66" spans="4:22" x14ac:dyDescent="0.3">
      <c r="D66" s="424"/>
      <c r="E66" s="424"/>
      <c r="F66" s="424"/>
      <c r="G66" s="424"/>
      <c r="H66" s="424"/>
      <c r="I66" s="424"/>
      <c r="J66" s="424"/>
      <c r="K66" s="424"/>
      <c r="L66" s="424"/>
      <c r="M66" s="424"/>
      <c r="N66" s="424"/>
      <c r="O66" s="424"/>
      <c r="P66" s="424"/>
      <c r="Q66" s="424"/>
      <c r="R66" s="424"/>
      <c r="S66" s="674"/>
      <c r="T66" s="424"/>
      <c r="U66" s="25" t="s">
        <v>90</v>
      </c>
      <c r="V66" s="776">
        <f>ESG!C19</f>
        <v>0</v>
      </c>
    </row>
    <row r="67" spans="4:22" x14ac:dyDescent="0.3">
      <c r="D67" s="424"/>
      <c r="E67" s="424"/>
      <c r="F67" s="424"/>
      <c r="G67" s="424"/>
      <c r="H67" s="424"/>
      <c r="I67" s="424"/>
      <c r="J67" s="424"/>
      <c r="K67" s="424"/>
      <c r="L67" s="424"/>
      <c r="M67" s="424"/>
      <c r="N67" s="424"/>
      <c r="O67" s="424"/>
      <c r="P67" s="424"/>
      <c r="Q67" s="424"/>
      <c r="R67" s="424"/>
      <c r="S67" s="674"/>
      <c r="T67" s="424"/>
      <c r="U67" s="25" t="s">
        <v>91</v>
      </c>
      <c r="V67" s="776">
        <f>ESG!C20</f>
        <v>0</v>
      </c>
    </row>
    <row r="68" spans="4:22" x14ac:dyDescent="0.3">
      <c r="D68" s="424"/>
      <c r="E68" s="424"/>
      <c r="F68" s="424"/>
      <c r="G68" s="424"/>
      <c r="H68" s="424"/>
      <c r="I68" s="424"/>
      <c r="J68" s="424"/>
      <c r="K68" s="424"/>
      <c r="L68" s="424"/>
      <c r="M68" s="424"/>
      <c r="N68" s="424"/>
      <c r="O68" s="424"/>
      <c r="P68" s="424"/>
      <c r="Q68" s="424"/>
      <c r="R68" s="424"/>
      <c r="S68" s="674"/>
      <c r="T68" s="424"/>
      <c r="U68" s="25" t="s">
        <v>92</v>
      </c>
      <c r="V68" s="776">
        <f>ESG!C21</f>
        <v>0</v>
      </c>
    </row>
    <row r="69" spans="4:22" x14ac:dyDescent="0.3">
      <c r="D69" s="424"/>
      <c r="E69" s="424"/>
      <c r="F69" s="424"/>
      <c r="G69" s="424"/>
      <c r="H69" s="424"/>
      <c r="I69" s="424"/>
      <c r="J69" s="424"/>
      <c r="K69" s="424"/>
      <c r="L69" s="424"/>
      <c r="M69" s="424"/>
      <c r="N69" s="424"/>
      <c r="O69" s="424"/>
      <c r="P69" s="424"/>
      <c r="Q69" s="424"/>
      <c r="R69" s="424"/>
      <c r="S69" s="674"/>
      <c r="T69" s="424"/>
      <c r="U69" s="23" t="s">
        <v>93</v>
      </c>
      <c r="V69" s="777">
        <f>ESG!C22</f>
        <v>0</v>
      </c>
    </row>
    <row r="70" spans="4:22" x14ac:dyDescent="0.3">
      <c r="D70" s="424"/>
      <c r="E70" s="424"/>
      <c r="F70" s="424"/>
      <c r="G70" s="424"/>
      <c r="H70" s="424"/>
      <c r="I70" s="424"/>
      <c r="J70" s="424"/>
      <c r="K70" s="424"/>
      <c r="L70" s="424"/>
      <c r="M70" s="424"/>
      <c r="N70" s="424"/>
      <c r="O70" s="424"/>
      <c r="P70" s="424"/>
      <c r="Q70" s="424"/>
      <c r="R70" s="424"/>
      <c r="S70" s="674"/>
      <c r="T70" s="424"/>
      <c r="U70" s="23" t="s">
        <v>94</v>
      </c>
      <c r="V70" s="778">
        <f>ESG!C23</f>
        <v>0</v>
      </c>
    </row>
    <row r="71" spans="4:22" x14ac:dyDescent="0.3">
      <c r="D71" s="424"/>
      <c r="E71" s="424"/>
      <c r="F71" s="424"/>
      <c r="G71" s="424"/>
      <c r="H71" s="424"/>
      <c r="I71" s="424"/>
      <c r="J71" s="424"/>
      <c r="K71" s="424"/>
      <c r="L71" s="424"/>
      <c r="M71" s="424"/>
      <c r="N71" s="424"/>
      <c r="O71" s="424"/>
      <c r="P71" s="424"/>
      <c r="Q71" s="424"/>
      <c r="R71" s="424"/>
      <c r="S71" s="674"/>
      <c r="T71" s="424"/>
      <c r="U71" s="25" t="s">
        <v>95</v>
      </c>
      <c r="V71" s="776">
        <f>ESG!C24</f>
        <v>0</v>
      </c>
    </row>
    <row r="72" spans="4:22" x14ac:dyDescent="0.3">
      <c r="D72" s="424"/>
      <c r="E72" s="424"/>
      <c r="F72" s="424"/>
      <c r="G72" s="424"/>
      <c r="H72" s="424"/>
      <c r="I72" s="424"/>
      <c r="J72" s="424"/>
      <c r="K72" s="424"/>
      <c r="L72" s="424"/>
      <c r="M72" s="424"/>
      <c r="N72" s="424"/>
      <c r="O72" s="424"/>
      <c r="P72" s="424"/>
      <c r="Q72" s="424"/>
      <c r="R72" s="424"/>
      <c r="S72" s="674"/>
      <c r="T72" s="424"/>
      <c r="U72" s="25" t="s">
        <v>96</v>
      </c>
      <c r="V72" s="779">
        <f>ESG!C25</f>
        <v>0</v>
      </c>
    </row>
    <row r="73" spans="4:22" x14ac:dyDescent="0.3">
      <c r="D73" s="424"/>
      <c r="E73" s="424"/>
      <c r="F73" s="424"/>
      <c r="G73" s="424"/>
      <c r="H73" s="424"/>
      <c r="I73" s="424"/>
      <c r="J73" s="424"/>
      <c r="K73" s="424"/>
      <c r="L73" s="424"/>
      <c r="M73" s="424"/>
      <c r="N73" s="424"/>
      <c r="O73" s="424"/>
      <c r="P73" s="424"/>
      <c r="Q73" s="424"/>
      <c r="R73" s="424"/>
      <c r="S73" s="674"/>
      <c r="T73" s="424"/>
      <c r="U73" s="23" t="s">
        <v>97</v>
      </c>
      <c r="V73" s="780">
        <f>ESG!C26</f>
        <v>0</v>
      </c>
    </row>
    <row r="75" spans="4:22" x14ac:dyDescent="0.3">
      <c r="D75" s="424"/>
      <c r="E75" s="424"/>
      <c r="F75" s="424"/>
      <c r="G75" s="424"/>
      <c r="H75" s="424"/>
      <c r="I75" s="424"/>
      <c r="J75" s="424"/>
      <c r="K75" s="424"/>
      <c r="L75" s="424"/>
      <c r="M75" s="424"/>
      <c r="N75" s="424"/>
      <c r="O75" s="424"/>
      <c r="P75" s="424"/>
      <c r="Q75" s="424"/>
      <c r="R75" s="424"/>
      <c r="S75" s="674"/>
      <c r="T75" s="424"/>
      <c r="U75" s="944" t="s">
        <v>98</v>
      </c>
      <c r="V75" s="944"/>
    </row>
    <row r="76" spans="4:22" x14ac:dyDescent="0.3">
      <c r="D76" s="424"/>
      <c r="E76" s="424"/>
      <c r="F76" s="424"/>
      <c r="G76" s="424"/>
      <c r="H76" s="424"/>
      <c r="I76" s="424"/>
      <c r="J76" s="424"/>
      <c r="K76" s="424"/>
      <c r="L76" s="424"/>
      <c r="M76" s="424"/>
      <c r="N76" s="424"/>
      <c r="O76" s="424"/>
      <c r="P76" s="424"/>
      <c r="Q76" s="424"/>
      <c r="R76" s="424"/>
      <c r="S76" s="674"/>
      <c r="T76" s="424"/>
      <c r="U76" s="944"/>
      <c r="V76" s="944"/>
    </row>
    <row r="77" spans="4:22" x14ac:dyDescent="0.3">
      <c r="D77" s="424"/>
      <c r="E77" s="424"/>
      <c r="F77" s="424"/>
      <c r="G77" s="424"/>
      <c r="H77" s="424"/>
      <c r="I77" s="424"/>
      <c r="J77" s="424"/>
      <c r="K77" s="424"/>
      <c r="L77" s="424"/>
      <c r="M77" s="424"/>
      <c r="N77" s="424"/>
      <c r="O77" s="424"/>
      <c r="P77" s="424"/>
      <c r="Q77" s="424"/>
      <c r="R77" s="424"/>
      <c r="S77" s="674"/>
      <c r="T77" s="424"/>
      <c r="U77" s="944"/>
      <c r="V77" s="944"/>
    </row>
    <row r="78" spans="4:22" x14ac:dyDescent="0.3">
      <c r="D78" s="424"/>
      <c r="E78" s="424"/>
      <c r="F78" s="424"/>
      <c r="G78" s="424"/>
      <c r="H78" s="424"/>
      <c r="I78" s="424"/>
      <c r="J78" s="424"/>
      <c r="K78" s="424"/>
      <c r="L78" s="424"/>
      <c r="M78" s="424"/>
      <c r="N78" s="424"/>
      <c r="O78" s="424"/>
      <c r="P78" s="424"/>
      <c r="Q78" s="424"/>
      <c r="R78" s="424"/>
      <c r="S78" s="674"/>
      <c r="T78" s="424"/>
      <c r="U78" s="944"/>
      <c r="V78" s="944"/>
    </row>
    <row r="79" spans="4:22" x14ac:dyDescent="0.3">
      <c r="D79" s="424"/>
      <c r="E79" s="424"/>
      <c r="F79" s="424"/>
      <c r="G79" s="424"/>
      <c r="H79" s="424"/>
      <c r="I79" s="424"/>
      <c r="J79" s="424"/>
      <c r="K79" s="424"/>
      <c r="L79" s="424"/>
      <c r="M79" s="424"/>
      <c r="N79" s="424"/>
      <c r="O79" s="424"/>
      <c r="P79" s="424"/>
      <c r="Q79" s="424"/>
      <c r="R79" s="424"/>
      <c r="S79" s="674"/>
      <c r="T79" s="424"/>
      <c r="U79" s="944"/>
      <c r="V79" s="944"/>
    </row>
    <row r="80" spans="4:22" ht="14.25" customHeight="1" x14ac:dyDescent="0.35">
      <c r="D80" s="705" t="s">
        <v>99</v>
      </c>
      <c r="E80" s="67"/>
      <c r="F80" s="66"/>
      <c r="G80" s="66"/>
      <c r="H80" s="66"/>
      <c r="I80" s="66"/>
      <c r="J80" s="66"/>
      <c r="K80" s="66"/>
      <c r="L80" s="66"/>
      <c r="M80" s="66"/>
      <c r="N80" s="66"/>
      <c r="O80" s="66"/>
      <c r="P80" s="66"/>
      <c r="Q80" s="66"/>
      <c r="R80" s="66"/>
      <c r="S80" s="674"/>
      <c r="T80" s="424"/>
      <c r="U80" s="944"/>
      <c r="V80" s="944"/>
    </row>
    <row r="81" spans="4:22" ht="4.4000000000000004" customHeight="1" x14ac:dyDescent="0.35">
      <c r="D81" s="68"/>
      <c r="E81" s="68"/>
      <c r="F81" s="68"/>
      <c r="G81" s="68"/>
      <c r="H81" s="68"/>
      <c r="I81" s="68"/>
      <c r="J81" s="68"/>
      <c r="K81" s="68"/>
      <c r="L81" s="68"/>
      <c r="M81" s="68"/>
      <c r="N81" s="68"/>
      <c r="O81" s="68"/>
      <c r="P81" s="68"/>
      <c r="Q81" s="68"/>
      <c r="R81" s="68"/>
      <c r="S81" s="674"/>
      <c r="T81" s="424"/>
      <c r="U81" s="944"/>
      <c r="V81" s="944"/>
    </row>
    <row r="82" spans="4:22" x14ac:dyDescent="0.3">
      <c r="D82" s="954"/>
      <c r="E82" s="954"/>
      <c r="F82" s="954"/>
      <c r="G82" s="954"/>
      <c r="H82" s="954"/>
      <c r="I82" s="954"/>
      <c r="J82" s="954"/>
      <c r="K82" s="954"/>
      <c r="L82" s="954"/>
      <c r="M82" s="954"/>
      <c r="N82" s="954"/>
      <c r="O82" s="954"/>
      <c r="P82" s="954"/>
      <c r="Q82" s="954"/>
      <c r="R82" s="954"/>
      <c r="S82" s="674"/>
      <c r="T82" s="424"/>
      <c r="U82" s="944"/>
      <c r="V82" s="944"/>
    </row>
    <row r="83" spans="4:22" x14ac:dyDescent="0.3">
      <c r="D83" s="954"/>
      <c r="E83" s="954"/>
      <c r="F83" s="954"/>
      <c r="G83" s="954"/>
      <c r="H83" s="954"/>
      <c r="I83" s="954"/>
      <c r="J83" s="954"/>
      <c r="K83" s="954"/>
      <c r="L83" s="954"/>
      <c r="M83" s="954"/>
      <c r="N83" s="954"/>
      <c r="O83" s="954"/>
      <c r="P83" s="954"/>
      <c r="Q83" s="954"/>
      <c r="R83" s="954"/>
      <c r="S83" s="674"/>
      <c r="T83" s="424"/>
      <c r="U83" s="944"/>
      <c r="V83" s="944"/>
    </row>
    <row r="84" spans="4:22" x14ac:dyDescent="0.3">
      <c r="D84" s="954"/>
      <c r="E84" s="954"/>
      <c r="F84" s="954"/>
      <c r="G84" s="954"/>
      <c r="H84" s="954"/>
      <c r="I84" s="954"/>
      <c r="J84" s="954"/>
      <c r="K84" s="954"/>
      <c r="L84" s="954"/>
      <c r="M84" s="954"/>
      <c r="N84" s="954"/>
      <c r="O84" s="954"/>
      <c r="P84" s="954"/>
      <c r="Q84" s="954"/>
      <c r="R84" s="954"/>
      <c r="S84" s="674"/>
      <c r="T84" s="424"/>
      <c r="U84" s="944"/>
      <c r="V84" s="944"/>
    </row>
    <row r="85" spans="4:22" x14ac:dyDescent="0.3">
      <c r="D85" s="954"/>
      <c r="E85" s="954"/>
      <c r="F85" s="954"/>
      <c r="G85" s="954"/>
      <c r="H85" s="954"/>
      <c r="I85" s="954"/>
      <c r="J85" s="954"/>
      <c r="K85" s="954"/>
      <c r="L85" s="954"/>
      <c r="M85" s="954"/>
      <c r="N85" s="954"/>
      <c r="O85" s="954"/>
      <c r="P85" s="954"/>
      <c r="Q85" s="954"/>
      <c r="R85" s="954"/>
      <c r="S85" s="674"/>
      <c r="T85" s="424"/>
      <c r="U85" s="944"/>
      <c r="V85" s="944"/>
    </row>
    <row r="86" spans="4:22" x14ac:dyDescent="0.3">
      <c r="D86" s="954"/>
      <c r="E86" s="954"/>
      <c r="F86" s="954"/>
      <c r="G86" s="954"/>
      <c r="H86" s="954"/>
      <c r="I86" s="954"/>
      <c r="J86" s="954"/>
      <c r="K86" s="954"/>
      <c r="L86" s="954"/>
      <c r="M86" s="954"/>
      <c r="N86" s="954"/>
      <c r="O86" s="954"/>
      <c r="P86" s="954"/>
      <c r="Q86" s="954"/>
      <c r="R86" s="954"/>
      <c r="S86" s="674"/>
      <c r="T86" s="424"/>
      <c r="U86" s="944"/>
      <c r="V86" s="944"/>
    </row>
    <row r="87" spans="4:22" x14ac:dyDescent="0.3">
      <c r="D87" s="955"/>
      <c r="E87" s="955"/>
      <c r="F87" s="955"/>
      <c r="G87" s="955"/>
      <c r="H87" s="955"/>
      <c r="I87" s="955"/>
      <c r="J87" s="955"/>
      <c r="K87" s="955"/>
      <c r="L87" s="955"/>
      <c r="M87" s="955"/>
      <c r="N87" s="955"/>
      <c r="O87" s="955"/>
      <c r="P87" s="955"/>
      <c r="Q87" s="955"/>
      <c r="R87" s="955"/>
      <c r="S87" s="674"/>
      <c r="T87" s="424"/>
      <c r="U87" s="944"/>
      <c r="V87" s="944"/>
    </row>
    <row r="88" spans="4:22" x14ac:dyDescent="0.3">
      <c r="D88" s="955"/>
      <c r="E88" s="955"/>
      <c r="F88" s="955"/>
      <c r="G88" s="955"/>
      <c r="H88" s="955"/>
      <c r="I88" s="955"/>
      <c r="J88" s="955"/>
      <c r="K88" s="955"/>
      <c r="L88" s="955"/>
      <c r="M88" s="955"/>
      <c r="N88" s="955"/>
      <c r="O88" s="955"/>
      <c r="P88" s="955"/>
      <c r="Q88" s="955"/>
      <c r="R88" s="955"/>
      <c r="S88" s="674"/>
      <c r="T88" s="424"/>
      <c r="U88" s="944"/>
      <c r="V88" s="944"/>
    </row>
    <row r="89" spans="4:22" x14ac:dyDescent="0.3">
      <c r="D89" s="424"/>
      <c r="E89" s="424"/>
      <c r="F89" s="424"/>
      <c r="G89" s="424"/>
      <c r="H89" s="424"/>
      <c r="I89" s="424"/>
      <c r="J89" s="424"/>
      <c r="K89" s="424"/>
      <c r="L89" s="424"/>
      <c r="M89" s="424"/>
      <c r="N89" s="424"/>
      <c r="O89" s="424"/>
      <c r="P89" s="424"/>
      <c r="Q89" s="424"/>
      <c r="R89" s="424"/>
      <c r="S89" s="674"/>
      <c r="T89" s="424"/>
      <c r="U89" s="944"/>
      <c r="V89" s="944"/>
    </row>
    <row r="90" spans="4:22" x14ac:dyDescent="0.3">
      <c r="D90" s="424"/>
      <c r="E90" s="424"/>
      <c r="F90" s="424"/>
      <c r="G90" s="424"/>
      <c r="H90" s="424"/>
      <c r="I90" s="424"/>
      <c r="J90" s="424"/>
      <c r="K90" s="424"/>
      <c r="L90" s="424"/>
      <c r="M90" s="424"/>
      <c r="N90" s="424"/>
      <c r="O90" s="424"/>
      <c r="P90" s="424"/>
      <c r="Q90" s="424"/>
      <c r="R90" s="424"/>
      <c r="S90" s="674"/>
      <c r="T90" s="424"/>
      <c r="U90" s="944"/>
      <c r="V90" s="944"/>
    </row>
    <row r="91" spans="4:22" x14ac:dyDescent="0.3">
      <c r="D91" s="424"/>
      <c r="E91" s="424"/>
      <c r="F91" s="424"/>
      <c r="G91" s="424"/>
      <c r="H91" s="424"/>
      <c r="I91" s="424"/>
      <c r="J91" s="424"/>
      <c r="K91" s="424"/>
      <c r="L91" s="424"/>
      <c r="M91" s="424"/>
      <c r="N91" s="424"/>
      <c r="O91" s="424"/>
      <c r="P91" s="424"/>
      <c r="Q91" s="424"/>
      <c r="R91" s="424"/>
      <c r="S91" s="674"/>
      <c r="T91" s="424"/>
      <c r="U91" s="944"/>
      <c r="V91" s="944"/>
    </row>
    <row r="92" spans="4:22" x14ac:dyDescent="0.3">
      <c r="D92" s="424"/>
      <c r="E92" s="424"/>
      <c r="F92" s="424"/>
      <c r="G92" s="424"/>
      <c r="H92" s="424"/>
      <c r="I92" s="424"/>
      <c r="J92" s="424"/>
      <c r="K92" s="424"/>
      <c r="L92" s="424"/>
      <c r="M92" s="424"/>
      <c r="N92" s="424"/>
      <c r="O92" s="424"/>
      <c r="P92" s="424"/>
      <c r="Q92" s="424"/>
      <c r="R92" s="424"/>
      <c r="S92" s="674"/>
      <c r="T92" s="424"/>
      <c r="U92" s="944"/>
      <c r="V92" s="944"/>
    </row>
    <row r="93" spans="4:22" x14ac:dyDescent="0.3">
      <c r="D93" s="424"/>
      <c r="E93" s="424"/>
      <c r="F93" s="424"/>
      <c r="G93" s="424"/>
      <c r="H93" s="424"/>
      <c r="I93" s="424"/>
      <c r="J93" s="424"/>
      <c r="K93" s="424"/>
      <c r="L93" s="424"/>
      <c r="M93" s="424"/>
      <c r="N93" s="424"/>
      <c r="O93" s="424"/>
      <c r="P93" s="424"/>
      <c r="Q93" s="424"/>
      <c r="R93" s="424"/>
      <c r="S93" s="674"/>
      <c r="T93" s="424"/>
      <c r="U93" s="944"/>
      <c r="V93" s="944"/>
    </row>
    <row r="94" spans="4:22" x14ac:dyDescent="0.3">
      <c r="D94" s="424"/>
      <c r="E94" s="424"/>
      <c r="F94" s="424"/>
      <c r="G94" s="424"/>
      <c r="H94" s="424"/>
      <c r="I94" s="424"/>
      <c r="J94" s="424"/>
      <c r="K94" s="424"/>
      <c r="L94" s="424"/>
      <c r="M94" s="424"/>
      <c r="N94" s="424"/>
      <c r="O94" s="424"/>
      <c r="P94" s="424"/>
      <c r="Q94" s="424"/>
      <c r="R94" s="424"/>
      <c r="S94" s="674"/>
      <c r="T94" s="424"/>
      <c r="U94" s="944"/>
      <c r="V94" s="944"/>
    </row>
    <row r="95" spans="4:22" x14ac:dyDescent="0.3">
      <c r="D95" s="424"/>
      <c r="E95" s="424"/>
      <c r="F95" s="424"/>
      <c r="G95" s="424"/>
      <c r="H95" s="424"/>
      <c r="I95" s="424"/>
      <c r="J95" s="424"/>
      <c r="K95" s="424"/>
      <c r="L95" s="424"/>
      <c r="M95" s="424"/>
      <c r="N95" s="424"/>
      <c r="O95" s="424"/>
      <c r="P95" s="424"/>
      <c r="Q95" s="424"/>
      <c r="R95" s="424"/>
      <c r="S95" s="674"/>
      <c r="T95" s="424"/>
      <c r="U95" s="944"/>
      <c r="V95" s="944"/>
    </row>
    <row r="96" spans="4:22" x14ac:dyDescent="0.3">
      <c r="D96" s="424"/>
      <c r="E96" s="424"/>
      <c r="F96" s="424"/>
      <c r="G96" s="424"/>
      <c r="H96" s="424"/>
      <c r="I96" s="424"/>
      <c r="J96" s="424"/>
      <c r="K96" s="424"/>
      <c r="L96" s="424"/>
      <c r="M96" s="424"/>
      <c r="N96" s="424"/>
      <c r="O96" s="424"/>
      <c r="P96" s="424"/>
      <c r="Q96" s="424"/>
      <c r="R96" s="424"/>
      <c r="S96" s="674"/>
      <c r="T96" s="424"/>
      <c r="U96" s="944"/>
      <c r="V96" s="944"/>
    </row>
    <row r="97" spans="21:22" x14ac:dyDescent="0.3">
      <c r="U97" s="944"/>
      <c r="V97" s="944"/>
    </row>
    <row r="98" spans="21:22" x14ac:dyDescent="0.3">
      <c r="U98" s="944"/>
      <c r="V98" s="944"/>
    </row>
    <row r="1048576" spans="4:18" x14ac:dyDescent="0.3">
      <c r="D1048576" s="715"/>
      <c r="E1048576" s="715"/>
      <c r="F1048576" s="715"/>
      <c r="G1048576" s="715"/>
      <c r="H1048576" s="715"/>
      <c r="I1048576" s="715"/>
      <c r="J1048576" s="715"/>
      <c r="K1048576" s="715"/>
      <c r="L1048576" s="715"/>
      <c r="M1048576" s="715"/>
      <c r="N1048576" s="715"/>
      <c r="O1048576" s="715"/>
      <c r="P1048576" s="715"/>
      <c r="Q1048576" s="715"/>
      <c r="R1048576" s="715"/>
    </row>
  </sheetData>
  <dataConsolidate/>
  <mergeCells count="15">
    <mergeCell ref="U75:V98"/>
    <mergeCell ref="U50:V58"/>
    <mergeCell ref="D41:F43"/>
    <mergeCell ref="G41:I43"/>
    <mergeCell ref="D8:R9"/>
    <mergeCell ref="D11:R15"/>
    <mergeCell ref="D37:F39"/>
    <mergeCell ref="G37:I39"/>
    <mergeCell ref="D86:R86"/>
    <mergeCell ref="D87:R87"/>
    <mergeCell ref="D88:R88"/>
    <mergeCell ref="D82:R82"/>
    <mergeCell ref="D83:R83"/>
    <mergeCell ref="D84:R84"/>
    <mergeCell ref="D85:R85"/>
  </mergeCells>
  <conditionalFormatting sqref="E26:E33">
    <cfRule type="dataBar" priority="78">
      <dataBar>
        <cfvo type="min"/>
        <cfvo type="max"/>
        <color rgb="FF63C384"/>
      </dataBar>
      <extLst>
        <ext xmlns:x14="http://schemas.microsoft.com/office/spreadsheetml/2009/9/main" uri="{B025F937-C7B1-47D3-B67F-A62EFF666E3E}">
          <x14:id>{6034C8ED-898D-4A6B-9795-FAAD4BA0B7C6}</x14:id>
        </ext>
      </extLst>
    </cfRule>
  </conditionalFormatting>
  <conditionalFormatting sqref="F26">
    <cfRule type="dataBar" priority="87">
      <dataBar>
        <cfvo type="min"/>
        <cfvo type="max"/>
        <color rgb="FF63C384"/>
      </dataBar>
      <extLst>
        <ext xmlns:x14="http://schemas.microsoft.com/office/spreadsheetml/2009/9/main" uri="{B025F937-C7B1-47D3-B67F-A62EFF666E3E}">
          <x14:id>{5C1B9785-691E-492F-86A6-D7F00A0F45D6}</x14:id>
        </ext>
      </extLst>
    </cfRule>
  </conditionalFormatting>
  <conditionalFormatting sqref="F26:F33">
    <cfRule type="dataBar" priority="79">
      <dataBar>
        <cfvo type="min"/>
        <cfvo type="max"/>
        <color rgb="FF638EC6"/>
      </dataBar>
      <extLst>
        <ext xmlns:x14="http://schemas.microsoft.com/office/spreadsheetml/2009/9/main" uri="{B025F937-C7B1-47D3-B67F-A62EFF666E3E}">
          <x14:id>{F2A4872A-9911-4779-9E97-55F97D88D42B}</x14:id>
        </ext>
      </extLst>
    </cfRule>
  </conditionalFormatting>
  <conditionalFormatting sqref="F27">
    <cfRule type="dataBar" priority="86">
      <dataBar>
        <cfvo type="min"/>
        <cfvo type="max"/>
        <color rgb="FF63C384"/>
      </dataBar>
      <extLst>
        <ext xmlns:x14="http://schemas.microsoft.com/office/spreadsheetml/2009/9/main" uri="{B025F937-C7B1-47D3-B67F-A62EFF666E3E}">
          <x14:id>{698A8913-4860-4E6B-89DE-351099BE7444}</x14:id>
        </ext>
      </extLst>
    </cfRule>
  </conditionalFormatting>
  <conditionalFormatting sqref="F28">
    <cfRule type="dataBar" priority="85">
      <dataBar>
        <cfvo type="min"/>
        <cfvo type="max"/>
        <color rgb="FF63C384"/>
      </dataBar>
      <extLst>
        <ext xmlns:x14="http://schemas.microsoft.com/office/spreadsheetml/2009/9/main" uri="{B025F937-C7B1-47D3-B67F-A62EFF666E3E}">
          <x14:id>{CD4F52E4-75BF-4044-903E-27BCE1DEBDD0}</x14:id>
        </ext>
      </extLst>
    </cfRule>
  </conditionalFormatting>
  <conditionalFormatting sqref="F29">
    <cfRule type="dataBar" priority="84">
      <dataBar>
        <cfvo type="min"/>
        <cfvo type="max"/>
        <color rgb="FF63C384"/>
      </dataBar>
      <extLst>
        <ext xmlns:x14="http://schemas.microsoft.com/office/spreadsheetml/2009/9/main" uri="{B025F937-C7B1-47D3-B67F-A62EFF666E3E}">
          <x14:id>{5D7253A4-1DD1-496F-9A17-1808714854B2}</x14:id>
        </ext>
      </extLst>
    </cfRule>
  </conditionalFormatting>
  <conditionalFormatting sqref="F30">
    <cfRule type="dataBar" priority="83">
      <dataBar>
        <cfvo type="min"/>
        <cfvo type="max"/>
        <color rgb="FF63C384"/>
      </dataBar>
      <extLst>
        <ext xmlns:x14="http://schemas.microsoft.com/office/spreadsheetml/2009/9/main" uri="{B025F937-C7B1-47D3-B67F-A62EFF666E3E}">
          <x14:id>{7A209642-74F3-42D0-8EC8-402BBDCBCD84}</x14:id>
        </ext>
      </extLst>
    </cfRule>
  </conditionalFormatting>
  <conditionalFormatting sqref="F31">
    <cfRule type="dataBar" priority="82">
      <dataBar>
        <cfvo type="min"/>
        <cfvo type="max"/>
        <color rgb="FF63C384"/>
      </dataBar>
      <extLst>
        <ext xmlns:x14="http://schemas.microsoft.com/office/spreadsheetml/2009/9/main" uri="{B025F937-C7B1-47D3-B67F-A62EFF666E3E}">
          <x14:id>{5395343B-6F95-4DBC-A7D5-46BCF270AEE2}</x14:id>
        </ext>
      </extLst>
    </cfRule>
  </conditionalFormatting>
  <conditionalFormatting sqref="F32">
    <cfRule type="dataBar" priority="81">
      <dataBar>
        <cfvo type="min"/>
        <cfvo type="max"/>
        <color rgb="FF63C384"/>
      </dataBar>
      <extLst>
        <ext xmlns:x14="http://schemas.microsoft.com/office/spreadsheetml/2009/9/main" uri="{B025F937-C7B1-47D3-B67F-A62EFF666E3E}">
          <x14:id>{331607CE-926B-492F-83A0-EEEBC8F23CB9}</x14:id>
        </ext>
      </extLst>
    </cfRule>
  </conditionalFormatting>
  <conditionalFormatting sqref="F33">
    <cfRule type="dataBar" priority="80">
      <dataBar>
        <cfvo type="min"/>
        <cfvo type="max"/>
        <color rgb="FF63C384"/>
      </dataBar>
      <extLst>
        <ext xmlns:x14="http://schemas.microsoft.com/office/spreadsheetml/2009/9/main" uri="{B025F937-C7B1-47D3-B67F-A62EFF666E3E}">
          <x14:id>{B3BE3EFD-9295-49D0-80FA-AA2A09587925}</x14:id>
        </ext>
      </extLst>
    </cfRule>
  </conditionalFormatting>
  <conditionalFormatting sqref="G26">
    <cfRule type="dataBar" priority="47">
      <dataBar>
        <cfvo type="min"/>
        <cfvo type="max"/>
        <color rgb="FF63C384"/>
      </dataBar>
      <extLst>
        <ext xmlns:x14="http://schemas.microsoft.com/office/spreadsheetml/2009/9/main" uri="{B025F937-C7B1-47D3-B67F-A62EFF666E3E}">
          <x14:id>{DC21537E-450A-4B7D-B57A-602AB269E3A7}</x14:id>
        </ext>
      </extLst>
    </cfRule>
    <cfRule type="dataBar" priority="46">
      <dataBar>
        <cfvo type="min"/>
        <cfvo type="max"/>
        <color rgb="FF638EC6"/>
      </dataBar>
      <extLst>
        <ext xmlns:x14="http://schemas.microsoft.com/office/spreadsheetml/2009/9/main" uri="{B025F937-C7B1-47D3-B67F-A62EFF666E3E}">
          <x14:id>{C695950A-A57C-4000-82FA-EEEC979F92EE}</x14:id>
        </ext>
      </extLst>
    </cfRule>
  </conditionalFormatting>
  <conditionalFormatting sqref="G26:G33">
    <cfRule type="dataBar" priority="18">
      <dataBar>
        <cfvo type="min"/>
        <cfvo type="max"/>
        <color rgb="FF63C384"/>
      </dataBar>
      <extLst>
        <ext xmlns:x14="http://schemas.microsoft.com/office/spreadsheetml/2009/9/main" uri="{B025F937-C7B1-47D3-B67F-A62EFF666E3E}">
          <x14:id>{469A3700-94FB-4A26-89CA-0DEB48A710E1}</x14:id>
        </ext>
      </extLst>
    </cfRule>
    <cfRule type="dataBar" priority="31">
      <dataBar>
        <cfvo type="min"/>
        <cfvo type="max"/>
        <color rgb="FFFF555A"/>
      </dataBar>
      <extLst>
        <ext xmlns:x14="http://schemas.microsoft.com/office/spreadsheetml/2009/9/main" uri="{B025F937-C7B1-47D3-B67F-A62EFF666E3E}">
          <x14:id>{BD160036-CACD-4A1C-B17D-8DC22AA977F1}</x14:id>
        </ext>
      </extLst>
    </cfRule>
  </conditionalFormatting>
  <conditionalFormatting sqref="G27">
    <cfRule type="dataBar" priority="45">
      <dataBar>
        <cfvo type="min"/>
        <cfvo type="max"/>
        <color rgb="FF63C384"/>
      </dataBar>
      <extLst>
        <ext xmlns:x14="http://schemas.microsoft.com/office/spreadsheetml/2009/9/main" uri="{B025F937-C7B1-47D3-B67F-A62EFF666E3E}">
          <x14:id>{EDD674A5-5F26-4D7C-BB8C-9EB544E0C1EA}</x14:id>
        </ext>
      </extLst>
    </cfRule>
    <cfRule type="dataBar" priority="44">
      <dataBar>
        <cfvo type="min"/>
        <cfvo type="max"/>
        <color rgb="FF638EC6"/>
      </dataBar>
      <extLst>
        <ext xmlns:x14="http://schemas.microsoft.com/office/spreadsheetml/2009/9/main" uri="{B025F937-C7B1-47D3-B67F-A62EFF666E3E}">
          <x14:id>{ACDAEC63-EC7C-4930-B523-BD3737F80DBA}</x14:id>
        </ext>
      </extLst>
    </cfRule>
    <cfRule type="dataBar" priority="30">
      <dataBar>
        <cfvo type="min"/>
        <cfvo type="max"/>
        <color rgb="FF63C384"/>
      </dataBar>
      <extLst>
        <ext xmlns:x14="http://schemas.microsoft.com/office/spreadsheetml/2009/9/main" uri="{B025F937-C7B1-47D3-B67F-A62EFF666E3E}">
          <x14:id>{29F200BB-F60A-473B-88DC-B2D1E5801962}</x14:id>
        </ext>
      </extLst>
    </cfRule>
    <cfRule type="dataBar" priority="29">
      <dataBar>
        <cfvo type="min"/>
        <cfvo type="max"/>
        <color rgb="FF638EC6"/>
      </dataBar>
      <extLst>
        <ext xmlns:x14="http://schemas.microsoft.com/office/spreadsheetml/2009/9/main" uri="{B025F937-C7B1-47D3-B67F-A62EFF666E3E}">
          <x14:id>{C09674FF-A7BB-4895-BD55-F0D68FE13326}</x14:id>
        </ext>
      </extLst>
    </cfRule>
  </conditionalFormatting>
  <conditionalFormatting sqref="G28">
    <cfRule type="dataBar" priority="42">
      <dataBar>
        <cfvo type="min"/>
        <cfvo type="max"/>
        <color rgb="FF638EC6"/>
      </dataBar>
      <extLst>
        <ext xmlns:x14="http://schemas.microsoft.com/office/spreadsheetml/2009/9/main" uri="{B025F937-C7B1-47D3-B67F-A62EFF666E3E}">
          <x14:id>{9E51552C-D55A-4DE8-B38D-5F54A7BF7D7E}</x14:id>
        </ext>
      </extLst>
    </cfRule>
    <cfRule type="dataBar" priority="27">
      <dataBar>
        <cfvo type="min"/>
        <cfvo type="max"/>
        <color rgb="FF638EC6"/>
      </dataBar>
      <extLst>
        <ext xmlns:x14="http://schemas.microsoft.com/office/spreadsheetml/2009/9/main" uri="{B025F937-C7B1-47D3-B67F-A62EFF666E3E}">
          <x14:id>{90A849CA-1BBD-4A6B-B32C-EF0B82FA4DF0}</x14:id>
        </ext>
      </extLst>
    </cfRule>
    <cfRule type="dataBar" priority="28">
      <dataBar>
        <cfvo type="min"/>
        <cfvo type="max"/>
        <color rgb="FF63C384"/>
      </dataBar>
      <extLst>
        <ext xmlns:x14="http://schemas.microsoft.com/office/spreadsheetml/2009/9/main" uri="{B025F937-C7B1-47D3-B67F-A62EFF666E3E}">
          <x14:id>{248F9205-0A71-4DDD-9B75-2F0220EB6FCE}</x14:id>
        </ext>
      </extLst>
    </cfRule>
    <cfRule type="dataBar" priority="43">
      <dataBar>
        <cfvo type="min"/>
        <cfvo type="max"/>
        <color rgb="FF63C384"/>
      </dataBar>
      <extLst>
        <ext xmlns:x14="http://schemas.microsoft.com/office/spreadsheetml/2009/9/main" uri="{B025F937-C7B1-47D3-B67F-A62EFF666E3E}">
          <x14:id>{9CB31363-0C52-411E-B5C4-729617AF0F42}</x14:id>
        </ext>
      </extLst>
    </cfRule>
  </conditionalFormatting>
  <conditionalFormatting sqref="G29">
    <cfRule type="dataBar" priority="41">
      <dataBar>
        <cfvo type="min"/>
        <cfvo type="max"/>
        <color rgb="FF63C384"/>
      </dataBar>
      <extLst>
        <ext xmlns:x14="http://schemas.microsoft.com/office/spreadsheetml/2009/9/main" uri="{B025F937-C7B1-47D3-B67F-A62EFF666E3E}">
          <x14:id>{D0D5D0DC-42F4-49CB-9DF2-D549D897E0FF}</x14:id>
        </ext>
      </extLst>
    </cfRule>
    <cfRule type="dataBar" priority="40">
      <dataBar>
        <cfvo type="min"/>
        <cfvo type="max"/>
        <color rgb="FF638EC6"/>
      </dataBar>
      <extLst>
        <ext xmlns:x14="http://schemas.microsoft.com/office/spreadsheetml/2009/9/main" uri="{B025F937-C7B1-47D3-B67F-A62EFF666E3E}">
          <x14:id>{8E3BA3B1-F742-4FC4-8FB1-A0CAE20CCE57}</x14:id>
        </ext>
      </extLst>
    </cfRule>
  </conditionalFormatting>
  <conditionalFormatting sqref="G30">
    <cfRule type="dataBar" priority="39">
      <dataBar>
        <cfvo type="min"/>
        <cfvo type="max"/>
        <color rgb="FF63C384"/>
      </dataBar>
      <extLst>
        <ext xmlns:x14="http://schemas.microsoft.com/office/spreadsheetml/2009/9/main" uri="{B025F937-C7B1-47D3-B67F-A62EFF666E3E}">
          <x14:id>{5199E6A7-9290-4150-80D6-2857642814AB}</x14:id>
        </ext>
      </extLst>
    </cfRule>
    <cfRule type="dataBar" priority="38">
      <dataBar>
        <cfvo type="min"/>
        <cfvo type="max"/>
        <color rgb="FF638EC6"/>
      </dataBar>
      <extLst>
        <ext xmlns:x14="http://schemas.microsoft.com/office/spreadsheetml/2009/9/main" uri="{B025F937-C7B1-47D3-B67F-A62EFF666E3E}">
          <x14:id>{6214BE10-A170-484F-941E-6F5EF007B533}</x14:id>
        </ext>
      </extLst>
    </cfRule>
    <cfRule type="dataBar" priority="25">
      <dataBar>
        <cfvo type="min"/>
        <cfvo type="max"/>
        <color rgb="FF638EC6"/>
      </dataBar>
      <extLst>
        <ext xmlns:x14="http://schemas.microsoft.com/office/spreadsheetml/2009/9/main" uri="{B025F937-C7B1-47D3-B67F-A62EFF666E3E}">
          <x14:id>{2D2BBCA1-8BCA-4D14-BA9F-299A5839FFAA}</x14:id>
        </ext>
      </extLst>
    </cfRule>
    <cfRule type="dataBar" priority="26">
      <dataBar>
        <cfvo type="min"/>
        <cfvo type="max"/>
        <color rgb="FF63C384"/>
      </dataBar>
      <extLst>
        <ext xmlns:x14="http://schemas.microsoft.com/office/spreadsheetml/2009/9/main" uri="{B025F937-C7B1-47D3-B67F-A62EFF666E3E}">
          <x14:id>{2DEA7D45-6052-40F8-8FF3-D03FD6BC715F}</x14:id>
        </ext>
      </extLst>
    </cfRule>
  </conditionalFormatting>
  <conditionalFormatting sqref="G31">
    <cfRule type="dataBar" priority="23">
      <dataBar>
        <cfvo type="min"/>
        <cfvo type="max"/>
        <color rgb="FF638EC6"/>
      </dataBar>
      <extLst>
        <ext xmlns:x14="http://schemas.microsoft.com/office/spreadsheetml/2009/9/main" uri="{B025F937-C7B1-47D3-B67F-A62EFF666E3E}">
          <x14:id>{C8253A93-34C8-47F2-9A4D-B0B179E989E5}</x14:id>
        </ext>
      </extLst>
    </cfRule>
    <cfRule type="dataBar" priority="36">
      <dataBar>
        <cfvo type="min"/>
        <cfvo type="max"/>
        <color rgb="FF638EC6"/>
      </dataBar>
      <extLst>
        <ext xmlns:x14="http://schemas.microsoft.com/office/spreadsheetml/2009/9/main" uri="{B025F937-C7B1-47D3-B67F-A62EFF666E3E}">
          <x14:id>{3BBB7504-0E23-4F4F-8D48-50EB7F1974E7}</x14:id>
        </ext>
      </extLst>
    </cfRule>
    <cfRule type="dataBar" priority="37">
      <dataBar>
        <cfvo type="min"/>
        <cfvo type="max"/>
        <color rgb="FF63C384"/>
      </dataBar>
      <extLst>
        <ext xmlns:x14="http://schemas.microsoft.com/office/spreadsheetml/2009/9/main" uri="{B025F937-C7B1-47D3-B67F-A62EFF666E3E}">
          <x14:id>{4BD9B04B-1D50-4F22-AE9A-36635C8EB195}</x14:id>
        </ext>
      </extLst>
    </cfRule>
    <cfRule type="dataBar" priority="24">
      <dataBar>
        <cfvo type="min"/>
        <cfvo type="max"/>
        <color rgb="FF63C384"/>
      </dataBar>
      <extLst>
        <ext xmlns:x14="http://schemas.microsoft.com/office/spreadsheetml/2009/9/main" uri="{B025F937-C7B1-47D3-B67F-A62EFF666E3E}">
          <x14:id>{11591B90-F748-479E-B43B-5B632A7D2078}</x14:id>
        </ext>
      </extLst>
    </cfRule>
  </conditionalFormatting>
  <conditionalFormatting sqref="G32">
    <cfRule type="dataBar" priority="34">
      <dataBar>
        <cfvo type="min"/>
        <cfvo type="max"/>
        <color rgb="FF638EC6"/>
      </dataBar>
      <extLst>
        <ext xmlns:x14="http://schemas.microsoft.com/office/spreadsheetml/2009/9/main" uri="{B025F937-C7B1-47D3-B67F-A62EFF666E3E}">
          <x14:id>{F3DEFCCF-EF13-4C0A-A500-BCFAB9EBBCF7}</x14:id>
        </ext>
      </extLst>
    </cfRule>
    <cfRule type="dataBar" priority="35">
      <dataBar>
        <cfvo type="min"/>
        <cfvo type="max"/>
        <color rgb="FF63C384"/>
      </dataBar>
      <extLst>
        <ext xmlns:x14="http://schemas.microsoft.com/office/spreadsheetml/2009/9/main" uri="{B025F937-C7B1-47D3-B67F-A62EFF666E3E}">
          <x14:id>{01AD74CC-99AB-45E3-A94C-50D6EB7EE4CC}</x14:id>
        </ext>
      </extLst>
    </cfRule>
    <cfRule type="dataBar" priority="22">
      <dataBar>
        <cfvo type="min"/>
        <cfvo type="max"/>
        <color rgb="FF63C384"/>
      </dataBar>
      <extLst>
        <ext xmlns:x14="http://schemas.microsoft.com/office/spreadsheetml/2009/9/main" uri="{B025F937-C7B1-47D3-B67F-A62EFF666E3E}">
          <x14:id>{11CAD6A3-68E8-439C-A66F-99B0BAE55713}</x14:id>
        </ext>
      </extLst>
    </cfRule>
    <cfRule type="dataBar" priority="21">
      <dataBar>
        <cfvo type="min"/>
        <cfvo type="max"/>
        <color rgb="FF638EC6"/>
      </dataBar>
      <extLst>
        <ext xmlns:x14="http://schemas.microsoft.com/office/spreadsheetml/2009/9/main" uri="{B025F937-C7B1-47D3-B67F-A62EFF666E3E}">
          <x14:id>{BE4A62C0-0DCE-4A50-BCFB-24698F0286BA}</x14:id>
        </ext>
      </extLst>
    </cfRule>
  </conditionalFormatting>
  <conditionalFormatting sqref="G33">
    <cfRule type="dataBar" priority="32">
      <dataBar>
        <cfvo type="min"/>
        <cfvo type="max"/>
        <color rgb="FF638EC6"/>
      </dataBar>
      <extLst>
        <ext xmlns:x14="http://schemas.microsoft.com/office/spreadsheetml/2009/9/main" uri="{B025F937-C7B1-47D3-B67F-A62EFF666E3E}">
          <x14:id>{E6CC772F-C8B8-454B-AC0A-4C0AFC3A51E4}</x14:id>
        </ext>
      </extLst>
    </cfRule>
    <cfRule type="dataBar" priority="20">
      <dataBar>
        <cfvo type="min"/>
        <cfvo type="max"/>
        <color rgb="FF63C384"/>
      </dataBar>
      <extLst>
        <ext xmlns:x14="http://schemas.microsoft.com/office/spreadsheetml/2009/9/main" uri="{B025F937-C7B1-47D3-B67F-A62EFF666E3E}">
          <x14:id>{6CC95D6E-ACC5-4CC6-87D4-F0C4F48D7FC3}</x14:id>
        </ext>
      </extLst>
    </cfRule>
    <cfRule type="dataBar" priority="19">
      <dataBar>
        <cfvo type="min"/>
        <cfvo type="max"/>
        <color rgb="FF638EC6"/>
      </dataBar>
      <extLst>
        <ext xmlns:x14="http://schemas.microsoft.com/office/spreadsheetml/2009/9/main" uri="{B025F937-C7B1-47D3-B67F-A62EFF666E3E}">
          <x14:id>{6CB346AD-5C09-4119-A373-DF43861A612A}</x14:id>
        </ext>
      </extLst>
    </cfRule>
    <cfRule type="dataBar" priority="33">
      <dataBar>
        <cfvo type="min"/>
        <cfvo type="max"/>
        <color rgb="FF63C384"/>
      </dataBar>
      <extLst>
        <ext xmlns:x14="http://schemas.microsoft.com/office/spreadsheetml/2009/9/main" uri="{B025F937-C7B1-47D3-B67F-A62EFF666E3E}">
          <x14:id>{035AE87E-B909-45CD-A96D-A0E8E0B284D2}</x14:id>
        </ext>
      </extLst>
    </cfRule>
  </conditionalFormatting>
  <conditionalFormatting sqref="H26">
    <cfRule type="dataBar" priority="17">
      <dataBar>
        <cfvo type="min"/>
        <cfvo type="max"/>
        <color rgb="FF63C384"/>
      </dataBar>
      <extLst>
        <ext xmlns:x14="http://schemas.microsoft.com/office/spreadsheetml/2009/9/main" uri="{B025F937-C7B1-47D3-B67F-A62EFF666E3E}">
          <x14:id>{81594E5B-B329-4515-A327-1F20655C3B35}</x14:id>
        </ext>
      </extLst>
    </cfRule>
    <cfRule type="dataBar" priority="15">
      <dataBar>
        <cfvo type="min"/>
        <cfvo type="max"/>
        <color rgb="FFFF555A"/>
      </dataBar>
      <extLst>
        <ext xmlns:x14="http://schemas.microsoft.com/office/spreadsheetml/2009/9/main" uri="{B025F937-C7B1-47D3-B67F-A62EFF666E3E}">
          <x14:id>{468844F9-F2F4-4C23-AFA9-7DE1F6CB4BB7}</x14:id>
        </ext>
      </extLst>
    </cfRule>
    <cfRule type="dataBar" priority="16">
      <dataBar>
        <cfvo type="min"/>
        <cfvo type="max"/>
        <color rgb="FF638EC6"/>
      </dataBar>
      <extLst>
        <ext xmlns:x14="http://schemas.microsoft.com/office/spreadsheetml/2009/9/main" uri="{B025F937-C7B1-47D3-B67F-A62EFF666E3E}">
          <x14:id>{8952AC92-4F6C-40AF-9634-847C6B460212}</x14:id>
        </ext>
      </extLst>
    </cfRule>
  </conditionalFormatting>
  <conditionalFormatting sqref="H26:H33">
    <cfRule type="dataBar" priority="8">
      <dataBar>
        <cfvo type="min"/>
        <cfvo type="max"/>
        <color rgb="FF63C384"/>
      </dataBar>
      <extLst>
        <ext xmlns:x14="http://schemas.microsoft.com/office/spreadsheetml/2009/9/main" uri="{B025F937-C7B1-47D3-B67F-A62EFF666E3E}">
          <x14:id>{9BB4FC6B-0919-4EC7-B8DC-107707F869D5}</x14:id>
        </ext>
      </extLst>
    </cfRule>
  </conditionalFormatting>
  <conditionalFormatting sqref="H27">
    <cfRule type="dataBar" priority="14">
      <dataBar>
        <cfvo type="min"/>
        <cfvo type="max"/>
        <color rgb="FF63C384"/>
      </dataBar>
      <extLst>
        <ext xmlns:x14="http://schemas.microsoft.com/office/spreadsheetml/2009/9/main" uri="{B025F937-C7B1-47D3-B67F-A62EFF666E3E}">
          <x14:id>{F6C9405D-EF6D-4B47-863C-C870C4AAC5B9}</x14:id>
        </ext>
      </extLst>
    </cfRule>
    <cfRule type="dataBar" priority="13">
      <dataBar>
        <cfvo type="min"/>
        <cfvo type="max"/>
        <color rgb="FF638EC6"/>
      </dataBar>
      <extLst>
        <ext xmlns:x14="http://schemas.microsoft.com/office/spreadsheetml/2009/9/main" uri="{B025F937-C7B1-47D3-B67F-A62EFF666E3E}">
          <x14:id>{E94D7EC1-1EF8-4A41-876B-B422735DDB39}</x14:id>
        </ext>
      </extLst>
    </cfRule>
    <cfRule type="dataBar" priority="12">
      <dataBar>
        <cfvo type="min"/>
        <cfvo type="max"/>
        <color rgb="FFFF555A"/>
      </dataBar>
      <extLst>
        <ext xmlns:x14="http://schemas.microsoft.com/office/spreadsheetml/2009/9/main" uri="{B025F937-C7B1-47D3-B67F-A62EFF666E3E}">
          <x14:id>{47D2F64D-A4B2-467E-8ED7-8FCBDF84C89D}</x14:id>
        </ext>
      </extLst>
    </cfRule>
  </conditionalFormatting>
  <conditionalFormatting sqref="H28">
    <cfRule type="dataBar" priority="11">
      <dataBar>
        <cfvo type="min"/>
        <cfvo type="max"/>
        <color rgb="FF63C384"/>
      </dataBar>
      <extLst>
        <ext xmlns:x14="http://schemas.microsoft.com/office/spreadsheetml/2009/9/main" uri="{B025F937-C7B1-47D3-B67F-A62EFF666E3E}">
          <x14:id>{57B406A2-2716-482E-BC5F-2D321C480EB5}</x14:id>
        </ext>
      </extLst>
    </cfRule>
    <cfRule type="dataBar" priority="10">
      <dataBar>
        <cfvo type="min"/>
        <cfvo type="max"/>
        <color rgb="FF638EC6"/>
      </dataBar>
      <extLst>
        <ext xmlns:x14="http://schemas.microsoft.com/office/spreadsheetml/2009/9/main" uri="{B025F937-C7B1-47D3-B67F-A62EFF666E3E}">
          <x14:id>{DD7788C7-4F31-430B-81C8-7E922E2FA004}</x14:id>
        </ext>
      </extLst>
    </cfRule>
    <cfRule type="dataBar" priority="9">
      <dataBar>
        <cfvo type="min"/>
        <cfvo type="max"/>
        <color rgb="FFFF555A"/>
      </dataBar>
      <extLst>
        <ext xmlns:x14="http://schemas.microsoft.com/office/spreadsheetml/2009/9/main" uri="{B025F937-C7B1-47D3-B67F-A62EFF666E3E}">
          <x14:id>{C15CFA0B-1D9A-4583-A96A-DDD6EABFF6C4}</x14:id>
        </ext>
      </extLst>
    </cfRule>
  </conditionalFormatting>
  <conditionalFormatting sqref="I26:I33">
    <cfRule type="dataBar" priority="7">
      <dataBar>
        <cfvo type="min"/>
        <cfvo type="max"/>
        <color rgb="FF63C384"/>
      </dataBar>
      <extLst>
        <ext xmlns:x14="http://schemas.microsoft.com/office/spreadsheetml/2009/9/main" uri="{B025F937-C7B1-47D3-B67F-A62EFF666E3E}">
          <x14:id>{3CCC1782-B279-42E2-AA7F-1F013A04BB37}</x14:id>
        </ext>
      </extLst>
    </cfRule>
  </conditionalFormatting>
  <conditionalFormatting sqref="U6">
    <cfRule type="beginsWith" dxfId="4" priority="1" operator="beginsWith" text="Hold">
      <formula>LEFT(U6,LEN("Hold"))="Hold"</formula>
    </cfRule>
    <cfRule type="beginsWith" dxfId="3" priority="5" operator="beginsWith" text="Strong Sell">
      <formula>LEFT(U6,LEN("Strong Sell"))="Strong Sell"</formula>
    </cfRule>
    <cfRule type="beginsWith" dxfId="2" priority="4" operator="beginsWith" text="Sell">
      <formula>LEFT(U6,LEN("Sell"))="Sell"</formula>
    </cfRule>
    <cfRule type="beginsWith" dxfId="1" priority="3" operator="beginsWith" text="Strong Buy">
      <formula>LEFT(U6,LEN("Strong Buy"))="Strong Buy"</formula>
    </cfRule>
    <cfRule type="beginsWith" dxfId="0" priority="2" operator="beginsWith" text="Buy">
      <formula>LEFT(U6,LEN("Buy"))="Buy"</formula>
    </cfRule>
  </conditionalFormatting>
  <dataValidations disablePrompts="1" count="2">
    <dataValidation type="list" allowBlank="1" showInputMessage="1" showErrorMessage="1" sqref="G25" xr:uid="{00000000-0002-0000-0000-000000000000}">
      <formula1>"FCFF, FCFE, Total Payout, Tax Shield"</formula1>
    </dataValidation>
    <dataValidation type="list" allowBlank="1" showInputMessage="1" showErrorMessage="1" sqref="U6" xr:uid="{00000000-0002-0000-0000-000001000000}">
      <formula1>"Strong Buy, Buy, Hold, Sell, Strong Sell"</formula1>
    </dataValidation>
  </dataValidations>
  <pageMargins left="0.7" right="0.7" top="0.75" bottom="0.75" header="0.3" footer="0.3"/>
  <pageSetup paperSize="9" orientation="portrait"/>
  <drawing r:id="rId1"/>
  <extLst>
    <ext xmlns:x14="http://schemas.microsoft.com/office/spreadsheetml/2009/9/main" uri="{78C0D931-6437-407d-A8EE-F0AAD7539E65}">
      <x14:conditionalFormattings>
        <x14:conditionalFormatting xmlns:xm="http://schemas.microsoft.com/office/excel/2006/main">
          <x14:cfRule type="dataBar" id="{6034C8ED-898D-4A6B-9795-FAAD4BA0B7C6}">
            <x14:dataBar minLength="0" maxLength="100" border="1" negativeBarBorderColorSameAsPositive="0">
              <x14:cfvo type="autoMin"/>
              <x14:cfvo type="autoMax"/>
              <x14:borderColor rgb="FF63C384"/>
              <x14:negativeFillColor rgb="FFFF0000"/>
              <x14:negativeBorderColor rgb="FFFF0000"/>
              <x14:axisColor rgb="FF000000"/>
            </x14:dataBar>
          </x14:cfRule>
          <xm:sqref>E26:E33</xm:sqref>
        </x14:conditionalFormatting>
        <x14:conditionalFormatting xmlns:xm="http://schemas.microsoft.com/office/excel/2006/main">
          <x14:cfRule type="dataBar" id="{5C1B9785-691E-492F-86A6-D7F00A0F45D6}">
            <x14:dataBar minLength="0" maxLength="100" border="1" negativeBarBorderColorSameAsPositive="0">
              <x14:cfvo type="autoMin"/>
              <x14:cfvo type="autoMax"/>
              <x14:borderColor rgb="FF63C384"/>
              <x14:negativeFillColor rgb="FFFF0000"/>
              <x14:negativeBorderColor rgb="FFFF0000"/>
              <x14:axisColor rgb="FF000000"/>
            </x14:dataBar>
          </x14:cfRule>
          <xm:sqref>F26</xm:sqref>
        </x14:conditionalFormatting>
        <x14:conditionalFormatting xmlns:xm="http://schemas.microsoft.com/office/excel/2006/main">
          <x14:cfRule type="dataBar" id="{F2A4872A-9911-4779-9E97-55F97D88D42B}">
            <x14:dataBar minLength="0" maxLength="100" border="1" negativeBarBorderColorSameAsPositive="0">
              <x14:cfvo type="autoMin"/>
              <x14:cfvo type="autoMax"/>
              <x14:borderColor rgb="FF638EC6"/>
              <x14:negativeFillColor rgb="FFFF0000"/>
              <x14:negativeBorderColor rgb="FFFF0000"/>
              <x14:axisColor rgb="FF000000"/>
            </x14:dataBar>
          </x14:cfRule>
          <xm:sqref>F26:F33</xm:sqref>
        </x14:conditionalFormatting>
        <x14:conditionalFormatting xmlns:xm="http://schemas.microsoft.com/office/excel/2006/main">
          <x14:cfRule type="dataBar" id="{698A8913-4860-4E6B-89DE-351099BE7444}">
            <x14:dataBar minLength="0" maxLength="100" border="1" negativeBarBorderColorSameAsPositive="0">
              <x14:cfvo type="autoMin"/>
              <x14:cfvo type="autoMax"/>
              <x14:borderColor rgb="FF63C384"/>
              <x14:negativeFillColor rgb="FFFF0000"/>
              <x14:negativeBorderColor rgb="FFFF0000"/>
              <x14:axisColor rgb="FF000000"/>
            </x14:dataBar>
          </x14:cfRule>
          <xm:sqref>F27</xm:sqref>
        </x14:conditionalFormatting>
        <x14:conditionalFormatting xmlns:xm="http://schemas.microsoft.com/office/excel/2006/main">
          <x14:cfRule type="dataBar" id="{CD4F52E4-75BF-4044-903E-27BCE1DEBDD0}">
            <x14:dataBar minLength="0" maxLength="100" border="1" negativeBarBorderColorSameAsPositive="0">
              <x14:cfvo type="autoMin"/>
              <x14:cfvo type="autoMax"/>
              <x14:borderColor rgb="FF63C384"/>
              <x14:negativeFillColor rgb="FFFF0000"/>
              <x14:negativeBorderColor rgb="FFFF0000"/>
              <x14:axisColor rgb="FF000000"/>
            </x14:dataBar>
          </x14:cfRule>
          <xm:sqref>F28</xm:sqref>
        </x14:conditionalFormatting>
        <x14:conditionalFormatting xmlns:xm="http://schemas.microsoft.com/office/excel/2006/main">
          <x14:cfRule type="dataBar" id="{5D7253A4-1DD1-496F-9A17-1808714854B2}">
            <x14:dataBar minLength="0" maxLength="100" border="1" negativeBarBorderColorSameAsPositive="0">
              <x14:cfvo type="autoMin"/>
              <x14:cfvo type="autoMax"/>
              <x14:borderColor rgb="FF63C384"/>
              <x14:negativeFillColor rgb="FFFF0000"/>
              <x14:negativeBorderColor rgb="FFFF0000"/>
              <x14:axisColor rgb="FF000000"/>
            </x14:dataBar>
          </x14:cfRule>
          <xm:sqref>F29</xm:sqref>
        </x14:conditionalFormatting>
        <x14:conditionalFormatting xmlns:xm="http://schemas.microsoft.com/office/excel/2006/main">
          <x14:cfRule type="dataBar" id="{7A209642-74F3-42D0-8EC8-402BBDCBCD84}">
            <x14:dataBar minLength="0" maxLength="100" border="1" negativeBarBorderColorSameAsPositive="0">
              <x14:cfvo type="autoMin"/>
              <x14:cfvo type="autoMax"/>
              <x14:borderColor rgb="FF63C384"/>
              <x14:negativeFillColor rgb="FFFF0000"/>
              <x14:negativeBorderColor rgb="FFFF0000"/>
              <x14:axisColor rgb="FF000000"/>
            </x14:dataBar>
          </x14:cfRule>
          <xm:sqref>F30</xm:sqref>
        </x14:conditionalFormatting>
        <x14:conditionalFormatting xmlns:xm="http://schemas.microsoft.com/office/excel/2006/main">
          <x14:cfRule type="dataBar" id="{5395343B-6F95-4DBC-A7D5-46BCF270AEE2}">
            <x14:dataBar minLength="0" maxLength="100" border="1" negativeBarBorderColorSameAsPositive="0">
              <x14:cfvo type="autoMin"/>
              <x14:cfvo type="autoMax"/>
              <x14:borderColor rgb="FF63C384"/>
              <x14:negativeFillColor rgb="FFFF0000"/>
              <x14:negativeBorderColor rgb="FFFF0000"/>
              <x14:axisColor rgb="FF000000"/>
            </x14:dataBar>
          </x14:cfRule>
          <xm:sqref>F31</xm:sqref>
        </x14:conditionalFormatting>
        <x14:conditionalFormatting xmlns:xm="http://schemas.microsoft.com/office/excel/2006/main">
          <x14:cfRule type="dataBar" id="{331607CE-926B-492F-83A0-EEEBC8F23CB9}">
            <x14:dataBar minLength="0" maxLength="100" border="1" negativeBarBorderColorSameAsPositive="0">
              <x14:cfvo type="autoMin"/>
              <x14:cfvo type="autoMax"/>
              <x14:borderColor rgb="FF63C384"/>
              <x14:negativeFillColor rgb="FFFF0000"/>
              <x14:negativeBorderColor rgb="FFFF0000"/>
              <x14:axisColor rgb="FF000000"/>
            </x14:dataBar>
          </x14:cfRule>
          <xm:sqref>F32</xm:sqref>
        </x14:conditionalFormatting>
        <x14:conditionalFormatting xmlns:xm="http://schemas.microsoft.com/office/excel/2006/main">
          <x14:cfRule type="dataBar" id="{B3BE3EFD-9295-49D0-80FA-AA2A09587925}">
            <x14:dataBar minLength="0" maxLength="100" border="1" negativeBarBorderColorSameAsPositive="0">
              <x14:cfvo type="autoMin"/>
              <x14:cfvo type="autoMax"/>
              <x14:borderColor rgb="FF63C384"/>
              <x14:negativeFillColor rgb="FFFF0000"/>
              <x14:negativeBorderColor rgb="FFFF0000"/>
              <x14:axisColor rgb="FF000000"/>
            </x14:dataBar>
          </x14:cfRule>
          <xm:sqref>F33</xm:sqref>
        </x14:conditionalFormatting>
        <x14:conditionalFormatting xmlns:xm="http://schemas.microsoft.com/office/excel/2006/main">
          <x14:cfRule type="dataBar" id="{DC21537E-450A-4B7D-B57A-602AB269E3A7}">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695950A-A57C-4000-82FA-EEEC979F92EE}">
            <x14:dataBar minLength="0" maxLength="100" gradient="0">
              <x14:cfvo type="autoMin"/>
              <x14:cfvo type="autoMax"/>
              <x14:negativeFillColor rgb="FFFF0000"/>
              <x14:axisColor rgb="FF000000"/>
            </x14:dataBar>
          </x14:cfRule>
          <xm:sqref>G26</xm:sqref>
        </x14:conditionalFormatting>
        <x14:conditionalFormatting xmlns:xm="http://schemas.microsoft.com/office/excel/2006/main">
          <x14:cfRule type="dataBar" id="{469A3700-94FB-4A26-89CA-0DEB48A710E1}">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BD160036-CACD-4A1C-B17D-8DC22AA977F1}">
            <x14:dataBar minLength="0" maxLength="100" border="1" negativeBarBorderColorSameAsPositive="0">
              <x14:cfvo type="autoMin"/>
              <x14:cfvo type="autoMax"/>
              <x14:borderColor rgb="FFFF555A"/>
              <x14:negativeFillColor rgb="FFFF0000"/>
              <x14:negativeBorderColor rgb="FFFF0000"/>
              <x14:axisColor rgb="FF000000"/>
            </x14:dataBar>
          </x14:cfRule>
          <xm:sqref>G26:G33</xm:sqref>
        </x14:conditionalFormatting>
        <x14:conditionalFormatting xmlns:xm="http://schemas.microsoft.com/office/excel/2006/main">
          <x14:cfRule type="dataBar" id="{EDD674A5-5F26-4D7C-BB8C-9EB544E0C1EA}">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ACDAEC63-EC7C-4930-B523-BD3737F80DBA}">
            <x14:dataBar minLength="0" maxLength="100" gradient="0">
              <x14:cfvo type="autoMin"/>
              <x14:cfvo type="autoMax"/>
              <x14:negativeFillColor rgb="FFFF0000"/>
              <x14:axisColor rgb="FF000000"/>
            </x14:dataBar>
          </x14:cfRule>
          <x14:cfRule type="dataBar" id="{29F200BB-F60A-473B-88DC-B2D1E5801962}">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09674FF-A7BB-4895-BD55-F0D68FE13326}">
            <x14:dataBar minLength="0" maxLength="100" gradient="0">
              <x14:cfvo type="autoMin"/>
              <x14:cfvo type="autoMax"/>
              <x14:negativeFillColor rgb="FFFF0000"/>
              <x14:axisColor rgb="FF000000"/>
            </x14:dataBar>
          </x14:cfRule>
          <xm:sqref>G27</xm:sqref>
        </x14:conditionalFormatting>
        <x14:conditionalFormatting xmlns:xm="http://schemas.microsoft.com/office/excel/2006/main">
          <x14:cfRule type="dataBar" id="{9E51552C-D55A-4DE8-B38D-5F54A7BF7D7E}">
            <x14:dataBar minLength="0" maxLength="100" gradient="0">
              <x14:cfvo type="autoMin"/>
              <x14:cfvo type="autoMax"/>
              <x14:negativeFillColor rgb="FFFF0000"/>
              <x14:axisColor rgb="FF000000"/>
            </x14:dataBar>
          </x14:cfRule>
          <x14:cfRule type="dataBar" id="{90A849CA-1BBD-4A6B-B32C-EF0B82FA4DF0}">
            <x14:dataBar minLength="0" maxLength="100" gradient="0">
              <x14:cfvo type="autoMin"/>
              <x14:cfvo type="autoMax"/>
              <x14:negativeFillColor rgb="FFFF0000"/>
              <x14:axisColor rgb="FF000000"/>
            </x14:dataBar>
          </x14:cfRule>
          <x14:cfRule type="dataBar" id="{248F9205-0A71-4DDD-9B75-2F0220EB6FCE}">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9CB31363-0C52-411E-B5C4-729617AF0F42}">
            <x14:dataBar minLength="0" maxLength="100" border="1" negativeBarBorderColorSameAsPositive="0">
              <x14:cfvo type="autoMin"/>
              <x14:cfvo type="autoMax"/>
              <x14:borderColor rgb="FF63C384"/>
              <x14:negativeFillColor rgb="FFFF0000"/>
              <x14:negativeBorderColor rgb="FFFF0000"/>
              <x14:axisColor rgb="FF000000"/>
            </x14:dataBar>
          </x14:cfRule>
          <xm:sqref>G28</xm:sqref>
        </x14:conditionalFormatting>
        <x14:conditionalFormatting xmlns:xm="http://schemas.microsoft.com/office/excel/2006/main">
          <x14:cfRule type="dataBar" id="{D0D5D0DC-42F4-49CB-9DF2-D549D897E0FF}">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8E3BA3B1-F742-4FC4-8FB1-A0CAE20CCE57}">
            <x14:dataBar minLength="0" maxLength="100" gradient="0">
              <x14:cfvo type="autoMin"/>
              <x14:cfvo type="autoMax"/>
              <x14:negativeFillColor rgb="FFFF0000"/>
              <x14:axisColor rgb="FF000000"/>
            </x14:dataBar>
          </x14:cfRule>
          <xm:sqref>G29</xm:sqref>
        </x14:conditionalFormatting>
        <x14:conditionalFormatting xmlns:xm="http://schemas.microsoft.com/office/excel/2006/main">
          <x14:cfRule type="dataBar" id="{5199E6A7-9290-4150-80D6-2857642814AB}">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6214BE10-A170-484F-941E-6F5EF007B533}">
            <x14:dataBar minLength="0" maxLength="100" gradient="0">
              <x14:cfvo type="autoMin"/>
              <x14:cfvo type="autoMax"/>
              <x14:negativeFillColor rgb="FFFF0000"/>
              <x14:axisColor rgb="FF000000"/>
            </x14:dataBar>
          </x14:cfRule>
          <x14:cfRule type="dataBar" id="{2D2BBCA1-8BCA-4D14-BA9F-299A5839FFAA}">
            <x14:dataBar minLength="0" maxLength="100" gradient="0">
              <x14:cfvo type="autoMin"/>
              <x14:cfvo type="autoMax"/>
              <x14:negativeFillColor rgb="FFFF0000"/>
              <x14:axisColor rgb="FF000000"/>
            </x14:dataBar>
          </x14:cfRule>
          <x14:cfRule type="dataBar" id="{2DEA7D45-6052-40F8-8FF3-D03FD6BC715F}">
            <x14:dataBar minLength="0" maxLength="100" border="1" negativeBarBorderColorSameAsPositive="0">
              <x14:cfvo type="autoMin"/>
              <x14:cfvo type="autoMax"/>
              <x14:borderColor rgb="FF63C384"/>
              <x14:negativeFillColor rgb="FFFF0000"/>
              <x14:negativeBorderColor rgb="FFFF0000"/>
              <x14:axisColor rgb="FF000000"/>
            </x14:dataBar>
          </x14:cfRule>
          <xm:sqref>G30</xm:sqref>
        </x14:conditionalFormatting>
        <x14:conditionalFormatting xmlns:xm="http://schemas.microsoft.com/office/excel/2006/main">
          <x14:cfRule type="dataBar" id="{C8253A93-34C8-47F2-9A4D-B0B179E989E5}">
            <x14:dataBar minLength="0" maxLength="100" gradient="0">
              <x14:cfvo type="autoMin"/>
              <x14:cfvo type="autoMax"/>
              <x14:negativeFillColor rgb="FFFF0000"/>
              <x14:axisColor rgb="FF000000"/>
            </x14:dataBar>
          </x14:cfRule>
          <x14:cfRule type="dataBar" id="{3BBB7504-0E23-4F4F-8D48-50EB7F1974E7}">
            <x14:dataBar minLength="0" maxLength="100" gradient="0">
              <x14:cfvo type="autoMin"/>
              <x14:cfvo type="autoMax"/>
              <x14:negativeFillColor rgb="FFFF0000"/>
              <x14:axisColor rgb="FF000000"/>
            </x14:dataBar>
          </x14:cfRule>
          <x14:cfRule type="dataBar" id="{4BD9B04B-1D50-4F22-AE9A-36635C8EB195}">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11591B90-F748-479E-B43B-5B632A7D2078}">
            <x14:dataBar minLength="0" maxLength="100" border="1" negativeBarBorderColorSameAsPositive="0">
              <x14:cfvo type="autoMin"/>
              <x14:cfvo type="autoMax"/>
              <x14:borderColor rgb="FF63C384"/>
              <x14:negativeFillColor rgb="FFFF0000"/>
              <x14:negativeBorderColor rgb="FFFF0000"/>
              <x14:axisColor rgb="FF000000"/>
            </x14:dataBar>
          </x14:cfRule>
          <xm:sqref>G31</xm:sqref>
        </x14:conditionalFormatting>
        <x14:conditionalFormatting xmlns:xm="http://schemas.microsoft.com/office/excel/2006/main">
          <x14:cfRule type="dataBar" id="{F3DEFCCF-EF13-4C0A-A500-BCFAB9EBBCF7}">
            <x14:dataBar minLength="0" maxLength="100" gradient="0">
              <x14:cfvo type="autoMin"/>
              <x14:cfvo type="autoMax"/>
              <x14:negativeFillColor rgb="FFFF0000"/>
              <x14:axisColor rgb="FF000000"/>
            </x14:dataBar>
          </x14:cfRule>
          <x14:cfRule type="dataBar" id="{01AD74CC-99AB-45E3-A94C-50D6EB7EE4CC}">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11CAD6A3-68E8-439C-A66F-99B0BAE5571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BE4A62C0-0DCE-4A50-BCFB-24698F0286BA}">
            <x14:dataBar minLength="0" maxLength="100" gradient="0">
              <x14:cfvo type="autoMin"/>
              <x14:cfvo type="autoMax"/>
              <x14:negativeFillColor rgb="FFFF0000"/>
              <x14:axisColor rgb="FF000000"/>
            </x14:dataBar>
          </x14:cfRule>
          <xm:sqref>G32</xm:sqref>
        </x14:conditionalFormatting>
        <x14:conditionalFormatting xmlns:xm="http://schemas.microsoft.com/office/excel/2006/main">
          <x14:cfRule type="dataBar" id="{E6CC772F-C8B8-454B-AC0A-4C0AFC3A51E4}">
            <x14:dataBar minLength="0" maxLength="100" gradient="0">
              <x14:cfvo type="autoMin"/>
              <x14:cfvo type="autoMax"/>
              <x14:negativeFillColor rgb="FFFF0000"/>
              <x14:axisColor rgb="FF000000"/>
            </x14:dataBar>
          </x14:cfRule>
          <x14:cfRule type="dataBar" id="{6CC95D6E-ACC5-4CC6-87D4-F0C4F48D7FC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6CB346AD-5C09-4119-A373-DF43861A612A}">
            <x14:dataBar minLength="0" maxLength="100" gradient="0">
              <x14:cfvo type="autoMin"/>
              <x14:cfvo type="autoMax"/>
              <x14:negativeFillColor rgb="FFFF0000"/>
              <x14:axisColor rgb="FF000000"/>
            </x14:dataBar>
          </x14:cfRule>
          <x14:cfRule type="dataBar" id="{035AE87E-B909-45CD-A96D-A0E8E0B284D2}">
            <x14:dataBar minLength="0" maxLength="100" border="1" negativeBarBorderColorSameAsPositive="0">
              <x14:cfvo type="autoMin"/>
              <x14:cfvo type="autoMax"/>
              <x14:borderColor rgb="FF63C384"/>
              <x14:negativeFillColor rgb="FFFF0000"/>
              <x14:negativeBorderColor rgb="FFFF0000"/>
              <x14:axisColor rgb="FF000000"/>
            </x14:dataBar>
          </x14:cfRule>
          <xm:sqref>G33</xm:sqref>
        </x14:conditionalFormatting>
        <x14:conditionalFormatting xmlns:xm="http://schemas.microsoft.com/office/excel/2006/main">
          <x14:cfRule type="dataBar" id="{81594E5B-B329-4515-A327-1F20655C3B35}">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468844F9-F2F4-4C23-AFA9-7DE1F6CB4BB7}">
            <x14:dataBar minLength="0" maxLength="100" gradient="0">
              <x14:cfvo type="autoMin"/>
              <x14:cfvo type="autoMax"/>
              <x14:negativeFillColor rgb="FFFF0000"/>
              <x14:axisColor rgb="FF000000"/>
            </x14:dataBar>
          </x14:cfRule>
          <x14:cfRule type="dataBar" id="{8952AC92-4F6C-40AF-9634-847C6B460212}">
            <x14:dataBar minLength="0" maxLength="100" gradient="0">
              <x14:cfvo type="autoMin"/>
              <x14:cfvo type="autoMax"/>
              <x14:negativeFillColor rgb="FFFF0000"/>
              <x14:axisColor rgb="FF000000"/>
            </x14:dataBar>
          </x14:cfRule>
          <xm:sqref>H26</xm:sqref>
        </x14:conditionalFormatting>
        <x14:conditionalFormatting xmlns:xm="http://schemas.microsoft.com/office/excel/2006/main">
          <x14:cfRule type="dataBar" id="{9BB4FC6B-0919-4EC7-B8DC-107707F869D5}">
            <x14:dataBar minLength="0" maxLength="100" border="1" negativeBarBorderColorSameAsPositive="0">
              <x14:cfvo type="autoMin"/>
              <x14:cfvo type="autoMax"/>
              <x14:borderColor rgb="FF63C384"/>
              <x14:negativeFillColor rgb="FFFF0000"/>
              <x14:negativeBorderColor rgb="FFFF0000"/>
              <x14:axisColor rgb="FF000000"/>
            </x14:dataBar>
          </x14:cfRule>
          <xm:sqref>H26:H33</xm:sqref>
        </x14:conditionalFormatting>
        <x14:conditionalFormatting xmlns:xm="http://schemas.microsoft.com/office/excel/2006/main">
          <x14:cfRule type="dataBar" id="{F6C9405D-EF6D-4B47-863C-C870C4AAC5B9}">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E94D7EC1-1EF8-4A41-876B-B422735DDB39}">
            <x14:dataBar minLength="0" maxLength="100" gradient="0">
              <x14:cfvo type="autoMin"/>
              <x14:cfvo type="autoMax"/>
              <x14:negativeFillColor rgb="FFFF0000"/>
              <x14:axisColor rgb="FF000000"/>
            </x14:dataBar>
          </x14:cfRule>
          <x14:cfRule type="dataBar" id="{47D2F64D-A4B2-467E-8ED7-8FCBDF84C89D}">
            <x14:dataBar minLength="0" maxLength="100" gradient="0">
              <x14:cfvo type="autoMin"/>
              <x14:cfvo type="autoMax"/>
              <x14:negativeFillColor rgb="FFFF0000"/>
              <x14:axisColor rgb="FF000000"/>
            </x14:dataBar>
          </x14:cfRule>
          <xm:sqref>H27</xm:sqref>
        </x14:conditionalFormatting>
        <x14:conditionalFormatting xmlns:xm="http://schemas.microsoft.com/office/excel/2006/main">
          <x14:cfRule type="dataBar" id="{57B406A2-2716-482E-BC5F-2D321C480EB5}">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DD7788C7-4F31-430B-81C8-7E922E2FA004}">
            <x14:dataBar minLength="0" maxLength="100" gradient="0">
              <x14:cfvo type="autoMin"/>
              <x14:cfvo type="autoMax"/>
              <x14:negativeFillColor rgb="FFFF0000"/>
              <x14:axisColor rgb="FF000000"/>
            </x14:dataBar>
          </x14:cfRule>
          <x14:cfRule type="dataBar" id="{C15CFA0B-1D9A-4583-A96A-DDD6EABFF6C4}">
            <x14:dataBar minLength="0" maxLength="100" gradient="0">
              <x14:cfvo type="autoMin"/>
              <x14:cfvo type="autoMax"/>
              <x14:negativeFillColor rgb="FFFF0000"/>
              <x14:axisColor rgb="FF000000"/>
            </x14:dataBar>
          </x14:cfRule>
          <xm:sqref>H28</xm:sqref>
        </x14:conditionalFormatting>
        <x14:conditionalFormatting xmlns:xm="http://schemas.microsoft.com/office/excel/2006/main">
          <x14:cfRule type="dataBar" id="{3CCC1782-B279-42E2-AA7F-1F013A04BB37}">
            <x14:dataBar minLength="0" maxLength="100" border="1" negativeBarBorderColorSameAsPositive="0">
              <x14:cfvo type="autoMin"/>
              <x14:cfvo type="autoMax"/>
              <x14:borderColor rgb="FF63C384"/>
              <x14:negativeFillColor rgb="FFFF0000"/>
              <x14:negativeBorderColor rgb="FFFF0000"/>
              <x14:axisColor rgb="FF000000"/>
            </x14:dataBar>
          </x14:cfRule>
          <xm:sqref>I26:I33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249977111117893"/>
  </sheetPr>
  <dimension ref="B2:T53"/>
  <sheetViews>
    <sheetView showGridLines="0" zoomScale="67" zoomScaleNormal="70" workbookViewId="0">
      <selection activeCell="D26" sqref="D26:I26"/>
    </sheetView>
  </sheetViews>
  <sheetFormatPr defaultColWidth="8.58203125" defaultRowHeight="14" x14ac:dyDescent="0.3"/>
  <cols>
    <col min="1" max="1" width="2.08203125" customWidth="1"/>
    <col min="2" max="2" width="30.58203125" customWidth="1"/>
    <col min="4" max="4" width="13.08203125" customWidth="1"/>
    <col min="5" max="9" width="12.58203125" customWidth="1"/>
    <col min="10" max="10" width="18.58203125" style="6" customWidth="1"/>
    <col min="11" max="25" width="12.58203125" customWidth="1"/>
  </cols>
  <sheetData>
    <row r="2" spans="2:18" s="41" customFormat="1" ht="20.149999999999999" customHeight="1" x14ac:dyDescent="0.4">
      <c r="B2" s="40" t="s">
        <v>100</v>
      </c>
      <c r="C2" s="41" t="s">
        <v>101</v>
      </c>
      <c r="J2" s="42"/>
    </row>
    <row r="4" spans="2:18" ht="15.5" x14ac:dyDescent="0.35">
      <c r="B4" s="49" t="s">
        <v>102</v>
      </c>
      <c r="C4" s="53"/>
      <c r="D4" s="49" t="s">
        <v>103</v>
      </c>
      <c r="E4" s="54">
        <v>2020</v>
      </c>
      <c r="F4" s="54">
        <f>+E4+1</f>
        <v>2021</v>
      </c>
      <c r="G4" s="54">
        <f>+F4+1</f>
        <v>2022</v>
      </c>
      <c r="H4" s="54">
        <f t="shared" ref="H4:I4" si="0">+G4+1</f>
        <v>2023</v>
      </c>
      <c r="I4" s="54">
        <f t="shared" si="0"/>
        <v>2024</v>
      </c>
      <c r="J4" s="55" t="str">
        <f>"CAGR "&amp;$E$4&amp;" - "&amp;$I$4</f>
        <v>CAGR 2020 - 2024</v>
      </c>
      <c r="K4" s="54">
        <v>2021</v>
      </c>
      <c r="L4" s="54">
        <f>+K4+1</f>
        <v>2022</v>
      </c>
      <c r="M4" s="54">
        <f>+L4+1</f>
        <v>2023</v>
      </c>
      <c r="N4" s="54">
        <f t="shared" ref="N4" si="1">+M4+1</f>
        <v>2024</v>
      </c>
    </row>
    <row r="5" spans="2:18" ht="4.4000000000000004" customHeight="1" x14ac:dyDescent="0.35">
      <c r="B5" s="50"/>
      <c r="C5" s="50"/>
      <c r="D5" s="50"/>
      <c r="E5" s="50"/>
      <c r="F5" s="50"/>
      <c r="G5" s="50"/>
      <c r="H5" s="50"/>
      <c r="I5" s="50"/>
      <c r="J5" s="57"/>
      <c r="K5" s="57"/>
      <c r="L5" s="57"/>
      <c r="M5" s="57"/>
      <c r="N5" s="57"/>
    </row>
    <row r="6" spans="2:18" x14ac:dyDescent="0.3">
      <c r="B6" t="s">
        <v>104</v>
      </c>
      <c r="D6" s="62">
        <f>IFERROR(I6/SUM($I$6:$I$12),"")</f>
        <v>0.24368415090064574</v>
      </c>
      <c r="E6" s="88">
        <v>3119</v>
      </c>
      <c r="F6" s="88">
        <v>3425</v>
      </c>
      <c r="G6" s="88">
        <v>3342</v>
      </c>
      <c r="H6" s="88">
        <v>3325</v>
      </c>
      <c r="I6" s="88">
        <v>2151</v>
      </c>
      <c r="J6" s="61">
        <f>IFERROR((I6/E6)^(1/COUNT($E$4:$I$4))-1,"")</f>
        <v>-7.1621643431224125E-2</v>
      </c>
      <c r="K6" s="62">
        <f t="shared" ref="K6:M8" si="2">IFERROR((F6-E6)/E6,"")</f>
        <v>9.8108368066688045E-2</v>
      </c>
      <c r="L6" s="62">
        <f t="shared" si="2"/>
        <v>-2.4233576642335768E-2</v>
      </c>
      <c r="M6" s="89">
        <f t="shared" si="2"/>
        <v>-5.086774386594853E-3</v>
      </c>
      <c r="N6" s="89">
        <f t="shared" ref="N6:N13" si="3">IFERROR((I6-H6)/H6,"")</f>
        <v>-0.35308270676691728</v>
      </c>
    </row>
    <row r="7" spans="2:18" x14ac:dyDescent="0.3">
      <c r="B7" t="s">
        <v>105</v>
      </c>
      <c r="D7" s="62">
        <f>IFERROR(I7/SUM($I$6:$I$12),"")</f>
        <v>0.21456893621842074</v>
      </c>
      <c r="E7" s="88">
        <v>155</v>
      </c>
      <c r="F7" s="88">
        <v>741</v>
      </c>
      <c r="G7" s="88">
        <v>1150</v>
      </c>
      <c r="H7" s="88">
        <v>1268</v>
      </c>
      <c r="I7" s="88">
        <v>1894</v>
      </c>
      <c r="J7" s="61">
        <f>IFERROR((I7/E7)^(1/COUNT($E$4:$I$4))-1,"")</f>
        <v>0.64971778083563514</v>
      </c>
      <c r="K7" s="62">
        <f t="shared" si="2"/>
        <v>3.7806451612903227</v>
      </c>
      <c r="L7" s="62">
        <f t="shared" si="2"/>
        <v>0.55195681511470984</v>
      </c>
      <c r="M7" s="89">
        <f t="shared" si="2"/>
        <v>0.10260869565217391</v>
      </c>
      <c r="N7" s="89">
        <f t="shared" si="3"/>
        <v>0.49369085173501576</v>
      </c>
    </row>
    <row r="8" spans="2:18" x14ac:dyDescent="0.3">
      <c r="B8" s="83" t="s">
        <v>106</v>
      </c>
      <c r="D8" s="62">
        <f t="shared" ref="D8:D12" si="4">IFERROR(I8/SUM($I$6:$I$12),"")</f>
        <v>0.12835617990257164</v>
      </c>
      <c r="E8" s="88">
        <v>1630</v>
      </c>
      <c r="F8" s="88">
        <v>1614</v>
      </c>
      <c r="G8" s="88">
        <v>1241</v>
      </c>
      <c r="H8" s="88">
        <v>909</v>
      </c>
      <c r="I8" s="88">
        <v>1133</v>
      </c>
      <c r="J8" s="61">
        <f>IFERROR((I8/E8)^(1/COUNT($E$4:$I$4))-1,"")</f>
        <v>-7.0159494081241558E-2</v>
      </c>
      <c r="K8" s="62">
        <f t="shared" si="2"/>
        <v>-9.8159509202453993E-3</v>
      </c>
      <c r="L8" s="62">
        <f t="shared" si="2"/>
        <v>-0.23110285006195788</v>
      </c>
      <c r="M8" s="62">
        <f t="shared" si="2"/>
        <v>-0.26752618855761484</v>
      </c>
      <c r="N8" s="89">
        <f t="shared" si="3"/>
        <v>0.24642464246424642</v>
      </c>
    </row>
    <row r="9" spans="2:18" x14ac:dyDescent="0.3">
      <c r="B9" s="83" t="s">
        <v>107</v>
      </c>
      <c r="D9" s="62">
        <f t="shared" si="4"/>
        <v>0.12473093916392886</v>
      </c>
      <c r="E9" s="88" t="s">
        <v>108</v>
      </c>
      <c r="F9" s="88" t="s">
        <v>108</v>
      </c>
      <c r="G9" s="88" t="s">
        <v>108</v>
      </c>
      <c r="H9" s="88" t="s">
        <v>108</v>
      </c>
      <c r="I9" s="88">
        <v>1101</v>
      </c>
      <c r="J9" s="61" t="str">
        <f>IFERROR((I9/E9)^(1/COUNT($E$4:$I$4))-1,"")</f>
        <v/>
      </c>
      <c r="K9" s="62" t="str">
        <f t="shared" ref="K9:L13" si="5">IFERROR(F9-E9/E9,"")</f>
        <v/>
      </c>
      <c r="L9" s="62" t="str">
        <f t="shared" si="5"/>
        <v/>
      </c>
      <c r="M9" s="62" t="str">
        <f>IFERROR(H9-G9/G9,"")</f>
        <v/>
      </c>
      <c r="N9" s="89" t="str">
        <f t="shared" si="3"/>
        <v/>
      </c>
    </row>
    <row r="10" spans="2:18" x14ac:dyDescent="0.3">
      <c r="B10" s="83" t="s">
        <v>109</v>
      </c>
      <c r="D10" s="62">
        <f t="shared" si="4"/>
        <v>0.28865979381443296</v>
      </c>
      <c r="E10" s="88">
        <v>256</v>
      </c>
      <c r="F10" s="88">
        <v>499</v>
      </c>
      <c r="G10" s="88">
        <v>1440</v>
      </c>
      <c r="H10" s="88">
        <v>3256</v>
      </c>
      <c r="I10" s="88">
        <v>2548</v>
      </c>
      <c r="J10" s="61">
        <f t="shared" ref="J10" si="6">IFERROR((I10/E10)^(1/COUNT($E$4:$I$4))-1,"")</f>
        <v>0.58340456128684393</v>
      </c>
      <c r="K10" s="62">
        <f>IFERROR((F10-E10)/E10,"")</f>
        <v>0.94921875</v>
      </c>
      <c r="L10" s="62">
        <f>IFERROR((G10-F10)/F10,"")</f>
        <v>1.8857715430861723</v>
      </c>
      <c r="M10" s="62">
        <f>IFERROR((H10-G10)/G10,"")</f>
        <v>1.2611111111111111</v>
      </c>
      <c r="N10" s="89">
        <f t="shared" si="3"/>
        <v>-0.21744471744471744</v>
      </c>
    </row>
    <row r="11" spans="2:18" x14ac:dyDescent="0.3">
      <c r="B11" s="83" t="s">
        <v>110</v>
      </c>
      <c r="D11" s="62">
        <f t="shared" si="4"/>
        <v>0</v>
      </c>
      <c r="E11" s="90"/>
      <c r="F11" s="90"/>
      <c r="G11" s="90"/>
      <c r="H11" s="90"/>
      <c r="I11" s="90"/>
      <c r="J11" s="61"/>
      <c r="K11" s="62"/>
      <c r="L11" s="62"/>
      <c r="M11" s="62"/>
      <c r="N11" s="89"/>
    </row>
    <row r="12" spans="2:18" x14ac:dyDescent="0.3">
      <c r="B12" s="83" t="s">
        <v>110</v>
      </c>
      <c r="D12" s="62">
        <f t="shared" si="4"/>
        <v>0</v>
      </c>
      <c r="E12" s="90"/>
      <c r="F12" s="90"/>
      <c r="G12" s="90"/>
      <c r="H12" s="90"/>
      <c r="I12" s="90"/>
      <c r="J12" s="61"/>
      <c r="K12" s="62"/>
      <c r="L12" s="62"/>
      <c r="M12" s="62"/>
      <c r="N12" s="89"/>
    </row>
    <row r="13" spans="2:18" x14ac:dyDescent="0.3">
      <c r="B13" s="1" t="s">
        <v>111</v>
      </c>
      <c r="D13" s="91">
        <f>SUM(D6:D12)</f>
        <v>0.99999999999999989</v>
      </c>
      <c r="E13" s="92">
        <f>SUM(E6:E10)</f>
        <v>5160</v>
      </c>
      <c r="F13" s="92">
        <f t="shared" ref="F13:I13" si="7">SUM(F6:F10)</f>
        <v>6279</v>
      </c>
      <c r="G13" s="92">
        <f t="shared" si="7"/>
        <v>7173</v>
      </c>
      <c r="H13" s="92">
        <f t="shared" si="7"/>
        <v>8758</v>
      </c>
      <c r="I13" s="92">
        <f t="shared" si="7"/>
        <v>8827</v>
      </c>
      <c r="J13" s="64">
        <f>IFERROR((I13/G13)^(1/COUNT($G$4:$I$4))-1,"")</f>
        <v>7.1611663653939894E-2</v>
      </c>
      <c r="K13" s="65">
        <f t="shared" si="5"/>
        <v>6278</v>
      </c>
      <c r="L13" s="65">
        <f t="shared" si="5"/>
        <v>7172</v>
      </c>
      <c r="M13" s="89">
        <f>IFERROR((H13-G13)/G13,"")</f>
        <v>0.22096751707793114</v>
      </c>
      <c r="N13" s="89">
        <f t="shared" si="3"/>
        <v>7.8785110755880336E-3</v>
      </c>
    </row>
    <row r="14" spans="2:18" ht="8.15" customHeight="1" x14ac:dyDescent="0.3">
      <c r="R14" s="93"/>
    </row>
    <row r="15" spans="2:18" ht="15.5" x14ac:dyDescent="0.35">
      <c r="B15" s="49" t="s">
        <v>100</v>
      </c>
      <c r="C15" s="53"/>
      <c r="D15" s="49" t="s">
        <v>103</v>
      </c>
      <c r="E15" s="54">
        <v>2020</v>
      </c>
      <c r="F15" s="54">
        <f>+E15+1</f>
        <v>2021</v>
      </c>
      <c r="G15" s="54">
        <f>+F15+1</f>
        <v>2022</v>
      </c>
      <c r="H15" s="54">
        <f t="shared" ref="H15:I15" si="8">+G15+1</f>
        <v>2023</v>
      </c>
      <c r="I15" s="54">
        <f t="shared" si="8"/>
        <v>2024</v>
      </c>
      <c r="J15" s="55" t="str">
        <f>"CAGR "&amp;$E$4&amp;" - "&amp;$I$4</f>
        <v>CAGR 2020 - 2024</v>
      </c>
      <c r="K15" s="54">
        <v>2021</v>
      </c>
      <c r="L15" s="54">
        <f>+K15+1</f>
        <v>2022</v>
      </c>
      <c r="M15" s="54">
        <f>+L15+1</f>
        <v>2023</v>
      </c>
      <c r="N15" s="54">
        <f t="shared" ref="N15" si="9">+M15+1</f>
        <v>2024</v>
      </c>
    </row>
    <row r="16" spans="2:18" s="89" customFormat="1" ht="4.4000000000000004" customHeight="1" x14ac:dyDescent="0.35">
      <c r="B16" s="50"/>
      <c r="C16" s="50"/>
      <c r="D16" s="50"/>
      <c r="E16" s="50"/>
      <c r="F16" s="50"/>
      <c r="G16" s="50"/>
      <c r="H16" s="50"/>
      <c r="I16" s="50"/>
      <c r="J16" s="57"/>
      <c r="K16" s="57"/>
      <c r="L16" s="57"/>
      <c r="M16" s="57"/>
      <c r="N16" s="57"/>
      <c r="O16" s="94"/>
    </row>
    <row r="17" spans="2:20" x14ac:dyDescent="0.3">
      <c r="B17" t="s">
        <v>112</v>
      </c>
      <c r="D17" s="62">
        <f>IFERROR(I17/SUM($I$17:$I$21),"")</f>
        <v>0.76413277444205274</v>
      </c>
      <c r="E17" s="90">
        <v>4313</v>
      </c>
      <c r="F17" s="90">
        <v>4424</v>
      </c>
      <c r="G17" s="90">
        <v>5616</v>
      </c>
      <c r="H17" s="90">
        <v>4895</v>
      </c>
      <c r="I17" s="90">
        <v>6745</v>
      </c>
      <c r="J17" s="61">
        <f>IFERROR((I17/E17)^(1/COUNT($E$4:$I$4))-1,"")</f>
        <v>9.3554669000841528E-2</v>
      </c>
      <c r="K17" s="93">
        <f t="shared" ref="K17:N22" si="10">IFERROR((F17-E17)/E17,"")</f>
        <v>2.5736146533735221E-2</v>
      </c>
      <c r="L17" s="93">
        <f t="shared" si="10"/>
        <v>0.26943942133815552</v>
      </c>
      <c r="M17" s="93">
        <f t="shared" si="10"/>
        <v>-0.12838319088319089</v>
      </c>
      <c r="N17" s="93">
        <f t="shared" si="10"/>
        <v>0.37793667007150156</v>
      </c>
    </row>
    <row r="18" spans="2:20" x14ac:dyDescent="0.3">
      <c r="B18" t="s">
        <v>113</v>
      </c>
      <c r="D18" s="62">
        <f t="shared" ref="D18:D21" si="11">IFERROR(I18/SUM($I$17:$I$21),"")</f>
        <v>0.2195536422340546</v>
      </c>
      <c r="E18" s="90">
        <v>426</v>
      </c>
      <c r="F18" s="90">
        <v>1786</v>
      </c>
      <c r="G18" s="90">
        <v>1478</v>
      </c>
      <c r="H18" s="90">
        <v>3816</v>
      </c>
      <c r="I18" s="90">
        <v>1938</v>
      </c>
      <c r="J18" s="61">
        <f t="shared" ref="J18:J22" si="12">IFERROR((I18/E18)^(1/COUNT($E$4:$I$4))-1,"")</f>
        <v>0.35390700336011993</v>
      </c>
      <c r="K18" s="93">
        <f t="shared" si="10"/>
        <v>3.192488262910798</v>
      </c>
      <c r="L18" s="93">
        <f t="shared" si="10"/>
        <v>-0.17245240761478164</v>
      </c>
      <c r="M18" s="93">
        <f t="shared" si="10"/>
        <v>1.5818673883626522</v>
      </c>
      <c r="N18" s="93">
        <f t="shared" si="10"/>
        <v>-0.49213836477987422</v>
      </c>
    </row>
    <row r="19" spans="2:20" x14ac:dyDescent="0.3">
      <c r="B19" t="s">
        <v>109</v>
      </c>
      <c r="D19" s="62">
        <f t="shared" si="11"/>
        <v>1.6313583323892603E-2</v>
      </c>
      <c r="E19" s="90">
        <v>421</v>
      </c>
      <c r="F19" s="90">
        <v>69</v>
      </c>
      <c r="G19" s="90">
        <v>79</v>
      </c>
      <c r="H19" s="90">
        <v>47</v>
      </c>
      <c r="I19" s="90">
        <v>144</v>
      </c>
      <c r="J19" s="61">
        <f t="shared" si="12"/>
        <v>-0.19310675589818327</v>
      </c>
      <c r="K19" s="93">
        <f t="shared" si="10"/>
        <v>-0.83610451306413303</v>
      </c>
      <c r="L19" s="93">
        <f t="shared" si="10"/>
        <v>0.14492753623188406</v>
      </c>
      <c r="M19" s="93">
        <f t="shared" si="10"/>
        <v>-0.4050632911392405</v>
      </c>
      <c r="N19" s="93">
        <f t="shared" si="10"/>
        <v>2.0638297872340425</v>
      </c>
    </row>
    <row r="20" spans="2:20" x14ac:dyDescent="0.3">
      <c r="B20" s="83"/>
      <c r="D20" s="62">
        <f t="shared" si="11"/>
        <v>0</v>
      </c>
      <c r="E20" s="90"/>
      <c r="F20" s="90"/>
      <c r="G20" s="90"/>
      <c r="H20" s="90"/>
      <c r="I20" s="90"/>
      <c r="J20" s="61" t="str">
        <f t="shared" si="12"/>
        <v/>
      </c>
      <c r="K20" s="93" t="str">
        <f t="shared" si="10"/>
        <v/>
      </c>
      <c r="L20" s="93" t="str">
        <f t="shared" si="10"/>
        <v/>
      </c>
      <c r="M20" s="93" t="str">
        <f t="shared" si="10"/>
        <v/>
      </c>
      <c r="N20" s="93" t="str">
        <f t="shared" si="10"/>
        <v/>
      </c>
    </row>
    <row r="21" spans="2:20" x14ac:dyDescent="0.3">
      <c r="B21" s="83"/>
      <c r="D21" s="62">
        <f t="shared" si="11"/>
        <v>0</v>
      </c>
      <c r="E21" s="90"/>
      <c r="F21" s="90"/>
      <c r="G21" s="90"/>
      <c r="H21" s="90"/>
      <c r="I21" s="90"/>
      <c r="J21" s="61" t="str">
        <f t="shared" si="12"/>
        <v/>
      </c>
      <c r="K21" s="93" t="str">
        <f t="shared" si="10"/>
        <v/>
      </c>
      <c r="L21" s="93" t="str">
        <f t="shared" si="10"/>
        <v/>
      </c>
      <c r="M21" s="93" t="str">
        <f t="shared" si="10"/>
        <v/>
      </c>
      <c r="N21" s="93" t="str">
        <f t="shared" si="10"/>
        <v/>
      </c>
    </row>
    <row r="22" spans="2:20" x14ac:dyDescent="0.3">
      <c r="B22" s="1" t="s">
        <v>111</v>
      </c>
      <c r="D22" s="91">
        <f>SUM(D17:D21)</f>
        <v>1</v>
      </c>
      <c r="E22" s="92">
        <f>SUM(E17:E21)</f>
        <v>5160</v>
      </c>
      <c r="F22" s="92">
        <f>SUM(F17:F21)</f>
        <v>6279</v>
      </c>
      <c r="G22" s="92">
        <f t="shared" ref="G22:I22" si="13">SUM(G17:G21)</f>
        <v>7173</v>
      </c>
      <c r="H22" s="92">
        <f t="shared" si="13"/>
        <v>8758</v>
      </c>
      <c r="I22" s="92">
        <f t="shared" si="13"/>
        <v>8827</v>
      </c>
      <c r="J22" s="64">
        <f t="shared" si="12"/>
        <v>0.11335249061193275</v>
      </c>
      <c r="K22" s="93">
        <f t="shared" si="10"/>
        <v>0.21686046511627907</v>
      </c>
      <c r="L22" s="93">
        <f t="shared" si="10"/>
        <v>0.14237935977066413</v>
      </c>
      <c r="M22" s="93">
        <f t="shared" si="10"/>
        <v>0.22096751707793114</v>
      </c>
      <c r="N22" s="93">
        <f t="shared" si="10"/>
        <v>7.8785110755880336E-3</v>
      </c>
    </row>
    <row r="23" spans="2:20" ht="8.15" customHeight="1" x14ac:dyDescent="0.3">
      <c r="B23" s="1"/>
      <c r="D23" s="1"/>
      <c r="E23" s="92"/>
      <c r="F23" s="92"/>
      <c r="G23" s="92"/>
      <c r="H23" s="92"/>
      <c r="I23" s="92"/>
      <c r="J23" s="64"/>
      <c r="K23" s="1"/>
      <c r="L23" s="1"/>
      <c r="M23" s="1"/>
      <c r="N23" s="1"/>
    </row>
    <row r="24" spans="2:20" ht="15" customHeight="1" x14ac:dyDescent="0.35">
      <c r="B24" s="66" t="s">
        <v>114</v>
      </c>
      <c r="C24" s="67"/>
      <c r="D24" s="66" t="s">
        <v>115</v>
      </c>
      <c r="E24" s="67"/>
      <c r="F24" s="67"/>
      <c r="G24" s="67"/>
      <c r="H24" s="67"/>
      <c r="I24" s="67"/>
      <c r="J24" s="95" t="s">
        <v>116</v>
      </c>
      <c r="K24" s="96"/>
      <c r="L24" s="96"/>
      <c r="M24" s="96"/>
      <c r="N24" s="96"/>
    </row>
    <row r="25" spans="2:20" ht="4.4000000000000004" customHeight="1" x14ac:dyDescent="0.35">
      <c r="B25" s="68"/>
      <c r="C25" s="68"/>
      <c r="D25" s="68"/>
      <c r="E25" s="68"/>
      <c r="F25" s="68"/>
      <c r="G25" s="68"/>
      <c r="H25" s="68"/>
      <c r="I25" s="68"/>
      <c r="J25" s="97"/>
      <c r="K25" s="97"/>
      <c r="L25" s="97"/>
      <c r="M25" s="97"/>
      <c r="N25" s="97"/>
    </row>
    <row r="26" spans="2:20" ht="40.4" customHeight="1" x14ac:dyDescent="0.3">
      <c r="B26" s="956" t="s">
        <v>112</v>
      </c>
      <c r="C26" s="956"/>
      <c r="D26" s="958" t="s">
        <v>117</v>
      </c>
      <c r="E26" s="958"/>
      <c r="F26" s="958"/>
      <c r="G26" s="958"/>
      <c r="H26" s="958"/>
      <c r="I26" s="958"/>
      <c r="J26" s="64"/>
      <c r="K26" s="1"/>
      <c r="L26" s="1"/>
      <c r="M26" s="1"/>
      <c r="N26" s="1"/>
    </row>
    <row r="27" spans="2:20" ht="41.9" customHeight="1" x14ac:dyDescent="0.3">
      <c r="B27" s="956" t="s">
        <v>113</v>
      </c>
      <c r="C27" s="956"/>
      <c r="D27" s="958" t="s">
        <v>118</v>
      </c>
      <c r="E27" s="958"/>
      <c r="F27" s="958"/>
      <c r="G27" s="958"/>
      <c r="H27" s="958"/>
      <c r="I27" s="958"/>
      <c r="J27" s="64"/>
      <c r="K27" s="1"/>
      <c r="L27" s="1"/>
      <c r="M27" s="1"/>
      <c r="N27" s="1"/>
    </row>
    <row r="28" spans="2:20" ht="40.4" customHeight="1" x14ac:dyDescent="0.3">
      <c r="B28" s="956" t="s">
        <v>109</v>
      </c>
      <c r="C28" s="956"/>
      <c r="D28" s="958" t="s">
        <v>119</v>
      </c>
      <c r="E28" s="958"/>
      <c r="F28" s="958"/>
      <c r="G28" s="958"/>
      <c r="H28" s="958"/>
      <c r="I28" s="958"/>
      <c r="J28" s="64"/>
      <c r="K28" s="1"/>
      <c r="L28" s="1"/>
      <c r="M28" s="1"/>
      <c r="N28" s="1"/>
    </row>
    <row r="29" spans="2:20" ht="40.4" hidden="1" customHeight="1" x14ac:dyDescent="0.3">
      <c r="B29" s="956" t="str">
        <f>IF(B20=0,"",B20)</f>
        <v/>
      </c>
      <c r="C29" s="956"/>
      <c r="D29" s="958"/>
      <c r="E29" s="958"/>
      <c r="F29" s="958"/>
      <c r="G29" s="958"/>
      <c r="H29" s="958"/>
      <c r="I29" s="958"/>
      <c r="J29" s="64"/>
      <c r="K29" s="1"/>
      <c r="L29" s="1"/>
      <c r="M29" s="1"/>
      <c r="N29" s="1"/>
    </row>
    <row r="30" spans="2:20" ht="40.4" hidden="1" customHeight="1" x14ac:dyDescent="0.3">
      <c r="B30" s="956" t="str">
        <f>IF(B21=0,"",B21)</f>
        <v/>
      </c>
      <c r="C30" s="956"/>
      <c r="D30" s="958"/>
      <c r="E30" s="958"/>
      <c r="F30" s="958"/>
      <c r="G30" s="958"/>
      <c r="H30" s="958"/>
      <c r="I30" s="958"/>
      <c r="J30" s="64"/>
      <c r="K30" s="1"/>
      <c r="L30" s="1"/>
      <c r="M30" s="1"/>
      <c r="N30" s="1"/>
    </row>
    <row r="31" spans="2:20" ht="8.15" customHeight="1" x14ac:dyDescent="0.3">
      <c r="E31" s="70"/>
      <c r="F31" s="70"/>
      <c r="G31" s="70"/>
      <c r="H31" s="70"/>
      <c r="I31" s="70"/>
      <c r="J31" s="98"/>
    </row>
    <row r="32" spans="2:20" ht="15.5" x14ac:dyDescent="0.35">
      <c r="B32" s="49" t="s">
        <v>120</v>
      </c>
      <c r="C32" s="53"/>
      <c r="D32" s="49" t="s">
        <v>103</v>
      </c>
      <c r="E32" s="54">
        <v>2020</v>
      </c>
      <c r="F32" s="54">
        <f>+E32+1</f>
        <v>2021</v>
      </c>
      <c r="G32" s="54">
        <f>+F32+1</f>
        <v>2022</v>
      </c>
      <c r="H32" s="54">
        <f t="shared" ref="H32:I32" si="14">+G32+1</f>
        <v>2023</v>
      </c>
      <c r="I32" s="99">
        <f t="shared" si="14"/>
        <v>2024</v>
      </c>
      <c r="J32" s="100">
        <f>I32+1</f>
        <v>2025</v>
      </c>
      <c r="K32" s="100">
        <f t="shared" ref="K32:T32" si="15">+J32+1</f>
        <v>2026</v>
      </c>
      <c r="L32" s="100">
        <f t="shared" si="15"/>
        <v>2027</v>
      </c>
      <c r="M32" s="100">
        <f t="shared" si="15"/>
        <v>2028</v>
      </c>
      <c r="N32" s="100">
        <f t="shared" si="15"/>
        <v>2029</v>
      </c>
      <c r="O32" s="100">
        <f t="shared" si="15"/>
        <v>2030</v>
      </c>
      <c r="P32" s="100">
        <f t="shared" si="15"/>
        <v>2031</v>
      </c>
      <c r="Q32" s="100">
        <f t="shared" si="15"/>
        <v>2032</v>
      </c>
      <c r="R32" s="100">
        <f t="shared" si="15"/>
        <v>2033</v>
      </c>
      <c r="S32" s="100">
        <f t="shared" si="15"/>
        <v>2034</v>
      </c>
      <c r="T32" s="100">
        <f t="shared" si="15"/>
        <v>2035</v>
      </c>
    </row>
    <row r="33" spans="2:20" ht="4.4000000000000004" customHeight="1" x14ac:dyDescent="0.35">
      <c r="B33" s="50"/>
      <c r="C33" s="50"/>
      <c r="D33" s="50"/>
      <c r="E33" s="50"/>
      <c r="F33" s="50"/>
      <c r="G33" s="50"/>
      <c r="H33" s="50"/>
      <c r="I33" s="101"/>
      <c r="J33" s="57"/>
      <c r="K33" s="57"/>
      <c r="L33" s="57"/>
      <c r="M33" s="57"/>
      <c r="N33" s="57"/>
      <c r="O33" s="57"/>
      <c r="P33" s="57"/>
      <c r="Q33" s="57"/>
      <c r="R33" s="57"/>
      <c r="S33" s="57"/>
      <c r="T33" s="57"/>
    </row>
    <row r="34" spans="2:20" x14ac:dyDescent="0.3">
      <c r="B34" t="s">
        <v>112</v>
      </c>
      <c r="D34" s="62">
        <f>IFERROR(I34/$I$13,"")</f>
        <v>0.76413277444205274</v>
      </c>
      <c r="E34" s="90">
        <f>E17</f>
        <v>4313</v>
      </c>
      <c r="F34" s="90">
        <f>F17</f>
        <v>4424</v>
      </c>
      <c r="G34" s="90">
        <f>G17</f>
        <v>5616</v>
      </c>
      <c r="H34" s="90">
        <f>H17</f>
        <v>4895</v>
      </c>
      <c r="I34" s="102">
        <f>I17</f>
        <v>6745</v>
      </c>
      <c r="J34" s="103"/>
      <c r="K34" s="103"/>
      <c r="L34" s="103"/>
      <c r="M34" s="103"/>
      <c r="N34" s="103"/>
      <c r="O34" s="103"/>
      <c r="P34" s="103"/>
      <c r="Q34" s="103"/>
      <c r="R34" s="103"/>
      <c r="S34" s="103"/>
      <c r="T34" s="103"/>
    </row>
    <row r="35" spans="2:20" hidden="1" x14ac:dyDescent="0.3">
      <c r="D35" s="62"/>
      <c r="E35" s="104"/>
      <c r="F35" s="105"/>
      <c r="G35" s="105"/>
      <c r="H35" s="105"/>
      <c r="I35" s="106"/>
      <c r="J35" s="107"/>
      <c r="K35" s="107"/>
      <c r="L35" s="107"/>
      <c r="M35" s="107"/>
      <c r="N35" s="107"/>
      <c r="O35" s="107"/>
      <c r="P35" s="107"/>
      <c r="Q35" s="107"/>
      <c r="R35" s="107"/>
      <c r="S35" s="107"/>
      <c r="T35" s="107"/>
    </row>
    <row r="36" spans="2:20" x14ac:dyDescent="0.3">
      <c r="B36" t="s">
        <v>113</v>
      </c>
      <c r="D36" s="62">
        <f t="shared" ref="D36:D44" si="16">IFERROR(I36/$I$13,"")</f>
        <v>0.2195536422340546</v>
      </c>
      <c r="E36" s="90">
        <f>E18</f>
        <v>426</v>
      </c>
      <c r="F36" s="90">
        <f>F18</f>
        <v>1786</v>
      </c>
      <c r="G36" s="90">
        <f>G18</f>
        <v>1478</v>
      </c>
      <c r="H36" s="90">
        <f>H18</f>
        <v>3816</v>
      </c>
      <c r="I36" s="102">
        <f>I18</f>
        <v>1938</v>
      </c>
      <c r="J36" s="103"/>
      <c r="K36" s="103"/>
      <c r="L36" s="103"/>
      <c r="M36" s="103"/>
      <c r="N36" s="103"/>
      <c r="O36" s="103"/>
      <c r="P36" s="103"/>
      <c r="Q36" s="103"/>
      <c r="R36" s="103"/>
      <c r="S36" s="103"/>
      <c r="T36" s="103"/>
    </row>
    <row r="37" spans="2:20" hidden="1" x14ac:dyDescent="0.3">
      <c r="D37" s="62">
        <f t="shared" si="16"/>
        <v>-5.575375153278285E-5</v>
      </c>
      <c r="E37" s="104"/>
      <c r="F37" s="62">
        <f>IFERROR((F36-E36)/E36,"")</f>
        <v>3.192488262910798</v>
      </c>
      <c r="G37" s="62">
        <f>IFERROR((G36-F36)/F36,"")</f>
        <v>-0.17245240761478164</v>
      </c>
      <c r="H37" s="62">
        <f>IFERROR((H36-G36)/G36,"")</f>
        <v>1.5818673883626522</v>
      </c>
      <c r="I37" s="108">
        <f>IFERROR((I36-H36)/H36,"")</f>
        <v>-0.49213836477987422</v>
      </c>
      <c r="J37" s="107"/>
      <c r="K37" s="107"/>
      <c r="L37" s="107"/>
      <c r="M37" s="107"/>
      <c r="N37" s="107"/>
      <c r="O37" s="107"/>
      <c r="P37" s="107"/>
      <c r="Q37" s="107"/>
      <c r="R37" s="107"/>
      <c r="S37" s="107"/>
      <c r="T37" s="107"/>
    </row>
    <row r="38" spans="2:20" hidden="1" x14ac:dyDescent="0.3">
      <c r="B38" t="s">
        <v>121</v>
      </c>
      <c r="D38" s="62">
        <f t="shared" si="16"/>
        <v>0</v>
      </c>
      <c r="E38" s="90"/>
      <c r="F38" s="90"/>
      <c r="G38" s="90"/>
      <c r="H38" s="90"/>
      <c r="I38" s="109"/>
      <c r="J38" s="103">
        <f>I38*(1+J39)</f>
        <v>0</v>
      </c>
      <c r="K38" s="103">
        <f t="shared" ref="K38:T38" si="17">J38*(1+K39)</f>
        <v>0</v>
      </c>
      <c r="L38" s="103">
        <f t="shared" si="17"/>
        <v>0</v>
      </c>
      <c r="M38" s="103">
        <f t="shared" si="17"/>
        <v>0</v>
      </c>
      <c r="N38" s="103">
        <f t="shared" si="17"/>
        <v>0</v>
      </c>
      <c r="O38" s="103">
        <f t="shared" si="17"/>
        <v>0</v>
      </c>
      <c r="P38" s="103">
        <f t="shared" si="17"/>
        <v>0</v>
      </c>
      <c r="Q38" s="103">
        <f t="shared" si="17"/>
        <v>0</v>
      </c>
      <c r="R38" s="103">
        <f t="shared" si="17"/>
        <v>0</v>
      </c>
      <c r="S38" s="103">
        <f t="shared" si="17"/>
        <v>0</v>
      </c>
      <c r="T38" s="103">
        <f t="shared" si="17"/>
        <v>0</v>
      </c>
    </row>
    <row r="39" spans="2:20" hidden="1" x14ac:dyDescent="0.3">
      <c r="D39" s="62" t="str">
        <f t="shared" si="16"/>
        <v/>
      </c>
      <c r="E39" s="104"/>
      <c r="F39" s="104" t="str">
        <f>IFERROR(F38-E38/E38,"")</f>
        <v/>
      </c>
      <c r="G39" s="104" t="str">
        <f t="shared" ref="G39:I39" si="18">IFERROR(G38-F38/F38,"")</f>
        <v/>
      </c>
      <c r="H39" s="104" t="str">
        <f t="shared" si="18"/>
        <v/>
      </c>
      <c r="I39" s="106" t="str">
        <f t="shared" si="18"/>
        <v/>
      </c>
      <c r="J39" s="107"/>
      <c r="K39" s="107"/>
      <c r="L39" s="107"/>
      <c r="M39" s="107"/>
      <c r="N39" s="107"/>
      <c r="O39" s="107"/>
      <c r="P39" s="107"/>
      <c r="Q39" s="107"/>
      <c r="R39" s="107"/>
      <c r="S39" s="107"/>
      <c r="T39" s="107"/>
    </row>
    <row r="40" spans="2:20" hidden="1" x14ac:dyDescent="0.3">
      <c r="B40" t="s">
        <v>122</v>
      </c>
      <c r="D40" s="62">
        <f t="shared" si="16"/>
        <v>0</v>
      </c>
      <c r="E40" s="90"/>
      <c r="F40" s="90"/>
      <c r="G40" s="90"/>
      <c r="H40" s="90"/>
      <c r="I40" s="109"/>
      <c r="J40" s="103">
        <f>I40*(1+J41)</f>
        <v>0</v>
      </c>
      <c r="K40" s="103">
        <f t="shared" ref="K40:T40" si="19">J40*(1+K41)</f>
        <v>0</v>
      </c>
      <c r="L40" s="103">
        <f t="shared" si="19"/>
        <v>0</v>
      </c>
      <c r="M40" s="103">
        <f t="shared" si="19"/>
        <v>0</v>
      </c>
      <c r="N40" s="103">
        <f t="shared" si="19"/>
        <v>0</v>
      </c>
      <c r="O40" s="103">
        <f t="shared" si="19"/>
        <v>0</v>
      </c>
      <c r="P40" s="103">
        <f t="shared" si="19"/>
        <v>0</v>
      </c>
      <c r="Q40" s="103">
        <f t="shared" si="19"/>
        <v>0</v>
      </c>
      <c r="R40" s="103">
        <f t="shared" si="19"/>
        <v>0</v>
      </c>
      <c r="S40" s="103">
        <f t="shared" si="19"/>
        <v>0</v>
      </c>
      <c r="T40" s="103">
        <f t="shared" si="19"/>
        <v>0</v>
      </c>
    </row>
    <row r="41" spans="2:20" hidden="1" x14ac:dyDescent="0.3">
      <c r="D41" s="62" t="str">
        <f t="shared" si="16"/>
        <v/>
      </c>
      <c r="E41" s="104"/>
      <c r="F41" s="104" t="str">
        <f>IFERROR(F40-E40/E40,"")</f>
        <v/>
      </c>
      <c r="G41" s="104" t="str">
        <f t="shared" ref="G41:I41" si="20">IFERROR(G40-F40/F40,"")</f>
        <v/>
      </c>
      <c r="H41" s="104" t="str">
        <f t="shared" si="20"/>
        <v/>
      </c>
      <c r="I41" s="106" t="str">
        <f t="shared" si="20"/>
        <v/>
      </c>
      <c r="J41" s="107"/>
      <c r="K41" s="107"/>
      <c r="L41" s="107"/>
      <c r="M41" s="107"/>
      <c r="N41" s="107"/>
      <c r="O41" s="107"/>
      <c r="P41" s="107"/>
      <c r="Q41" s="107"/>
      <c r="R41" s="107"/>
      <c r="S41" s="107"/>
      <c r="T41" s="107"/>
    </row>
    <row r="42" spans="2:20" hidden="1" x14ac:dyDescent="0.3">
      <c r="B42" t="s">
        <v>123</v>
      </c>
      <c r="D42" s="62">
        <f t="shared" si="16"/>
        <v>0</v>
      </c>
      <c r="E42" s="90"/>
      <c r="F42" s="90"/>
      <c r="G42" s="90"/>
      <c r="H42" s="90"/>
      <c r="I42" s="109"/>
      <c r="J42" s="103">
        <f>I42*(1+J43)</f>
        <v>0</v>
      </c>
      <c r="K42" s="103">
        <f t="shared" ref="K42:T42" si="21">J42*(1+K43)</f>
        <v>0</v>
      </c>
      <c r="L42" s="103">
        <f t="shared" si="21"/>
        <v>0</v>
      </c>
      <c r="M42" s="103">
        <f t="shared" si="21"/>
        <v>0</v>
      </c>
      <c r="N42" s="103">
        <f t="shared" si="21"/>
        <v>0</v>
      </c>
      <c r="O42" s="103">
        <f t="shared" si="21"/>
        <v>0</v>
      </c>
      <c r="P42" s="103">
        <f t="shared" si="21"/>
        <v>0</v>
      </c>
      <c r="Q42" s="103">
        <f t="shared" si="21"/>
        <v>0</v>
      </c>
      <c r="R42" s="103">
        <f t="shared" si="21"/>
        <v>0</v>
      </c>
      <c r="S42" s="103">
        <f t="shared" si="21"/>
        <v>0</v>
      </c>
      <c r="T42" s="103">
        <f t="shared" si="21"/>
        <v>0</v>
      </c>
    </row>
    <row r="43" spans="2:20" hidden="1" x14ac:dyDescent="0.3">
      <c r="D43" s="62" t="str">
        <f t="shared" si="16"/>
        <v/>
      </c>
      <c r="E43" s="104"/>
      <c r="F43" s="104" t="str">
        <f>IFERROR(F42-E42/E42,"")</f>
        <v/>
      </c>
      <c r="G43" s="104" t="str">
        <f t="shared" ref="G43:I43" si="22">IFERROR(G42-F42/F42,"")</f>
        <v/>
      </c>
      <c r="H43" s="104" t="str">
        <f t="shared" si="22"/>
        <v/>
      </c>
      <c r="I43" s="106" t="str">
        <f t="shared" si="22"/>
        <v/>
      </c>
      <c r="J43" s="107"/>
      <c r="K43" s="107"/>
      <c r="L43" s="107"/>
      <c r="M43" s="107"/>
      <c r="N43" s="107"/>
      <c r="O43" s="107"/>
      <c r="P43" s="107"/>
      <c r="Q43" s="107"/>
      <c r="R43" s="107"/>
      <c r="S43" s="107"/>
      <c r="T43" s="107"/>
    </row>
    <row r="44" spans="2:20" x14ac:dyDescent="0.3">
      <c r="B44" t="s">
        <v>109</v>
      </c>
      <c r="D44" s="62">
        <f t="shared" si="16"/>
        <v>1.6313583323892603E-2</v>
      </c>
      <c r="E44" s="782">
        <f>E19</f>
        <v>421</v>
      </c>
      <c r="F44" s="782">
        <f>F19</f>
        <v>69</v>
      </c>
      <c r="G44" s="782">
        <f>G19</f>
        <v>79</v>
      </c>
      <c r="H44" s="782">
        <f>H19</f>
        <v>47</v>
      </c>
      <c r="I44" s="783">
        <f>I19</f>
        <v>144</v>
      </c>
      <c r="J44" s="107"/>
      <c r="K44" s="107"/>
      <c r="L44" s="107"/>
      <c r="M44" s="107"/>
      <c r="N44" s="107"/>
      <c r="O44" s="107"/>
      <c r="P44" s="107"/>
      <c r="Q44" s="107"/>
      <c r="R44" s="107"/>
      <c r="S44" s="107"/>
      <c r="T44" s="107"/>
    </row>
    <row r="45" spans="2:20" x14ac:dyDescent="0.3">
      <c r="B45" s="1" t="s">
        <v>111</v>
      </c>
      <c r="D45" s="91">
        <f>SUM(D34:D44)</f>
        <v>0.99994424624846723</v>
      </c>
      <c r="E45" s="92">
        <f>SUM(E34:E42)</f>
        <v>4739</v>
      </c>
      <c r="F45" s="92">
        <f>SUM(F34:F42)</f>
        <v>6213.192488262911</v>
      </c>
      <c r="G45" s="92">
        <f t="shared" ref="G45:T45" si="23">SUM(G34:G42)</f>
        <v>7093.8275475923856</v>
      </c>
      <c r="H45" s="92">
        <f t="shared" si="23"/>
        <v>8712.5818673883623</v>
      </c>
      <c r="I45" s="110">
        <f t="shared" si="23"/>
        <v>8682.5078616352203</v>
      </c>
      <c r="J45" s="92">
        <f t="shared" si="23"/>
        <v>0</v>
      </c>
      <c r="K45" s="92">
        <f t="shared" si="23"/>
        <v>0</v>
      </c>
      <c r="L45" s="92">
        <f t="shared" si="23"/>
        <v>0</v>
      </c>
      <c r="M45" s="92">
        <f t="shared" si="23"/>
        <v>0</v>
      </c>
      <c r="N45" s="92">
        <f t="shared" si="23"/>
        <v>0</v>
      </c>
      <c r="O45" s="92">
        <f t="shared" si="23"/>
        <v>0</v>
      </c>
      <c r="P45" s="92">
        <f t="shared" si="23"/>
        <v>0</v>
      </c>
      <c r="Q45" s="92">
        <f t="shared" si="23"/>
        <v>0</v>
      </c>
      <c r="R45" s="92">
        <f t="shared" si="23"/>
        <v>0</v>
      </c>
      <c r="S45" s="92">
        <f t="shared" si="23"/>
        <v>0</v>
      </c>
      <c r="T45" s="92">
        <f t="shared" si="23"/>
        <v>0</v>
      </c>
    </row>
    <row r="46" spans="2:20" ht="8.15" customHeight="1" x14ac:dyDescent="0.3"/>
    <row r="47" spans="2:20" ht="15.5" x14ac:dyDescent="0.35">
      <c r="B47" s="66" t="s">
        <v>124</v>
      </c>
      <c r="C47" s="67"/>
      <c r="D47" s="66"/>
      <c r="E47" s="67"/>
      <c r="F47" s="67"/>
      <c r="G47" s="67"/>
      <c r="H47" s="67"/>
      <c r="I47" s="67"/>
      <c r="J47" s="95"/>
      <c r="K47" s="96"/>
      <c r="L47" s="96"/>
      <c r="M47" s="96"/>
      <c r="N47" s="96"/>
      <c r="O47" s="96"/>
    </row>
    <row r="48" spans="2:20" ht="4.4000000000000004" customHeight="1" x14ac:dyDescent="0.35">
      <c r="B48" s="68"/>
      <c r="C48" s="68"/>
      <c r="D48" s="68"/>
      <c r="E48" s="68"/>
      <c r="F48" s="68"/>
      <c r="G48" s="68"/>
      <c r="H48" s="68"/>
      <c r="I48" s="68"/>
      <c r="J48" s="97"/>
      <c r="K48" s="97"/>
      <c r="L48" s="97"/>
      <c r="M48" s="97"/>
      <c r="N48" s="97"/>
      <c r="O48" s="97"/>
    </row>
    <row r="49" spans="2:15" ht="40.4" customHeight="1" x14ac:dyDescent="0.3">
      <c r="B49" s="111" t="s">
        <v>125</v>
      </c>
      <c r="D49" s="959" t="s">
        <v>126</v>
      </c>
      <c r="E49" s="959"/>
      <c r="F49" s="959"/>
      <c r="G49" s="959"/>
      <c r="H49" s="959"/>
      <c r="I49" s="959"/>
      <c r="J49" s="959"/>
      <c r="K49" s="959"/>
      <c r="L49" s="959"/>
      <c r="M49" s="959"/>
      <c r="N49" s="959"/>
      <c r="O49" s="959"/>
    </row>
    <row r="50" spans="2:15" ht="40.4" customHeight="1" x14ac:dyDescent="0.3">
      <c r="B50" s="956" t="s">
        <v>127</v>
      </c>
      <c r="C50" s="956"/>
      <c r="D50" s="957" t="s">
        <v>128</v>
      </c>
      <c r="E50" s="957"/>
      <c r="F50" s="957"/>
      <c r="G50" s="957"/>
      <c r="H50" s="957"/>
      <c r="I50" s="957"/>
      <c r="J50" s="957"/>
      <c r="K50" s="957"/>
      <c r="L50" s="957"/>
      <c r="M50" s="957"/>
      <c r="N50" s="957"/>
    </row>
    <row r="51" spans="2:15" ht="40.4" customHeight="1" x14ac:dyDescent="0.3">
      <c r="B51" s="956" t="s">
        <v>129</v>
      </c>
      <c r="C51" s="956"/>
      <c r="D51" s="959" t="s">
        <v>130</v>
      </c>
      <c r="E51" s="959"/>
      <c r="F51" s="959"/>
      <c r="G51" s="959"/>
      <c r="H51" s="959"/>
      <c r="I51" s="959"/>
      <c r="J51" s="959"/>
      <c r="K51" s="959"/>
      <c r="L51" s="959"/>
      <c r="M51" s="959"/>
      <c r="N51" s="959"/>
    </row>
    <row r="52" spans="2:15" ht="40.4" customHeight="1" x14ac:dyDescent="0.3">
      <c r="B52" s="956" t="s">
        <v>131</v>
      </c>
      <c r="C52" s="956"/>
      <c r="D52" s="957" t="s">
        <v>132</v>
      </c>
      <c r="E52" s="957"/>
      <c r="F52" s="957"/>
      <c r="G52" s="957"/>
      <c r="H52" s="957"/>
      <c r="I52" s="957"/>
      <c r="J52" s="957"/>
      <c r="K52" s="957"/>
      <c r="L52" s="957"/>
      <c r="M52" s="957"/>
      <c r="N52" s="957"/>
    </row>
    <row r="53" spans="2:15" ht="40.4" customHeight="1" x14ac:dyDescent="0.3">
      <c r="B53" s="956"/>
      <c r="C53" s="956"/>
      <c r="D53" s="633"/>
    </row>
  </sheetData>
  <mergeCells count="18">
    <mergeCell ref="B51:C51"/>
    <mergeCell ref="D51:N51"/>
    <mergeCell ref="B52:C52"/>
    <mergeCell ref="D52:N52"/>
    <mergeCell ref="B53:C53"/>
    <mergeCell ref="B50:C50"/>
    <mergeCell ref="D50:N50"/>
    <mergeCell ref="B26:C26"/>
    <mergeCell ref="D26:I26"/>
    <mergeCell ref="B27:C27"/>
    <mergeCell ref="D27:I27"/>
    <mergeCell ref="B28:C28"/>
    <mergeCell ref="D28:I28"/>
    <mergeCell ref="B29:C29"/>
    <mergeCell ref="D29:I29"/>
    <mergeCell ref="B30:C30"/>
    <mergeCell ref="D30:I30"/>
    <mergeCell ref="D49:O49"/>
  </mergeCells>
  <conditionalFormatting sqref="D6:D12">
    <cfRule type="dataBar" priority="12">
      <dataBar>
        <cfvo type="min"/>
        <cfvo type="max"/>
        <color rgb="FF63C384"/>
      </dataBar>
      <extLst>
        <ext xmlns:x14="http://schemas.microsoft.com/office/spreadsheetml/2009/9/main" uri="{B025F937-C7B1-47D3-B67F-A62EFF666E3E}">
          <x14:id>{EE9D804E-44D1-425D-BD56-BA1C67ECDD87}</x14:id>
        </ext>
      </extLst>
    </cfRule>
  </conditionalFormatting>
  <conditionalFormatting sqref="D17:D21">
    <cfRule type="dataBar" priority="11">
      <dataBar>
        <cfvo type="min"/>
        <cfvo type="max"/>
        <color rgb="FF63C384"/>
      </dataBar>
      <extLst>
        <ext xmlns:x14="http://schemas.microsoft.com/office/spreadsheetml/2009/9/main" uri="{B025F937-C7B1-47D3-B67F-A62EFF666E3E}">
          <x14:id>{04B6A2F1-BC24-4574-A417-F3A10D0855AC}</x14:id>
        </ext>
      </extLst>
    </cfRule>
  </conditionalFormatting>
  <conditionalFormatting sqref="D34:D44">
    <cfRule type="dataBar" priority="10">
      <dataBar>
        <cfvo type="min"/>
        <cfvo type="max"/>
        <color rgb="FF63C384"/>
      </dataBar>
      <extLst>
        <ext xmlns:x14="http://schemas.microsoft.com/office/spreadsheetml/2009/9/main" uri="{B025F937-C7B1-47D3-B67F-A62EFF666E3E}">
          <x14:id>{8289347D-B214-462A-80A7-26906AF72159}</x14:id>
        </ext>
      </extLst>
    </cfRule>
  </conditionalFormatting>
  <conditionalFormatting sqref="K6">
    <cfRule type="dataBar" priority="8">
      <dataBar>
        <cfvo type="min"/>
        <cfvo type="max"/>
        <color rgb="FF63C384"/>
      </dataBar>
      <extLst>
        <ext xmlns:x14="http://schemas.microsoft.com/office/spreadsheetml/2009/9/main" uri="{B025F937-C7B1-47D3-B67F-A62EFF666E3E}">
          <x14:id>{D8885F81-C0CE-4B03-858E-4828E661871A}</x14:id>
        </ext>
      </extLst>
    </cfRule>
  </conditionalFormatting>
  <conditionalFormatting sqref="K6:K12">
    <cfRule type="dataBar" priority="19">
      <dataBar>
        <cfvo type="min"/>
        <cfvo type="max"/>
        <color rgb="FF63C384"/>
      </dataBar>
      <extLst>
        <ext xmlns:x14="http://schemas.microsoft.com/office/spreadsheetml/2009/9/main" uri="{B025F937-C7B1-47D3-B67F-A62EFF666E3E}">
          <x14:id>{CE64AA8B-8C2B-4BA4-B159-A0DEB993C03C}</x14:id>
        </ext>
      </extLst>
    </cfRule>
  </conditionalFormatting>
  <conditionalFormatting sqref="K7">
    <cfRule type="dataBar" priority="6">
      <dataBar>
        <cfvo type="min"/>
        <cfvo type="max"/>
        <color rgb="FF63C384"/>
      </dataBar>
      <extLst>
        <ext xmlns:x14="http://schemas.microsoft.com/office/spreadsheetml/2009/9/main" uri="{B025F937-C7B1-47D3-B67F-A62EFF666E3E}">
          <x14:id>{3F87DD5E-086C-4BE1-B6CE-17FF65E356C9}</x14:id>
        </ext>
      </extLst>
    </cfRule>
  </conditionalFormatting>
  <conditionalFormatting sqref="K8">
    <cfRule type="dataBar" priority="3">
      <dataBar>
        <cfvo type="min"/>
        <cfvo type="max"/>
        <color rgb="FFFF555A"/>
      </dataBar>
      <extLst>
        <ext xmlns:x14="http://schemas.microsoft.com/office/spreadsheetml/2009/9/main" uri="{B025F937-C7B1-47D3-B67F-A62EFF666E3E}">
          <x14:id>{57128A95-6E53-4AE4-B5AE-2BDC8B4B6615}</x14:id>
        </ext>
      </extLst>
    </cfRule>
  </conditionalFormatting>
  <conditionalFormatting sqref="K17:K22">
    <cfRule type="dataBar" priority="16">
      <dataBar>
        <cfvo type="min"/>
        <cfvo type="max"/>
        <color rgb="FF63C384"/>
      </dataBar>
      <extLst>
        <ext xmlns:x14="http://schemas.microsoft.com/office/spreadsheetml/2009/9/main" uri="{B025F937-C7B1-47D3-B67F-A62EFF666E3E}">
          <x14:id>{EBD56D69-4BB4-43B8-8D45-285F41F83244}</x14:id>
        </ext>
      </extLst>
    </cfRule>
  </conditionalFormatting>
  <conditionalFormatting sqref="L6">
    <cfRule type="dataBar" priority="7">
      <dataBar>
        <cfvo type="min"/>
        <cfvo type="max"/>
        <color rgb="FF63C384"/>
      </dataBar>
      <extLst>
        <ext xmlns:x14="http://schemas.microsoft.com/office/spreadsheetml/2009/9/main" uri="{B025F937-C7B1-47D3-B67F-A62EFF666E3E}">
          <x14:id>{73772620-FE8D-4CB8-B82F-B1B8586B1C8A}</x14:id>
        </ext>
      </extLst>
    </cfRule>
  </conditionalFormatting>
  <conditionalFormatting sqref="L6:L12">
    <cfRule type="dataBar" priority="18">
      <dataBar>
        <cfvo type="min"/>
        <cfvo type="max"/>
        <color rgb="FF63C384"/>
      </dataBar>
      <extLst>
        <ext xmlns:x14="http://schemas.microsoft.com/office/spreadsheetml/2009/9/main" uri="{B025F937-C7B1-47D3-B67F-A62EFF666E3E}">
          <x14:id>{50EA26E6-DEC0-41FA-9C99-D93A21717956}</x14:id>
        </ext>
      </extLst>
    </cfRule>
  </conditionalFormatting>
  <conditionalFormatting sqref="L7">
    <cfRule type="dataBar" priority="5">
      <dataBar>
        <cfvo type="min"/>
        <cfvo type="max"/>
        <color rgb="FF63C384"/>
      </dataBar>
      <extLst>
        <ext xmlns:x14="http://schemas.microsoft.com/office/spreadsheetml/2009/9/main" uri="{B025F937-C7B1-47D3-B67F-A62EFF666E3E}">
          <x14:id>{B59288A1-0D97-49A3-89B0-810673C90B3A}</x14:id>
        </ext>
      </extLst>
    </cfRule>
  </conditionalFormatting>
  <conditionalFormatting sqref="L8">
    <cfRule type="dataBar" priority="2">
      <dataBar>
        <cfvo type="min"/>
        <cfvo type="max"/>
        <color rgb="FFFF555A"/>
      </dataBar>
      <extLst>
        <ext xmlns:x14="http://schemas.microsoft.com/office/spreadsheetml/2009/9/main" uri="{B025F937-C7B1-47D3-B67F-A62EFF666E3E}">
          <x14:id>{7DC318C2-8A69-4160-ABF1-19231740C85C}</x14:id>
        </ext>
      </extLst>
    </cfRule>
  </conditionalFormatting>
  <conditionalFormatting sqref="L17:L22">
    <cfRule type="dataBar" priority="15">
      <dataBar>
        <cfvo type="min"/>
        <cfvo type="max"/>
        <color rgb="FF63C384"/>
      </dataBar>
      <extLst>
        <ext xmlns:x14="http://schemas.microsoft.com/office/spreadsheetml/2009/9/main" uri="{B025F937-C7B1-47D3-B67F-A62EFF666E3E}">
          <x14:id>{CBC3D9D6-25C9-4EE9-9328-845D69C85A0B}</x14:id>
        </ext>
      </extLst>
    </cfRule>
  </conditionalFormatting>
  <conditionalFormatting sqref="M6:M13">
    <cfRule type="dataBar" priority="17">
      <dataBar>
        <cfvo type="min"/>
        <cfvo type="max"/>
        <color rgb="FF63C384"/>
      </dataBar>
      <extLst>
        <ext xmlns:x14="http://schemas.microsoft.com/office/spreadsheetml/2009/9/main" uri="{B025F937-C7B1-47D3-B67F-A62EFF666E3E}">
          <x14:id>{D8B7E103-81F7-41F8-94AC-C650C523BD2C}</x14:id>
        </ext>
      </extLst>
    </cfRule>
  </conditionalFormatting>
  <conditionalFormatting sqref="M7">
    <cfRule type="dataBar" priority="4">
      <dataBar>
        <cfvo type="min"/>
        <cfvo type="max"/>
        <color rgb="FF63C384"/>
      </dataBar>
      <extLst>
        <ext xmlns:x14="http://schemas.microsoft.com/office/spreadsheetml/2009/9/main" uri="{B025F937-C7B1-47D3-B67F-A62EFF666E3E}">
          <x14:id>{70440210-E3BA-43EF-B548-B69208496AB1}</x14:id>
        </ext>
      </extLst>
    </cfRule>
  </conditionalFormatting>
  <conditionalFormatting sqref="M8">
    <cfRule type="dataBar" priority="1">
      <dataBar>
        <cfvo type="min"/>
        <cfvo type="max"/>
        <color rgb="FFFF555A"/>
      </dataBar>
      <extLst>
        <ext xmlns:x14="http://schemas.microsoft.com/office/spreadsheetml/2009/9/main" uri="{B025F937-C7B1-47D3-B67F-A62EFF666E3E}">
          <x14:id>{F3156C9E-2EC4-4FCE-8065-736715DBE080}</x14:id>
        </ext>
      </extLst>
    </cfRule>
  </conditionalFormatting>
  <conditionalFormatting sqref="M17:M22">
    <cfRule type="dataBar" priority="14">
      <dataBar>
        <cfvo type="min"/>
        <cfvo type="max"/>
        <color rgb="FF63C384"/>
      </dataBar>
      <extLst>
        <ext xmlns:x14="http://schemas.microsoft.com/office/spreadsheetml/2009/9/main" uri="{B025F937-C7B1-47D3-B67F-A62EFF666E3E}">
          <x14:id>{D528D03B-A05A-4D8D-A011-E8F8CB54BAEC}</x14:id>
        </ext>
      </extLst>
    </cfRule>
  </conditionalFormatting>
  <conditionalFormatting sqref="N6:N13">
    <cfRule type="dataBar" priority="9">
      <dataBar>
        <cfvo type="min"/>
        <cfvo type="max"/>
        <color rgb="FF63C384"/>
      </dataBar>
      <extLst>
        <ext xmlns:x14="http://schemas.microsoft.com/office/spreadsheetml/2009/9/main" uri="{B025F937-C7B1-47D3-B67F-A62EFF666E3E}">
          <x14:id>{1FC5CDD5-6741-40C9-9902-1771C0B64A65}</x14:id>
        </ext>
      </extLst>
    </cfRule>
  </conditionalFormatting>
  <conditionalFormatting sqref="N17:N22">
    <cfRule type="dataBar" priority="13">
      <dataBar>
        <cfvo type="min"/>
        <cfvo type="max"/>
        <color rgb="FF63C384"/>
      </dataBar>
      <extLst>
        <ext xmlns:x14="http://schemas.microsoft.com/office/spreadsheetml/2009/9/main" uri="{B025F937-C7B1-47D3-B67F-A62EFF666E3E}">
          <x14:id>{7B3C7607-6293-4B76-B5C4-D8046AB98ECC}</x14:id>
        </ext>
      </extLst>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dataBar" id="{EE9D804E-44D1-425D-BD56-BA1C67ECDD87}">
            <x14:dataBar minLength="0" maxLength="100" gradient="0">
              <x14:cfvo type="autoMin"/>
              <x14:cfvo type="autoMax"/>
              <x14:negativeFillColor rgb="FFFF0000"/>
              <x14:axisColor rgb="FF000000"/>
            </x14:dataBar>
          </x14:cfRule>
          <xm:sqref>D6:D12</xm:sqref>
        </x14:conditionalFormatting>
        <x14:conditionalFormatting xmlns:xm="http://schemas.microsoft.com/office/excel/2006/main">
          <x14:cfRule type="dataBar" id="{04B6A2F1-BC24-4574-A417-F3A10D0855AC}">
            <x14:dataBar minLength="0" maxLength="100" gradient="0">
              <x14:cfvo type="autoMin"/>
              <x14:cfvo type="autoMax"/>
              <x14:negativeFillColor rgb="FFFF0000"/>
              <x14:axisColor rgb="FF000000"/>
            </x14:dataBar>
          </x14:cfRule>
          <xm:sqref>D17:D21</xm:sqref>
        </x14:conditionalFormatting>
        <x14:conditionalFormatting xmlns:xm="http://schemas.microsoft.com/office/excel/2006/main">
          <x14:cfRule type="dataBar" id="{8289347D-B214-462A-80A7-26906AF72159}">
            <x14:dataBar minLength="0" maxLength="100" gradient="0">
              <x14:cfvo type="autoMin"/>
              <x14:cfvo type="autoMax"/>
              <x14:negativeFillColor rgb="FFFF0000"/>
              <x14:axisColor rgb="FF000000"/>
            </x14:dataBar>
          </x14:cfRule>
          <xm:sqref>D34:D44</xm:sqref>
        </x14:conditionalFormatting>
        <x14:conditionalFormatting xmlns:xm="http://schemas.microsoft.com/office/excel/2006/main">
          <x14:cfRule type="dataBar" id="{D8885F81-C0CE-4B03-858E-4828E661871A}">
            <x14:dataBar minLength="0" maxLength="100" gradient="0">
              <x14:cfvo type="autoMin"/>
              <x14:cfvo type="autoMax"/>
              <x14:negativeFillColor rgb="FFFF0000"/>
              <x14:axisColor rgb="FF000000"/>
            </x14:dataBar>
          </x14:cfRule>
          <xm:sqref>K6</xm:sqref>
        </x14:conditionalFormatting>
        <x14:conditionalFormatting xmlns:xm="http://schemas.microsoft.com/office/excel/2006/main">
          <x14:cfRule type="dataBar" id="{CE64AA8B-8C2B-4BA4-B159-A0DEB993C03C}">
            <x14:dataBar minLength="0" maxLength="100" gradient="0">
              <x14:cfvo type="autoMin"/>
              <x14:cfvo type="autoMax"/>
              <x14:negativeFillColor rgb="FFFF0000"/>
              <x14:axisColor rgb="FF000000"/>
            </x14:dataBar>
          </x14:cfRule>
          <xm:sqref>K6:K12</xm:sqref>
        </x14:conditionalFormatting>
        <x14:conditionalFormatting xmlns:xm="http://schemas.microsoft.com/office/excel/2006/main">
          <x14:cfRule type="dataBar" id="{3F87DD5E-086C-4BE1-B6CE-17FF65E356C9}">
            <x14:dataBar minLength="0" maxLength="100" gradient="0">
              <x14:cfvo type="autoMin"/>
              <x14:cfvo type="autoMax"/>
              <x14:negativeFillColor rgb="FFFF0000"/>
              <x14:axisColor rgb="FF000000"/>
            </x14:dataBar>
          </x14:cfRule>
          <xm:sqref>K7</xm:sqref>
        </x14:conditionalFormatting>
        <x14:conditionalFormatting xmlns:xm="http://schemas.microsoft.com/office/excel/2006/main">
          <x14:cfRule type="dataBar" id="{57128A95-6E53-4AE4-B5AE-2BDC8B4B6615}">
            <x14:dataBar minLength="0" maxLength="100" gradient="0">
              <x14:cfvo type="autoMin"/>
              <x14:cfvo type="autoMax"/>
              <x14:negativeFillColor rgb="FFFF0000"/>
              <x14:axisColor rgb="FF000000"/>
            </x14:dataBar>
          </x14:cfRule>
          <xm:sqref>K8</xm:sqref>
        </x14:conditionalFormatting>
        <x14:conditionalFormatting xmlns:xm="http://schemas.microsoft.com/office/excel/2006/main">
          <x14:cfRule type="dataBar" id="{EBD56D69-4BB4-43B8-8D45-285F41F83244}">
            <x14:dataBar minLength="0" maxLength="100" gradient="0">
              <x14:cfvo type="autoMin"/>
              <x14:cfvo type="autoMax"/>
              <x14:negativeFillColor rgb="FFFF0000"/>
              <x14:axisColor rgb="FF000000"/>
            </x14:dataBar>
          </x14:cfRule>
          <xm:sqref>K17:K22</xm:sqref>
        </x14:conditionalFormatting>
        <x14:conditionalFormatting xmlns:xm="http://schemas.microsoft.com/office/excel/2006/main">
          <x14:cfRule type="dataBar" id="{73772620-FE8D-4CB8-B82F-B1B8586B1C8A}">
            <x14:dataBar minLength="0" maxLength="100" gradient="0">
              <x14:cfvo type="autoMin"/>
              <x14:cfvo type="autoMax"/>
              <x14:negativeFillColor rgb="FFFF0000"/>
              <x14:axisColor rgb="FF000000"/>
            </x14:dataBar>
          </x14:cfRule>
          <xm:sqref>L6</xm:sqref>
        </x14:conditionalFormatting>
        <x14:conditionalFormatting xmlns:xm="http://schemas.microsoft.com/office/excel/2006/main">
          <x14:cfRule type="dataBar" id="{50EA26E6-DEC0-41FA-9C99-D93A21717956}">
            <x14:dataBar minLength="0" maxLength="100" gradient="0">
              <x14:cfvo type="autoMin"/>
              <x14:cfvo type="autoMax"/>
              <x14:negativeFillColor rgb="FFFF0000"/>
              <x14:axisColor rgb="FF000000"/>
            </x14:dataBar>
          </x14:cfRule>
          <xm:sqref>L6:L12</xm:sqref>
        </x14:conditionalFormatting>
        <x14:conditionalFormatting xmlns:xm="http://schemas.microsoft.com/office/excel/2006/main">
          <x14:cfRule type="dataBar" id="{B59288A1-0D97-49A3-89B0-810673C90B3A}">
            <x14:dataBar minLength="0" maxLength="100" gradient="0">
              <x14:cfvo type="autoMin"/>
              <x14:cfvo type="autoMax"/>
              <x14:negativeFillColor rgb="FFFF0000"/>
              <x14:axisColor rgb="FF000000"/>
            </x14:dataBar>
          </x14:cfRule>
          <xm:sqref>L7</xm:sqref>
        </x14:conditionalFormatting>
        <x14:conditionalFormatting xmlns:xm="http://schemas.microsoft.com/office/excel/2006/main">
          <x14:cfRule type="dataBar" id="{7DC318C2-8A69-4160-ABF1-19231740C85C}">
            <x14:dataBar minLength="0" maxLength="100" gradient="0">
              <x14:cfvo type="autoMin"/>
              <x14:cfvo type="autoMax"/>
              <x14:negativeFillColor rgb="FFFF0000"/>
              <x14:axisColor rgb="FF000000"/>
            </x14:dataBar>
          </x14:cfRule>
          <xm:sqref>L8</xm:sqref>
        </x14:conditionalFormatting>
        <x14:conditionalFormatting xmlns:xm="http://schemas.microsoft.com/office/excel/2006/main">
          <x14:cfRule type="dataBar" id="{CBC3D9D6-25C9-4EE9-9328-845D69C85A0B}">
            <x14:dataBar minLength="0" maxLength="100" gradient="0">
              <x14:cfvo type="autoMin"/>
              <x14:cfvo type="autoMax"/>
              <x14:negativeFillColor rgb="FFFF0000"/>
              <x14:axisColor rgb="FF000000"/>
            </x14:dataBar>
          </x14:cfRule>
          <xm:sqref>L17:L22</xm:sqref>
        </x14:conditionalFormatting>
        <x14:conditionalFormatting xmlns:xm="http://schemas.microsoft.com/office/excel/2006/main">
          <x14:cfRule type="dataBar" id="{D8B7E103-81F7-41F8-94AC-C650C523BD2C}">
            <x14:dataBar minLength="0" maxLength="100" gradient="0">
              <x14:cfvo type="autoMin"/>
              <x14:cfvo type="autoMax"/>
              <x14:negativeFillColor rgb="FFFF0000"/>
              <x14:axisColor rgb="FF000000"/>
            </x14:dataBar>
          </x14:cfRule>
          <xm:sqref>M6:M13</xm:sqref>
        </x14:conditionalFormatting>
        <x14:conditionalFormatting xmlns:xm="http://schemas.microsoft.com/office/excel/2006/main">
          <x14:cfRule type="dataBar" id="{70440210-E3BA-43EF-B548-B69208496AB1}">
            <x14:dataBar minLength="0" maxLength="100" gradient="0">
              <x14:cfvo type="autoMin"/>
              <x14:cfvo type="autoMax"/>
              <x14:negativeFillColor rgb="FFFF0000"/>
              <x14:axisColor rgb="FF000000"/>
            </x14:dataBar>
          </x14:cfRule>
          <xm:sqref>M7</xm:sqref>
        </x14:conditionalFormatting>
        <x14:conditionalFormatting xmlns:xm="http://schemas.microsoft.com/office/excel/2006/main">
          <x14:cfRule type="dataBar" id="{F3156C9E-2EC4-4FCE-8065-736715DBE080}">
            <x14:dataBar minLength="0" maxLength="100" gradient="0">
              <x14:cfvo type="autoMin"/>
              <x14:cfvo type="autoMax"/>
              <x14:negativeFillColor rgb="FFFF0000"/>
              <x14:axisColor rgb="FF000000"/>
            </x14:dataBar>
          </x14:cfRule>
          <xm:sqref>M8</xm:sqref>
        </x14:conditionalFormatting>
        <x14:conditionalFormatting xmlns:xm="http://schemas.microsoft.com/office/excel/2006/main">
          <x14:cfRule type="dataBar" id="{D528D03B-A05A-4D8D-A011-E8F8CB54BAEC}">
            <x14:dataBar minLength="0" maxLength="100" gradient="0">
              <x14:cfvo type="autoMin"/>
              <x14:cfvo type="autoMax"/>
              <x14:negativeFillColor rgb="FFFF0000"/>
              <x14:axisColor rgb="FF000000"/>
            </x14:dataBar>
          </x14:cfRule>
          <xm:sqref>M17:M22</xm:sqref>
        </x14:conditionalFormatting>
        <x14:conditionalFormatting xmlns:xm="http://schemas.microsoft.com/office/excel/2006/main">
          <x14:cfRule type="dataBar" id="{1FC5CDD5-6741-40C9-9902-1771C0B64A65}">
            <x14:dataBar minLength="0" maxLength="100" gradient="0">
              <x14:cfvo type="autoMin"/>
              <x14:cfvo type="autoMax"/>
              <x14:negativeFillColor rgb="FFFF0000"/>
              <x14:axisColor rgb="FF000000"/>
            </x14:dataBar>
          </x14:cfRule>
          <xm:sqref>N6:N13</xm:sqref>
        </x14:conditionalFormatting>
        <x14:conditionalFormatting xmlns:xm="http://schemas.microsoft.com/office/excel/2006/main">
          <x14:cfRule type="dataBar" id="{7B3C7607-6293-4B76-B5C4-D8046AB98ECC}">
            <x14:dataBar minLength="0" maxLength="100" gradient="0">
              <x14:cfvo type="autoMin"/>
              <x14:cfvo type="autoMax"/>
              <x14:negativeFillColor rgb="FFFF0000"/>
              <x14:axisColor rgb="FF000000"/>
            </x14:dataBar>
          </x14:cfRule>
          <xm:sqref>N17:N22</xm:sqref>
        </x14:conditionalFormatting>
      </x14:conditionalFormattings>
    </ext>
    <ext xmlns:x14="http://schemas.microsoft.com/office/spreadsheetml/2009/9/main" uri="{05C60535-1F16-4fd2-B633-F4F36F0B64E0}">
      <x14:sparklineGroups xmlns:xm="http://schemas.microsoft.com/office/excel/2006/main">
        <x14:sparklineGroup displayEmptyCellsAs="gap" xr2:uid="{00000000-0003-0000-0100-000000000000}">
          <x14:colorSeries rgb="FF7B1314"/>
          <x14:colorNegative rgb="FFD00000"/>
          <x14:colorAxis rgb="FF000000"/>
          <x14:colorMarkers rgb="FFD00000"/>
          <x14:colorFirst rgb="FFD00000"/>
          <x14:colorLast rgb="FFD00000"/>
          <x14:colorHigh rgb="FFD00000"/>
          <x14:colorLow rgb="FFD00000"/>
          <x14:sparklines>
            <x14:sparkline>
              <xm:f>Segments!E31:I31</xm:f>
              <xm:sqref>D31</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sheetPr>
  <dimension ref="B2:R73"/>
  <sheetViews>
    <sheetView showGridLines="0" zoomScale="61" zoomScaleNormal="55" workbookViewId="0">
      <selection activeCell="E22" sqref="E22:P22"/>
    </sheetView>
  </sheetViews>
  <sheetFormatPr defaultColWidth="8.58203125" defaultRowHeight="14" x14ac:dyDescent="0.3"/>
  <cols>
    <col min="1" max="1" width="2.08203125" customWidth="1"/>
    <col min="2" max="2" width="22" customWidth="1"/>
    <col min="3" max="3" width="17.08203125" customWidth="1"/>
    <col min="4" max="4" width="3.58203125" customWidth="1"/>
    <col min="5" max="5" width="13.08203125" customWidth="1"/>
    <col min="6" max="16" width="12.58203125" customWidth="1"/>
    <col min="17" max="17" width="21.58203125" style="6" customWidth="1"/>
    <col min="18" max="32" width="12.58203125" customWidth="1"/>
  </cols>
  <sheetData>
    <row r="2" spans="2:18" s="41" customFormat="1" ht="20.149999999999999" customHeight="1" x14ac:dyDescent="0.4">
      <c r="B2" s="40" t="s">
        <v>133</v>
      </c>
      <c r="Q2" s="42"/>
    </row>
    <row r="4" spans="2:18" ht="15.5" x14ac:dyDescent="0.35">
      <c r="B4" s="49" t="s">
        <v>134</v>
      </c>
      <c r="C4" s="53"/>
      <c r="D4" s="53"/>
      <c r="E4" s="49" t="s">
        <v>103</v>
      </c>
      <c r="F4" s="54">
        <v>2025</v>
      </c>
      <c r="G4" s="54">
        <f>+F4+1</f>
        <v>2026</v>
      </c>
      <c r="H4" s="54">
        <f>+G4+1</f>
        <v>2027</v>
      </c>
      <c r="I4" s="54">
        <f t="shared" ref="I4:P4" si="0">+H4+1</f>
        <v>2028</v>
      </c>
      <c r="J4" s="54">
        <f t="shared" si="0"/>
        <v>2029</v>
      </c>
      <c r="K4" s="54">
        <f t="shared" si="0"/>
        <v>2030</v>
      </c>
      <c r="L4" s="54">
        <f t="shared" si="0"/>
        <v>2031</v>
      </c>
      <c r="M4" s="54">
        <f t="shared" si="0"/>
        <v>2032</v>
      </c>
      <c r="N4" s="54">
        <f t="shared" si="0"/>
        <v>2033</v>
      </c>
      <c r="O4" s="54">
        <f t="shared" si="0"/>
        <v>2034</v>
      </c>
      <c r="P4" s="54">
        <f t="shared" si="0"/>
        <v>2035</v>
      </c>
      <c r="Q4" s="55" t="str">
        <f>"CAGR "&amp;$F$4&amp;" - "&amp;$P$4</f>
        <v>CAGR 2025 - 2035</v>
      </c>
      <c r="R4" s="56" t="s">
        <v>135</v>
      </c>
    </row>
    <row r="5" spans="2:18" ht="4.4000000000000004" customHeight="1" x14ac:dyDescent="0.35">
      <c r="B5" s="50"/>
      <c r="C5" s="50"/>
      <c r="D5" s="50"/>
      <c r="E5" s="50"/>
      <c r="F5" s="50"/>
      <c r="G5" s="50"/>
      <c r="H5" s="50"/>
      <c r="I5" s="50"/>
      <c r="J5" s="50"/>
      <c r="K5" s="50"/>
      <c r="L5" s="50"/>
      <c r="M5" s="50"/>
      <c r="N5" s="50"/>
      <c r="O5" s="50"/>
      <c r="P5" s="50"/>
      <c r="Q5" s="57"/>
      <c r="R5" s="57"/>
    </row>
    <row r="6" spans="2:18" x14ac:dyDescent="0.3">
      <c r="B6" t="s">
        <v>112</v>
      </c>
      <c r="D6" s="58"/>
      <c r="E6" s="59">
        <v>0.76400000000000001</v>
      </c>
      <c r="F6" s="632"/>
      <c r="G6" s="632"/>
      <c r="H6" s="632"/>
      <c r="I6" s="632"/>
      <c r="J6" s="632"/>
      <c r="K6" s="632"/>
      <c r="L6" s="632"/>
      <c r="M6" s="632"/>
      <c r="N6" s="632"/>
      <c r="O6" s="632"/>
      <c r="P6" s="632"/>
      <c r="Q6" s="61">
        <v>0.1938</v>
      </c>
      <c r="R6" s="62" t="s">
        <v>136</v>
      </c>
    </row>
    <row r="7" spans="2:18" x14ac:dyDescent="0.3">
      <c r="B7" t="s">
        <v>137</v>
      </c>
      <c r="D7" s="58"/>
      <c r="E7" s="59">
        <v>0.22</v>
      </c>
      <c r="F7" s="632"/>
      <c r="G7" s="632"/>
      <c r="H7" s="632"/>
      <c r="I7" s="632"/>
      <c r="J7" s="632"/>
      <c r="K7" s="632"/>
      <c r="L7" s="632"/>
      <c r="M7" s="632"/>
      <c r="N7" s="632"/>
      <c r="O7" s="632"/>
      <c r="P7" s="632"/>
      <c r="Q7" s="61">
        <v>0</v>
      </c>
      <c r="R7" s="62"/>
    </row>
    <row r="8" spans="2:18" x14ac:dyDescent="0.3">
      <c r="D8" s="58"/>
      <c r="E8" s="59"/>
      <c r="F8" s="60"/>
      <c r="G8" s="60"/>
      <c r="H8" s="60"/>
      <c r="I8" s="60"/>
      <c r="J8" s="60"/>
      <c r="K8" s="60"/>
      <c r="L8" s="60"/>
      <c r="M8" s="60"/>
      <c r="N8" s="60"/>
      <c r="O8" s="60"/>
      <c r="P8" s="60"/>
      <c r="Q8" s="61"/>
      <c r="R8" s="62"/>
    </row>
    <row r="9" spans="2:18" x14ac:dyDescent="0.3">
      <c r="D9" s="58"/>
      <c r="E9" s="59"/>
      <c r="F9" s="59"/>
      <c r="G9" s="59"/>
      <c r="H9" s="59"/>
      <c r="I9" s="59"/>
      <c r="J9" s="59"/>
      <c r="K9" s="59"/>
      <c r="L9" s="59"/>
      <c r="M9" s="59"/>
      <c r="N9" s="59"/>
      <c r="O9" s="59"/>
      <c r="P9" s="59"/>
      <c r="Q9" s="61"/>
      <c r="R9" s="62"/>
    </row>
    <row r="10" spans="2:18" x14ac:dyDescent="0.3">
      <c r="D10" s="58"/>
      <c r="E10" s="59"/>
      <c r="F10" s="59"/>
      <c r="G10" s="59"/>
      <c r="H10" s="59"/>
      <c r="I10" s="59"/>
      <c r="J10" s="59"/>
      <c r="K10" s="59"/>
      <c r="L10" s="59"/>
      <c r="M10" s="59"/>
      <c r="N10" s="59"/>
      <c r="O10" s="59"/>
      <c r="P10" s="59"/>
      <c r="Q10" s="61"/>
      <c r="R10" s="62"/>
    </row>
    <row r="11" spans="2:18" x14ac:dyDescent="0.3">
      <c r="B11" s="1" t="s">
        <v>138</v>
      </c>
      <c r="E11" s="63">
        <f>SUM(E6:E10)</f>
        <v>0.98399999999999999</v>
      </c>
      <c r="F11" s="63">
        <f t="shared" ref="F11:P11" si="1">SUMPRODUCT(F6:F10,$E$6:$E$10)</f>
        <v>0</v>
      </c>
      <c r="G11" s="63">
        <f t="shared" si="1"/>
        <v>0</v>
      </c>
      <c r="H11" s="63">
        <f t="shared" si="1"/>
        <v>0</v>
      </c>
      <c r="I11" s="63">
        <f t="shared" si="1"/>
        <v>0</v>
      </c>
      <c r="J11" s="63">
        <f t="shared" si="1"/>
        <v>0</v>
      </c>
      <c r="K11" s="63">
        <f t="shared" si="1"/>
        <v>0</v>
      </c>
      <c r="L11" s="63">
        <f t="shared" si="1"/>
        <v>0</v>
      </c>
      <c r="M11" s="63">
        <f t="shared" si="1"/>
        <v>0</v>
      </c>
      <c r="N11" s="63">
        <f t="shared" si="1"/>
        <v>0</v>
      </c>
      <c r="O11" s="63">
        <f t="shared" si="1"/>
        <v>0</v>
      </c>
      <c r="P11" s="63">
        <f t="shared" si="1"/>
        <v>0</v>
      </c>
      <c r="Q11" s="64">
        <f t="shared" ref="Q11" si="2">IFERROR(((1+F11)*(1+G11)*(1+H11)*(1+I11)*(1+J11)*(1+K11)*(1+L11)*(1+M11)*(1+N11)*(1+O11)*(1+P11))^(1/COUNT($F$4:$P$4))-1,"")</f>
        <v>0</v>
      </c>
      <c r="R11" s="65"/>
    </row>
    <row r="12" spans="2:18" ht="8.15" customHeight="1" x14ac:dyDescent="0.3"/>
    <row r="13" spans="2:18" ht="15" customHeight="1" x14ac:dyDescent="0.35">
      <c r="B13" s="66" t="s">
        <v>139</v>
      </c>
      <c r="C13" s="67"/>
      <c r="D13" s="67"/>
      <c r="E13" s="66" t="s">
        <v>115</v>
      </c>
      <c r="F13" s="67"/>
      <c r="G13" s="67"/>
      <c r="H13" s="67"/>
      <c r="I13" s="67"/>
      <c r="J13" s="67"/>
      <c r="K13" s="67"/>
      <c r="L13" s="67"/>
      <c r="M13" s="67"/>
      <c r="N13" s="67"/>
      <c r="O13" s="67"/>
      <c r="P13" s="67"/>
      <c r="Q13"/>
      <c r="R13" s="64"/>
    </row>
    <row r="14" spans="2:18" ht="4.4000000000000004" customHeight="1" x14ac:dyDescent="0.35">
      <c r="B14" s="68"/>
      <c r="C14" s="68"/>
      <c r="D14" s="68"/>
      <c r="E14" s="68"/>
      <c r="F14" s="68"/>
      <c r="G14" s="68"/>
      <c r="H14" s="68"/>
      <c r="I14" s="68"/>
      <c r="J14" s="68"/>
      <c r="K14" s="68"/>
      <c r="L14" s="68"/>
      <c r="M14" s="68"/>
      <c r="N14" s="68"/>
      <c r="O14" s="68"/>
      <c r="P14" s="68"/>
      <c r="Q14" s="64"/>
      <c r="R14" s="64"/>
    </row>
    <row r="15" spans="2:18" ht="40.4" customHeight="1" x14ac:dyDescent="0.3">
      <c r="B15" s="956" t="s">
        <v>140</v>
      </c>
      <c r="C15" s="956"/>
      <c r="D15" s="69"/>
      <c r="E15" s="958" t="s">
        <v>141</v>
      </c>
      <c r="F15" s="958"/>
      <c r="G15" s="958"/>
      <c r="H15" s="958"/>
      <c r="I15" s="958"/>
      <c r="J15" s="958"/>
      <c r="K15" s="958"/>
      <c r="L15" s="958"/>
      <c r="M15" s="958"/>
      <c r="N15" s="958"/>
      <c r="O15" s="958"/>
      <c r="P15" s="958"/>
      <c r="Q15" s="64"/>
      <c r="R15" s="1"/>
    </row>
    <row r="16" spans="2:18" ht="40.4" customHeight="1" x14ac:dyDescent="0.3">
      <c r="B16" s="956" t="s">
        <v>142</v>
      </c>
      <c r="C16" s="956"/>
      <c r="D16" s="69"/>
      <c r="E16" s="958" t="s">
        <v>143</v>
      </c>
      <c r="F16" s="958"/>
      <c r="G16" s="958"/>
      <c r="H16" s="958"/>
      <c r="I16" s="958"/>
      <c r="J16" s="958"/>
      <c r="K16" s="958"/>
      <c r="L16" s="958"/>
      <c r="M16" s="958"/>
      <c r="N16" s="958"/>
      <c r="O16" s="958"/>
      <c r="P16" s="958"/>
    </row>
    <row r="17" spans="2:16" ht="40.4" customHeight="1" x14ac:dyDescent="0.3">
      <c r="B17" s="956" t="s">
        <v>144</v>
      </c>
      <c r="C17" s="956"/>
      <c r="D17" s="69"/>
      <c r="E17" s="958" t="s">
        <v>145</v>
      </c>
      <c r="F17" s="958"/>
      <c r="G17" s="958"/>
      <c r="H17" s="958"/>
      <c r="I17" s="958"/>
      <c r="J17" s="958"/>
      <c r="K17" s="958"/>
      <c r="L17" s="958"/>
      <c r="M17" s="958"/>
      <c r="N17" s="958"/>
      <c r="O17" s="958"/>
      <c r="P17" s="958"/>
    </row>
    <row r="18" spans="2:16" ht="40.4" customHeight="1" x14ac:dyDescent="0.3">
      <c r="B18" s="956" t="s">
        <v>146</v>
      </c>
      <c r="C18" s="956"/>
      <c r="D18" s="69"/>
      <c r="E18" s="958" t="s">
        <v>147</v>
      </c>
      <c r="F18" s="958"/>
      <c r="G18" s="958"/>
      <c r="H18" s="958"/>
      <c r="I18" s="958"/>
      <c r="J18" s="958"/>
      <c r="K18" s="958"/>
      <c r="L18" s="958"/>
      <c r="M18" s="958"/>
      <c r="N18" s="958"/>
      <c r="O18" s="958"/>
      <c r="P18" s="958"/>
    </row>
    <row r="19" spans="2:16" ht="8.15" customHeight="1" x14ac:dyDescent="0.3">
      <c r="F19" s="70"/>
      <c r="G19" s="70"/>
      <c r="H19" s="70"/>
      <c r="I19" s="70"/>
      <c r="J19" s="70"/>
      <c r="K19" s="70"/>
      <c r="L19" s="70"/>
      <c r="M19" s="70"/>
      <c r="N19" s="70"/>
      <c r="O19" s="70"/>
      <c r="P19" s="70"/>
    </row>
    <row r="20" spans="2:16" ht="15.5" x14ac:dyDescent="0.35">
      <c r="B20" s="66" t="s">
        <v>148</v>
      </c>
      <c r="C20" s="67"/>
      <c r="D20" s="67"/>
      <c r="E20" s="66" t="s">
        <v>115</v>
      </c>
      <c r="F20" s="67"/>
      <c r="G20" s="67"/>
      <c r="H20" s="67"/>
      <c r="I20" s="67"/>
      <c r="J20" s="67"/>
      <c r="K20" s="67"/>
      <c r="L20" s="67"/>
      <c r="M20" s="67"/>
      <c r="N20" s="67"/>
      <c r="O20" s="67"/>
      <c r="P20" s="67"/>
    </row>
    <row r="21" spans="2:16" ht="4.4000000000000004" customHeight="1" x14ac:dyDescent="0.35">
      <c r="B21" s="68"/>
      <c r="C21" s="68"/>
      <c r="D21" s="68"/>
      <c r="E21" s="68"/>
      <c r="F21" s="68"/>
      <c r="G21" s="68"/>
      <c r="H21" s="68"/>
      <c r="I21" s="68"/>
      <c r="J21" s="68"/>
      <c r="K21" s="68"/>
      <c r="L21" s="68"/>
      <c r="M21" s="68"/>
      <c r="N21" s="68"/>
      <c r="O21" s="68"/>
      <c r="P21" s="68"/>
    </row>
    <row r="22" spans="2:16" ht="40.4" customHeight="1" x14ac:dyDescent="0.3">
      <c r="B22" s="956" t="s">
        <v>149</v>
      </c>
      <c r="C22" s="956"/>
      <c r="D22" s="69"/>
      <c r="E22" s="958" t="s">
        <v>150</v>
      </c>
      <c r="F22" s="958"/>
      <c r="G22" s="958"/>
      <c r="H22" s="958"/>
      <c r="I22" s="958"/>
      <c r="J22" s="958"/>
      <c r="K22" s="958"/>
      <c r="L22" s="958"/>
      <c r="M22" s="958"/>
      <c r="N22" s="958"/>
      <c r="O22" s="958"/>
      <c r="P22" s="958"/>
    </row>
    <row r="23" spans="2:16" ht="40.4" customHeight="1" x14ac:dyDescent="0.3">
      <c r="B23" s="956" t="s">
        <v>151</v>
      </c>
      <c r="C23" s="956"/>
      <c r="D23" s="69"/>
      <c r="E23" s="958" t="s">
        <v>152</v>
      </c>
      <c r="F23" s="958"/>
      <c r="G23" s="958"/>
      <c r="H23" s="958"/>
      <c r="I23" s="958"/>
      <c r="J23" s="958"/>
      <c r="K23" s="958"/>
      <c r="L23" s="958"/>
      <c r="M23" s="958"/>
      <c r="N23" s="958"/>
      <c r="O23" s="958"/>
      <c r="P23" s="958"/>
    </row>
    <row r="24" spans="2:16" ht="40.4" hidden="1" customHeight="1" x14ac:dyDescent="0.3">
      <c r="B24" s="956"/>
      <c r="C24" s="956"/>
      <c r="D24" s="69"/>
      <c r="E24" s="958"/>
      <c r="F24" s="958"/>
      <c r="G24" s="958"/>
      <c r="H24" s="958"/>
      <c r="I24" s="958"/>
      <c r="J24" s="958"/>
      <c r="K24" s="958"/>
      <c r="L24" s="958"/>
      <c r="M24" s="958"/>
      <c r="N24" s="958"/>
      <c r="O24" s="958"/>
      <c r="P24" s="958"/>
    </row>
    <row r="25" spans="2:16" ht="8.15" customHeight="1" x14ac:dyDescent="0.3">
      <c r="B25" s="956"/>
      <c r="C25" s="956"/>
      <c r="D25" s="69"/>
      <c r="E25" s="958"/>
      <c r="F25" s="958"/>
      <c r="G25" s="958"/>
      <c r="H25" s="958"/>
      <c r="I25" s="958"/>
      <c r="J25" s="958"/>
      <c r="K25" s="958"/>
      <c r="L25" s="958"/>
      <c r="M25" s="958"/>
      <c r="N25" s="958"/>
      <c r="O25" s="958"/>
      <c r="P25" s="958"/>
    </row>
    <row r="26" spans="2:16" ht="15.5" x14ac:dyDescent="0.35">
      <c r="B26" s="49" t="s">
        <v>153</v>
      </c>
      <c r="C26" s="53"/>
      <c r="D26" s="53"/>
      <c r="E26" s="49" t="s">
        <v>154</v>
      </c>
      <c r="F26" s="49"/>
      <c r="G26" s="71" t="s">
        <v>155</v>
      </c>
      <c r="H26" s="72" t="s">
        <v>156</v>
      </c>
      <c r="I26" s="54" t="s">
        <v>153</v>
      </c>
      <c r="J26" s="54"/>
      <c r="K26" s="54"/>
      <c r="L26" s="54"/>
      <c r="M26" s="54"/>
      <c r="N26" s="54"/>
      <c r="O26" s="54"/>
      <c r="P26" s="54"/>
    </row>
    <row r="27" spans="2:16" ht="4.4000000000000004" customHeight="1" x14ac:dyDescent="0.35">
      <c r="B27" s="50"/>
      <c r="C27" s="50"/>
      <c r="D27" s="50"/>
      <c r="E27" s="50"/>
      <c r="F27" s="50"/>
      <c r="G27" s="50"/>
      <c r="H27" s="50"/>
      <c r="I27" s="50"/>
      <c r="J27" s="50"/>
      <c r="K27" s="50"/>
      <c r="L27" s="50"/>
      <c r="M27" s="50"/>
      <c r="N27" s="50"/>
      <c r="O27" s="50"/>
      <c r="P27" s="50"/>
    </row>
    <row r="28" spans="2:16" x14ac:dyDescent="0.3">
      <c r="B28" s="73" t="str" cm="1">
        <f t="array" aca="1" ref="B28" ca="1">+_FV(DCF!R4,"Name")</f>
        <v>D-WAVE QUANTUM INC.</v>
      </c>
      <c r="C28" s="73"/>
      <c r="D28" s="73"/>
      <c r="E28" s="74" t="s">
        <v>107</v>
      </c>
      <c r="F28" s="74"/>
      <c r="G28" s="728">
        <v>8.75</v>
      </c>
      <c r="H28" s="73"/>
      <c r="I28" s="75">
        <f t="shared" ref="I28:I35" si="3">IFERROR(G28/$G$40,"")</f>
        <v>0.20325203252032523</v>
      </c>
    </row>
    <row r="29" spans="2:16" x14ac:dyDescent="0.3">
      <c r="B29" t="s">
        <v>157</v>
      </c>
      <c r="E29" s="76" t="s">
        <v>104</v>
      </c>
      <c r="F29" s="76"/>
      <c r="G29" s="781">
        <v>22.04</v>
      </c>
      <c r="I29" s="78">
        <f t="shared" si="3"/>
        <v>0.51196283391405339</v>
      </c>
    </row>
    <row r="30" spans="2:16" x14ac:dyDescent="0.3">
      <c r="B30" t="s">
        <v>158</v>
      </c>
      <c r="E30" s="76" t="s">
        <v>104</v>
      </c>
      <c r="F30" s="76"/>
      <c r="G30" s="781">
        <v>12</v>
      </c>
      <c r="I30" s="78">
        <f t="shared" si="3"/>
        <v>0.27874564459930318</v>
      </c>
    </row>
    <row r="31" spans="2:16" x14ac:dyDescent="0.3">
      <c r="B31" t="s">
        <v>159</v>
      </c>
      <c r="E31" s="76" t="s">
        <v>104</v>
      </c>
      <c r="F31" s="76"/>
      <c r="G31" s="781">
        <v>0.3</v>
      </c>
      <c r="I31" s="78">
        <f t="shared" si="3"/>
        <v>6.9686411149825784E-3</v>
      </c>
    </row>
    <row r="32" spans="2:16" x14ac:dyDescent="0.3">
      <c r="E32" s="76"/>
      <c r="F32" s="76"/>
      <c r="G32" s="77"/>
      <c r="I32" s="78">
        <f t="shared" si="3"/>
        <v>0</v>
      </c>
    </row>
    <row r="33" spans="2:16" x14ac:dyDescent="0.3">
      <c r="E33" s="76"/>
      <c r="F33" s="76"/>
      <c r="G33" s="77"/>
      <c r="I33" s="78">
        <f t="shared" si="3"/>
        <v>0</v>
      </c>
    </row>
    <row r="34" spans="2:16" x14ac:dyDescent="0.3">
      <c r="E34" s="76"/>
      <c r="F34" s="76"/>
      <c r="G34" s="77"/>
      <c r="I34" s="78">
        <f t="shared" si="3"/>
        <v>0</v>
      </c>
    </row>
    <row r="35" spans="2:16" x14ac:dyDescent="0.3">
      <c r="E35" s="76"/>
      <c r="F35" s="76"/>
      <c r="G35" s="77"/>
      <c r="I35" s="78">
        <f t="shared" si="3"/>
        <v>0</v>
      </c>
    </row>
    <row r="36" spans="2:16" x14ac:dyDescent="0.3">
      <c r="E36" s="76"/>
      <c r="F36" s="76"/>
      <c r="G36" s="77"/>
      <c r="I36" s="78">
        <f>IFERROR(G36/$G$40,"")</f>
        <v>0</v>
      </c>
    </row>
    <row r="37" spans="2:16" x14ac:dyDescent="0.3">
      <c r="E37" s="76"/>
      <c r="F37" s="76"/>
      <c r="G37" s="77"/>
      <c r="I37" s="79">
        <f>IFERROR(G37/$G$40,"")</f>
        <v>0</v>
      </c>
    </row>
    <row r="38" spans="2:16" x14ac:dyDescent="0.3">
      <c r="E38" s="76"/>
      <c r="F38" s="76"/>
      <c r="G38" s="77"/>
      <c r="I38" s="79">
        <f>IFERROR(G38/$G$40,"")</f>
        <v>0</v>
      </c>
    </row>
    <row r="39" spans="2:16" x14ac:dyDescent="0.3">
      <c r="B39" s="38" t="s">
        <v>160</v>
      </c>
      <c r="C39" s="38"/>
      <c r="D39" s="38"/>
      <c r="E39" s="80" t="s">
        <v>161</v>
      </c>
      <c r="F39" s="38"/>
      <c r="G39" s="81">
        <f>G40-SUM(G28:G38)</f>
        <v>-3.9999999999999147E-2</v>
      </c>
      <c r="H39" s="38"/>
      <c r="I39" s="82">
        <f t="shared" ref="I39" si="4">IFERROR(G39/$G$40,"")</f>
        <v>-9.2915214866432405E-4</v>
      </c>
    </row>
    <row r="40" spans="2:16" x14ac:dyDescent="0.3">
      <c r="B40" s="1" t="s">
        <v>162</v>
      </c>
      <c r="E40" s="83" t="s">
        <v>161</v>
      </c>
      <c r="G40" s="77">
        <v>43.05</v>
      </c>
      <c r="H40" s="27"/>
      <c r="I40" s="84">
        <v>1</v>
      </c>
    </row>
    <row r="41" spans="2:16" ht="8.15" customHeight="1" x14ac:dyDescent="0.3"/>
    <row r="42" spans="2:16" ht="15.5" x14ac:dyDescent="0.35">
      <c r="B42" s="49" t="s">
        <v>163</v>
      </c>
      <c r="C42" s="53"/>
      <c r="D42" s="49"/>
      <c r="E42" s="49" t="s">
        <v>164</v>
      </c>
      <c r="F42" s="54"/>
      <c r="G42" s="54"/>
      <c r="H42" s="960" t="s">
        <v>165</v>
      </c>
      <c r="I42" s="960"/>
      <c r="J42" s="54"/>
      <c r="K42" s="54"/>
      <c r="P42" s="85"/>
    </row>
    <row r="43" spans="2:16" ht="4.4000000000000004" customHeight="1" x14ac:dyDescent="0.35">
      <c r="B43" s="50"/>
      <c r="C43" s="50"/>
      <c r="D43" s="50"/>
      <c r="E43" s="50"/>
      <c r="F43" s="50"/>
      <c r="G43" s="50"/>
      <c r="H43" s="50"/>
      <c r="I43" s="50"/>
      <c r="J43" s="50"/>
      <c r="K43" s="50"/>
    </row>
    <row r="44" spans="2:16" x14ac:dyDescent="0.3">
      <c r="B44" s="1" t="s">
        <v>166</v>
      </c>
      <c r="E44" s="376">
        <v>3.8</v>
      </c>
    </row>
    <row r="45" spans="2:16" x14ac:dyDescent="0.3">
      <c r="B45" s="25" t="s">
        <v>167</v>
      </c>
      <c r="E45" s="87">
        <v>3</v>
      </c>
    </row>
    <row r="46" spans="2:16" x14ac:dyDescent="0.3">
      <c r="B46" s="25" t="s">
        <v>168</v>
      </c>
      <c r="E46" s="87">
        <v>4</v>
      </c>
    </row>
    <row r="47" spans="2:16" x14ac:dyDescent="0.3">
      <c r="B47" s="25" t="s">
        <v>169</v>
      </c>
      <c r="E47" s="87">
        <v>5</v>
      </c>
    </row>
    <row r="48" spans="2:16" x14ac:dyDescent="0.3">
      <c r="B48" s="25" t="s">
        <v>170</v>
      </c>
      <c r="E48" s="87">
        <v>3</v>
      </c>
    </row>
    <row r="49" spans="2:5" x14ac:dyDescent="0.3">
      <c r="B49" s="25" t="s">
        <v>171</v>
      </c>
      <c r="E49" s="87">
        <v>4</v>
      </c>
    </row>
    <row r="50" spans="2:5" x14ac:dyDescent="0.3">
      <c r="B50" s="25" t="s">
        <v>172</v>
      </c>
      <c r="E50" s="87">
        <v>3</v>
      </c>
    </row>
    <row r="51" spans="2:5" x14ac:dyDescent="0.3">
      <c r="B51" s="1" t="s">
        <v>173</v>
      </c>
      <c r="E51" s="86">
        <v>3.25</v>
      </c>
    </row>
    <row r="52" spans="2:5" x14ac:dyDescent="0.3">
      <c r="B52" s="25" t="s">
        <v>174</v>
      </c>
      <c r="E52" s="87">
        <v>4</v>
      </c>
    </row>
    <row r="53" spans="2:5" x14ac:dyDescent="0.3">
      <c r="B53" s="25" t="s">
        <v>175</v>
      </c>
      <c r="E53" s="87">
        <v>3</v>
      </c>
    </row>
    <row r="54" spans="2:5" x14ac:dyDescent="0.3">
      <c r="B54" s="25" t="s">
        <v>176</v>
      </c>
      <c r="E54" s="87">
        <v>3</v>
      </c>
    </row>
    <row r="55" spans="2:5" x14ac:dyDescent="0.3">
      <c r="B55" s="25" t="s">
        <v>177</v>
      </c>
      <c r="E55" s="87">
        <v>2</v>
      </c>
    </row>
    <row r="56" spans="2:5" x14ac:dyDescent="0.3">
      <c r="B56" s="25" t="s">
        <v>178</v>
      </c>
      <c r="E56" s="87">
        <v>4</v>
      </c>
    </row>
    <row r="57" spans="2:5" x14ac:dyDescent="0.3">
      <c r="B57" s="1" t="s">
        <v>179</v>
      </c>
      <c r="E57" s="86">
        <v>3.6</v>
      </c>
    </row>
    <row r="58" spans="2:5" x14ac:dyDescent="0.3">
      <c r="B58" s="25" t="s">
        <v>180</v>
      </c>
      <c r="E58" s="87">
        <v>4</v>
      </c>
    </row>
    <row r="59" spans="2:5" x14ac:dyDescent="0.3">
      <c r="B59" s="25" t="s">
        <v>181</v>
      </c>
      <c r="E59" s="87">
        <v>3</v>
      </c>
    </row>
    <row r="60" spans="2:5" x14ac:dyDescent="0.3">
      <c r="B60" s="25" t="s">
        <v>172</v>
      </c>
      <c r="E60" s="87">
        <v>3</v>
      </c>
    </row>
    <row r="61" spans="2:5" x14ac:dyDescent="0.3">
      <c r="B61" s="25" t="s">
        <v>182</v>
      </c>
      <c r="E61" s="87">
        <v>3</v>
      </c>
    </row>
    <row r="62" spans="2:5" x14ac:dyDescent="0.3">
      <c r="B62" s="25" t="s">
        <v>183</v>
      </c>
      <c r="E62" s="87">
        <v>5</v>
      </c>
    </row>
    <row r="63" spans="2:5" x14ac:dyDescent="0.3">
      <c r="B63" s="1" t="s">
        <v>184</v>
      </c>
      <c r="E63" s="86">
        <v>4.5</v>
      </c>
    </row>
    <row r="64" spans="2:5" x14ac:dyDescent="0.3">
      <c r="B64" s="25" t="s">
        <v>185</v>
      </c>
      <c r="E64" s="87">
        <v>5</v>
      </c>
    </row>
    <row r="65" spans="2:5" x14ac:dyDescent="0.3">
      <c r="B65" s="25" t="s">
        <v>186</v>
      </c>
      <c r="E65" s="87">
        <v>4</v>
      </c>
    </row>
    <row r="66" spans="2:5" x14ac:dyDescent="0.3">
      <c r="B66" s="25" t="s">
        <v>187</v>
      </c>
      <c r="E66" s="87">
        <v>4</v>
      </c>
    </row>
    <row r="67" spans="2:5" x14ac:dyDescent="0.3">
      <c r="B67" s="25" t="s">
        <v>188</v>
      </c>
      <c r="E67" s="87">
        <v>5</v>
      </c>
    </row>
    <row r="68" spans="2:5" x14ac:dyDescent="0.3">
      <c r="B68" s="25" t="s">
        <v>189</v>
      </c>
      <c r="E68" s="87">
        <v>5</v>
      </c>
    </row>
    <row r="69" spans="2:5" x14ac:dyDescent="0.3">
      <c r="B69" s="1" t="s">
        <v>190</v>
      </c>
      <c r="E69" s="86">
        <v>3.75</v>
      </c>
    </row>
    <row r="70" spans="2:5" x14ac:dyDescent="0.3">
      <c r="B70" s="25" t="s">
        <v>191</v>
      </c>
      <c r="E70" s="87">
        <v>4</v>
      </c>
    </row>
    <row r="71" spans="2:5" x14ac:dyDescent="0.3">
      <c r="B71" s="25" t="s">
        <v>192</v>
      </c>
      <c r="E71" s="87">
        <v>3</v>
      </c>
    </row>
    <row r="72" spans="2:5" x14ac:dyDescent="0.3">
      <c r="B72" s="25" t="s">
        <v>193</v>
      </c>
      <c r="E72" s="87">
        <v>4</v>
      </c>
    </row>
    <row r="73" spans="2:5" x14ac:dyDescent="0.3">
      <c r="B73" s="25" t="s">
        <v>194</v>
      </c>
      <c r="E73" s="87">
        <v>4</v>
      </c>
    </row>
  </sheetData>
  <mergeCells count="17">
    <mergeCell ref="B18:C18"/>
    <mergeCell ref="E18:P18"/>
    <mergeCell ref="B15:C15"/>
    <mergeCell ref="E15:P15"/>
    <mergeCell ref="B16:C16"/>
    <mergeCell ref="E16:P16"/>
    <mergeCell ref="B17:C17"/>
    <mergeCell ref="E17:P17"/>
    <mergeCell ref="B22:C22"/>
    <mergeCell ref="E22:P22"/>
    <mergeCell ref="B23:C23"/>
    <mergeCell ref="E23:P23"/>
    <mergeCell ref="H42:I42"/>
    <mergeCell ref="B24:C24"/>
    <mergeCell ref="E24:P24"/>
    <mergeCell ref="B25:C25"/>
    <mergeCell ref="E25:P25"/>
  </mergeCells>
  <conditionalFormatting sqref="I28:I39">
    <cfRule type="colorScale" priority="7">
      <colorScale>
        <cfvo type="min"/>
        <cfvo type="percentile" val="50"/>
        <cfvo type="max"/>
        <color rgb="FFF8696B"/>
        <color rgb="FFFFEB84"/>
        <color rgb="FF63BE7B"/>
      </colorScale>
    </cfRule>
    <cfRule type="colorScale" priority="8">
      <colorScale>
        <cfvo type="min"/>
        <cfvo type="percentile" val="50"/>
        <cfvo type="max"/>
        <color rgb="FFF8696B"/>
        <color rgb="FFFFEB84"/>
        <color rgb="FF63BE7B"/>
      </colorScale>
    </cfRule>
    <cfRule type="colorScale" priority="9">
      <colorScale>
        <cfvo type="min"/>
        <cfvo type="percentile" val="50"/>
        <cfvo type="max"/>
        <color rgb="FFF8696B"/>
        <color rgb="FFFFEB84"/>
        <color rgb="FF63BE7B"/>
      </colorScale>
    </cfRule>
  </conditionalFormatting>
  <conditionalFormatting sqref="Q6:Q10">
    <cfRule type="colorScale" priority="1">
      <colorScale>
        <cfvo type="min"/>
        <cfvo type="percentile" val="50"/>
        <cfvo type="max"/>
        <color rgb="FFF8696B"/>
        <color rgb="FFFFEB84"/>
        <color rgb="FF63BE7B"/>
      </colorScale>
    </cfRule>
    <cfRule type="colorScale" priority="2">
      <colorScale>
        <cfvo type="min"/>
        <cfvo type="percentile" val="50"/>
        <cfvo type="max"/>
        <color rgb="FFF8696B"/>
        <color rgb="FFFFEB84"/>
        <color rgb="FF63BE7B"/>
      </colorScale>
    </cfRule>
  </conditionalFormatting>
  <conditionalFormatting sqref="R6:R10">
    <cfRule type="dataBar" priority="88">
      <dataBar>
        <cfvo type="min"/>
        <cfvo type="max"/>
        <color rgb="FF63C384"/>
      </dataBar>
      <extLst>
        <ext xmlns:x14="http://schemas.microsoft.com/office/spreadsheetml/2009/9/main" uri="{B025F937-C7B1-47D3-B67F-A62EFF666E3E}">
          <x14:id>{18A4ABFB-8F60-489B-B3E5-6CD3614699D1}</x14:id>
        </ext>
      </extLst>
    </cfRule>
  </conditionalFormatting>
  <conditionalFormatting sqref="S6:S10">
    <cfRule type="dataBar" priority="89">
      <dataBar>
        <cfvo type="min"/>
        <cfvo type="max"/>
        <color rgb="FF63C384"/>
      </dataBar>
      <extLst>
        <ext xmlns:x14="http://schemas.microsoft.com/office/spreadsheetml/2009/9/main" uri="{B025F937-C7B1-47D3-B67F-A62EFF666E3E}">
          <x14:id>{7D4FC3D7-186A-46E0-AFA0-A4D2A7B32131}</x14:id>
        </ext>
      </extLst>
    </cfRule>
  </conditionalFormatting>
  <conditionalFormatting sqref="T6:T10">
    <cfRule type="dataBar" priority="90">
      <dataBar>
        <cfvo type="min"/>
        <cfvo type="max"/>
        <color rgb="FF63C384"/>
      </dataBar>
      <extLst>
        <ext xmlns:x14="http://schemas.microsoft.com/office/spreadsheetml/2009/9/main" uri="{B025F937-C7B1-47D3-B67F-A62EFF666E3E}">
          <x14:id>{A2AA1478-7F03-4C3E-A93E-071B3A585FDF}</x14:id>
        </ext>
      </extLst>
    </cfRule>
  </conditionalFormatting>
  <conditionalFormatting sqref="U6:U10">
    <cfRule type="dataBar" priority="91">
      <dataBar>
        <cfvo type="min"/>
        <cfvo type="max"/>
        <color rgb="FF63C384"/>
      </dataBar>
      <extLst>
        <ext xmlns:x14="http://schemas.microsoft.com/office/spreadsheetml/2009/9/main" uri="{B025F937-C7B1-47D3-B67F-A62EFF666E3E}">
          <x14:id>{CCBBEFF5-0753-47A4-B215-F44790A6C2E6}</x14:id>
        </ext>
      </extLst>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18A4ABFB-8F60-489B-B3E5-6CD3614699D1}">
            <x14:dataBar minLength="0" maxLength="100" gradient="0">
              <x14:cfvo type="autoMin"/>
              <x14:cfvo type="autoMax"/>
              <x14:negativeFillColor rgb="FFFF0000"/>
              <x14:axisColor rgb="FF000000"/>
            </x14:dataBar>
          </x14:cfRule>
          <xm:sqref>R6:R10</xm:sqref>
        </x14:conditionalFormatting>
        <x14:conditionalFormatting xmlns:xm="http://schemas.microsoft.com/office/excel/2006/main">
          <x14:cfRule type="dataBar" id="{7D4FC3D7-186A-46E0-AFA0-A4D2A7B32131}">
            <x14:dataBar minLength="0" maxLength="100" gradient="0">
              <x14:cfvo type="autoMin"/>
              <x14:cfvo type="autoMax"/>
              <x14:negativeFillColor rgb="FFFF0000"/>
              <x14:axisColor rgb="FF000000"/>
            </x14:dataBar>
          </x14:cfRule>
          <xm:sqref>S6:S10</xm:sqref>
        </x14:conditionalFormatting>
        <x14:conditionalFormatting xmlns:xm="http://schemas.microsoft.com/office/excel/2006/main">
          <x14:cfRule type="dataBar" id="{A2AA1478-7F03-4C3E-A93E-071B3A585FDF}">
            <x14:dataBar minLength="0" maxLength="100" gradient="0">
              <x14:cfvo type="autoMin"/>
              <x14:cfvo type="autoMax"/>
              <x14:negativeFillColor rgb="FFFF0000"/>
              <x14:axisColor rgb="FF000000"/>
            </x14:dataBar>
          </x14:cfRule>
          <xm:sqref>T6:T10</xm:sqref>
        </x14:conditionalFormatting>
        <x14:conditionalFormatting xmlns:xm="http://schemas.microsoft.com/office/excel/2006/main">
          <x14:cfRule type="dataBar" id="{CCBBEFF5-0753-47A4-B215-F44790A6C2E6}">
            <x14:dataBar minLength="0" maxLength="100" gradient="0">
              <x14:cfvo type="autoMin"/>
              <x14:cfvo type="autoMax"/>
              <x14:negativeFillColor rgb="FFFF0000"/>
              <x14:axisColor rgb="FF000000"/>
            </x14:dataBar>
          </x14:cfRule>
          <xm:sqref>U6:U10</xm:sqref>
        </x14:conditionalFormatting>
      </x14:conditionalFormattings>
    </ext>
    <ext xmlns:x14="http://schemas.microsoft.com/office/spreadsheetml/2009/9/main" uri="{05C60535-1F16-4fd2-B633-F4F36F0B64E0}">
      <x14:sparklineGroups xmlns:xm="http://schemas.microsoft.com/office/excel/2006/main">
        <x14:sparklineGroup displayEmptyCellsAs="gap" xr2:uid="{00000000-0003-0000-0200-000001000000}">
          <x14:colorSeries rgb="FF7B1314"/>
          <x14:colorNegative rgb="FFD00000"/>
          <x14:colorAxis rgb="FF000000"/>
          <x14:colorMarkers rgb="FFD00000"/>
          <x14:colorFirst rgb="FFD00000"/>
          <x14:colorLast rgb="FFD00000"/>
          <x14:colorHigh rgb="FFD00000"/>
          <x14:colorLow rgb="FFD00000"/>
          <x14:sparklines>
            <x14:sparkline>
              <xm:f>Industry!F19:P19</xm:f>
              <xm:sqref>E19</xm:sqref>
            </x14:sparkline>
          </x14:sparklines>
        </x14:sparklineGroup>
        <x14:sparklineGroup displayEmptyCellsAs="gap" xr2:uid="{00000000-0003-0000-0200-000002000000}">
          <x14:colorSeries rgb="FF7B1314"/>
          <x14:colorNegative rgb="FFD00000"/>
          <x14:colorAxis rgb="FF000000"/>
          <x14:colorMarkers rgb="FFD00000"/>
          <x14:colorFirst rgb="FFD00000"/>
          <x14:colorLast rgb="FFD00000"/>
          <x14:colorHigh rgb="FFD00000"/>
          <x14:colorLow rgb="FFD00000"/>
          <x14:sparklines>
            <x14:sparkline>
              <xm:f>Industry!F6:P6</xm:f>
              <xm:sqref>D6</xm:sqref>
            </x14:sparkline>
            <x14:sparkline>
              <xm:f>Industry!F7:P7</xm:f>
              <xm:sqref>D7</xm:sqref>
            </x14:sparkline>
            <x14:sparkline>
              <xm:f>Industry!F8:P8</xm:f>
              <xm:sqref>D8</xm:sqref>
            </x14:sparkline>
            <x14:sparkline>
              <xm:f>Industry!F9:P9</xm:f>
              <xm:sqref>D9</xm:sqref>
            </x14:sparkline>
            <x14:sparkline>
              <xm:f>Industry!F10:P10</xm:f>
              <xm:sqref>D10</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59999389629810485"/>
  </sheetPr>
  <dimension ref="A1:AZ143"/>
  <sheetViews>
    <sheetView showGridLines="0" zoomScale="47" zoomScaleNormal="78" workbookViewId="0">
      <pane xSplit="3" topLeftCell="D1" activePane="topRight" state="frozen"/>
      <selection pane="topRight" activeCell="B14" sqref="B14"/>
    </sheetView>
  </sheetViews>
  <sheetFormatPr defaultColWidth="9" defaultRowHeight="14.25" customHeight="1" x14ac:dyDescent="0.3"/>
  <cols>
    <col min="1" max="1" width="2.08203125" style="353" customWidth="1"/>
    <col min="2" max="2" width="31" style="353" customWidth="1"/>
    <col min="3" max="3" width="6.08203125" style="353" customWidth="1"/>
    <col min="4" max="15" width="19.58203125" style="353" customWidth="1"/>
    <col min="16" max="16384" width="9" style="353"/>
  </cols>
  <sheetData>
    <row r="1" spans="1:52" s="352" customFormat="1" ht="12" customHeight="1" x14ac:dyDescent="0.3">
      <c r="A1" s="377"/>
      <c r="B1" s="377"/>
      <c r="C1" s="378"/>
      <c r="D1" s="377"/>
      <c r="E1" s="377"/>
      <c r="F1" s="377"/>
      <c r="G1" s="377"/>
      <c r="H1" s="377"/>
      <c r="I1" s="377"/>
      <c r="J1" s="377"/>
      <c r="K1" s="377"/>
      <c r="L1" s="377"/>
      <c r="M1" s="377"/>
      <c r="N1" s="377"/>
      <c r="O1" s="377"/>
      <c r="P1" s="377"/>
      <c r="Q1" s="377"/>
      <c r="R1" s="377"/>
      <c r="S1" s="377"/>
      <c r="T1" s="377"/>
      <c r="U1" s="377"/>
      <c r="V1" s="377"/>
      <c r="W1" s="377"/>
      <c r="X1" s="377"/>
      <c r="Y1" s="377"/>
      <c r="Z1" s="377"/>
      <c r="AA1" s="377"/>
      <c r="AB1" s="377"/>
      <c r="AC1" s="377"/>
      <c r="AD1" s="377"/>
      <c r="AE1" s="377"/>
      <c r="AF1" s="377"/>
      <c r="AG1" s="377"/>
      <c r="AH1" s="377"/>
      <c r="AI1" s="377"/>
      <c r="AJ1" s="377"/>
      <c r="AK1" s="377"/>
      <c r="AL1" s="377"/>
      <c r="AM1" s="377"/>
      <c r="AN1" s="377"/>
      <c r="AO1" s="377"/>
      <c r="AP1" s="377"/>
      <c r="AQ1" s="377"/>
      <c r="AR1" s="377"/>
      <c r="AS1" s="377"/>
      <c r="AT1" s="377"/>
      <c r="AU1" s="377"/>
      <c r="AV1" s="377"/>
      <c r="AW1" s="377"/>
      <c r="AX1" s="377"/>
      <c r="AY1" s="377"/>
      <c r="AZ1" s="377"/>
    </row>
    <row r="2" spans="1:52" s="352" customFormat="1" ht="14" x14ac:dyDescent="0.3">
      <c r="A2" s="377"/>
      <c r="B2" s="379"/>
      <c r="C2" s="379"/>
      <c r="D2" s="963"/>
      <c r="E2" s="964"/>
      <c r="F2" s="481"/>
      <c r="G2" s="470"/>
      <c r="H2" s="481"/>
      <c r="I2" s="470"/>
      <c r="J2" s="481"/>
      <c r="K2" s="496"/>
      <c r="L2" s="502"/>
      <c r="M2" s="496"/>
      <c r="N2" s="379"/>
      <c r="O2" s="379"/>
      <c r="P2" s="381"/>
      <c r="Q2" s="381"/>
      <c r="R2" s="381"/>
      <c r="S2" s="377"/>
      <c r="T2" s="381"/>
      <c r="U2" s="381"/>
      <c r="V2" s="377"/>
      <c r="W2" s="382"/>
      <c r="X2" s="382"/>
      <c r="Y2" s="382"/>
      <c r="Z2" s="382"/>
      <c r="AA2" s="382"/>
      <c r="AB2" s="382"/>
      <c r="AC2" s="377"/>
      <c r="AD2" s="382"/>
      <c r="AE2" s="382"/>
      <c r="AF2" s="382"/>
      <c r="AG2" s="382"/>
      <c r="AH2" s="382"/>
      <c r="AI2" s="377"/>
      <c r="AJ2" s="382"/>
      <c r="AK2" s="383"/>
      <c r="AL2" s="383"/>
      <c r="AM2" s="383"/>
      <c r="AN2" s="383"/>
      <c r="AO2" s="377"/>
      <c r="AP2" s="382"/>
      <c r="AQ2" s="377"/>
      <c r="AR2" s="377"/>
      <c r="AS2" s="377"/>
      <c r="AT2" s="377"/>
      <c r="AU2" s="377"/>
      <c r="AV2" s="377"/>
      <c r="AW2" s="377"/>
      <c r="AX2" s="377"/>
      <c r="AY2" s="377"/>
      <c r="AZ2" s="377"/>
    </row>
    <row r="3" spans="1:52" s="352" customFormat="1" ht="14" x14ac:dyDescent="0.3">
      <c r="A3" s="377"/>
      <c r="B3" s="379"/>
      <c r="C3" s="379"/>
      <c r="D3" s="967" t="s">
        <v>195</v>
      </c>
      <c r="E3" s="966"/>
      <c r="F3" s="965" t="s">
        <v>29</v>
      </c>
      <c r="G3" s="966"/>
      <c r="H3" s="965" t="s">
        <v>196</v>
      </c>
      <c r="I3" s="966"/>
      <c r="J3" s="965" t="s">
        <v>197</v>
      </c>
      <c r="K3" s="966"/>
      <c r="L3" s="965" t="s">
        <v>13</v>
      </c>
      <c r="M3" s="966"/>
      <c r="N3" s="967" t="s">
        <v>16</v>
      </c>
      <c r="O3" s="967"/>
      <c r="P3" s="381"/>
      <c r="Q3" s="588"/>
      <c r="R3" s="381"/>
      <c r="S3" s="381"/>
      <c r="T3" s="381"/>
      <c r="U3" s="381"/>
      <c r="V3" s="381"/>
      <c r="W3" s="381"/>
      <c r="X3" s="381"/>
      <c r="Y3" s="381"/>
      <c r="Z3" s="381"/>
      <c r="AA3" s="381"/>
      <c r="AB3" s="381"/>
      <c r="AC3" s="381"/>
      <c r="AD3" s="381"/>
      <c r="AE3" s="381"/>
      <c r="AF3" s="381"/>
      <c r="AG3" s="381"/>
      <c r="AH3" s="381"/>
      <c r="AI3" s="381"/>
      <c r="AJ3" s="381"/>
      <c r="AK3" s="381"/>
      <c r="AL3" s="381"/>
      <c r="AM3" s="381"/>
      <c r="AN3" s="381"/>
      <c r="AO3" s="377"/>
      <c r="AP3" s="381"/>
      <c r="AQ3" s="377"/>
      <c r="AR3" s="377"/>
      <c r="AS3" s="377"/>
      <c r="AT3" s="377"/>
      <c r="AU3" s="377"/>
      <c r="AV3" s="377"/>
      <c r="AW3" s="377"/>
      <c r="AX3" s="377"/>
      <c r="AY3" s="377"/>
      <c r="AZ3" s="377"/>
    </row>
    <row r="4" spans="1:52" s="352" customFormat="1" ht="14" x14ac:dyDescent="0.3">
      <c r="A4" s="377"/>
      <c r="B4" s="379" t="s">
        <v>198</v>
      </c>
      <c r="C4" s="379" t="s">
        <v>199</v>
      </c>
      <c r="D4" s="380" t="str">
        <f>+Inputs!O4&amp;"-"&amp;Inputs!P4</f>
        <v>2022-2023</v>
      </c>
      <c r="E4" s="470" t="str">
        <f>+Inputs!P4&amp;"-"&amp;Inputs!Q4</f>
        <v>2023-2024</v>
      </c>
      <c r="F4" s="481">
        <v>2023</v>
      </c>
      <c r="G4" s="470">
        <v>2024</v>
      </c>
      <c r="H4" s="481" t="str">
        <f>+Inputs!O4&amp;"-"&amp;Inputs!P4</f>
        <v>2022-2023</v>
      </c>
      <c r="I4" s="470" t="str">
        <f>+Inputs!P4&amp;"-"&amp;Inputs!Q4</f>
        <v>2023-2024</v>
      </c>
      <c r="J4" s="481">
        <v>2023</v>
      </c>
      <c r="K4" s="470">
        <v>2024</v>
      </c>
      <c r="L4" s="481">
        <v>2023</v>
      </c>
      <c r="M4" s="470">
        <v>2024</v>
      </c>
      <c r="N4" s="380">
        <v>2023</v>
      </c>
      <c r="O4" s="380">
        <v>2024</v>
      </c>
      <c r="P4" s="381"/>
      <c r="Q4" s="588"/>
      <c r="R4" s="381"/>
      <c r="S4" s="381"/>
      <c r="T4" s="381"/>
      <c r="U4" s="381"/>
      <c r="V4" s="381"/>
      <c r="W4" s="381"/>
      <c r="X4" s="381"/>
      <c r="Y4" s="381"/>
      <c r="Z4" s="381"/>
      <c r="AA4" s="381"/>
      <c r="AB4" s="381"/>
      <c r="AC4" s="381"/>
      <c r="AD4" s="381"/>
      <c r="AE4" s="381"/>
      <c r="AF4" s="381"/>
      <c r="AG4" s="381"/>
      <c r="AH4" s="381"/>
      <c r="AI4" s="381"/>
      <c r="AJ4" s="381"/>
      <c r="AK4" s="381"/>
      <c r="AL4" s="381"/>
      <c r="AM4" s="381"/>
      <c r="AN4" s="381"/>
      <c r="AO4" s="377"/>
      <c r="AP4" s="381"/>
      <c r="AQ4" s="377"/>
      <c r="AR4" s="377"/>
      <c r="AS4" s="377"/>
      <c r="AT4" s="377"/>
      <c r="AU4" s="377"/>
      <c r="AV4" s="377"/>
      <c r="AW4" s="377"/>
      <c r="AX4" s="377"/>
      <c r="AY4" s="377"/>
      <c r="AZ4" s="377"/>
    </row>
    <row r="5" spans="1:52" s="352" customFormat="1" ht="3.75" customHeight="1" x14ac:dyDescent="0.3">
      <c r="A5" s="377"/>
      <c r="B5" s="384"/>
      <c r="C5" s="384"/>
      <c r="D5" s="384"/>
      <c r="E5" s="471"/>
      <c r="F5" s="482"/>
      <c r="G5" s="471"/>
      <c r="H5" s="482"/>
      <c r="I5" s="471"/>
      <c r="J5" s="482"/>
      <c r="K5" s="471"/>
      <c r="L5" s="482"/>
      <c r="M5" s="471"/>
      <c r="N5" s="384"/>
      <c r="O5" s="384"/>
      <c r="P5" s="385"/>
      <c r="Q5" s="588"/>
      <c r="R5" s="385"/>
      <c r="S5" s="385"/>
      <c r="T5" s="385"/>
      <c r="U5" s="385"/>
      <c r="V5" s="385"/>
      <c r="W5" s="385"/>
      <c r="X5" s="385"/>
      <c r="Y5" s="385"/>
      <c r="Z5" s="385"/>
      <c r="AA5" s="385"/>
      <c r="AB5" s="385"/>
      <c r="AC5" s="385"/>
      <c r="AD5" s="385"/>
      <c r="AE5" s="385"/>
      <c r="AF5" s="385"/>
      <c r="AG5" s="385"/>
      <c r="AH5" s="385"/>
      <c r="AI5" s="385"/>
      <c r="AJ5" s="385"/>
      <c r="AK5" s="385"/>
      <c r="AL5" s="385"/>
      <c r="AM5" s="385"/>
      <c r="AN5" s="385"/>
      <c r="AO5" s="385"/>
      <c r="AP5" s="385"/>
      <c r="AQ5" s="385"/>
      <c r="AR5" s="385"/>
      <c r="AS5" s="385"/>
      <c r="AT5" s="385"/>
      <c r="AU5" s="385"/>
      <c r="AV5" s="385"/>
      <c r="AW5" s="385"/>
      <c r="AX5" s="385"/>
      <c r="AY5" s="385"/>
      <c r="AZ5" s="385"/>
    </row>
    <row r="6" spans="1:52" s="361" customFormat="1" ht="17.25" customHeight="1" x14ac:dyDescent="0.3">
      <c r="A6" s="386" t="e" vm="1">
        <f>+D91</f>
        <v>#VALUE!</v>
      </c>
      <c r="B6" s="387" t="str" cm="1">
        <f t="array" aca="1" ref="B6" ca="1">IFERROR(_FV(A6,"Name"),"")</f>
        <v>D-WAVE QUANTUM INC.</v>
      </c>
      <c r="C6" s="388" t="str" cm="1">
        <f t="array" aca="1" ref="C6" ca="1">IFERROR(_FV(A6,"Ticker symbol",TRUE),"")</f>
        <v>QBTS</v>
      </c>
      <c r="D6" s="472">
        <f>IFERROR(D94/D93-1,"")</f>
        <v>0.22096751707793105</v>
      </c>
      <c r="E6" s="473">
        <f>IFERROR(D97/D94-1,"")</f>
        <v>7.8785110755881238E-3</v>
      </c>
      <c r="F6" s="483">
        <f>IFERROR(D95/D94,"")</f>
        <v>-8.6118976935373368</v>
      </c>
      <c r="G6" s="484">
        <f>IFERROR(D100/D97,"")</f>
        <v>-7.8502322419848189</v>
      </c>
      <c r="H6" s="490">
        <f>IFERROR(D96/D94,"")</f>
        <v>-9.4445078785110752</v>
      </c>
      <c r="I6" s="473">
        <f>IFERROR(D105/D97,"")</f>
        <v>-16.299875382349608</v>
      </c>
      <c r="J6" s="520" cm="1">
        <f t="array" aca="1" ref="J6" ca="1">IFERROR((_FV(A6,"Market cap",TRUE)/1000000+D$121-D$111)/D$94,"")</f>
        <v>-14.975467913907284</v>
      </c>
      <c r="K6" s="521" cm="1">
        <f t="array" aca="1" ref="K6" ca="1">IFERROR((_FV(A6,"Market cap",TRUE)/1000000+D$121-D$111)/D$97,"")</f>
        <v>-14.858405799252294</v>
      </c>
      <c r="L6" s="522" cm="1">
        <f t="array" aca="1" ref="L6" ca="1">+IFERROR((_FV(A6,"Market cap",TRUE)/1000000+D$121-D$111)/D$95,"")</f>
        <v>1.738927754000769</v>
      </c>
      <c r="M6" s="523" cm="1">
        <f t="array" aca="1" ref="M6" ca="1">IFERROR((_FV(A6,"Market cap",TRUE)/1000000+D$121-D$111)/D$100,"")</f>
        <v>1.892734551187693</v>
      </c>
      <c r="N6" s="524" cm="1">
        <f t="array" aca="1" ref="N6" ca="1">IFERROR((_FV(A6,"Market cap",TRUE)/1000000)/D$96,"")</f>
        <v>-0.10213204388563139</v>
      </c>
      <c r="O6" s="525" cm="1">
        <f t="array" aca="1" ref="O6" ca="1">IFERROR((_FV(A6,"Market cap",TRUE)/1000000)/D$105,"")</f>
        <v>-5.8714975847760968E-2</v>
      </c>
      <c r="P6" s="390"/>
      <c r="Q6" s="588"/>
      <c r="R6" s="393"/>
      <c r="S6" s="394"/>
      <c r="T6" s="393"/>
      <c r="U6" s="393"/>
      <c r="V6" s="394"/>
      <c r="W6" s="393"/>
      <c r="X6" s="393"/>
      <c r="Y6" s="393"/>
      <c r="Z6" s="393"/>
      <c r="AA6" s="393"/>
      <c r="AB6" s="394"/>
      <c r="AC6" s="394"/>
      <c r="AD6" s="389"/>
      <c r="AE6" s="389"/>
      <c r="AF6" s="389"/>
      <c r="AG6" s="389"/>
      <c r="AH6" s="389"/>
      <c r="AI6" s="394"/>
      <c r="AJ6" s="394"/>
      <c r="AK6" s="394"/>
      <c r="AL6" s="395"/>
      <c r="AM6" s="396"/>
      <c r="AN6" s="397"/>
      <c r="AO6" s="394"/>
      <c r="AP6" s="394"/>
    </row>
    <row r="7" spans="1:52" ht="3.75" customHeight="1" x14ac:dyDescent="0.3">
      <c r="A7" s="386"/>
      <c r="B7" s="398"/>
      <c r="C7" s="399"/>
      <c r="E7" s="474"/>
      <c r="F7" s="485"/>
      <c r="G7" s="486"/>
      <c r="H7" s="491"/>
      <c r="I7" s="492"/>
      <c r="J7" s="491"/>
      <c r="K7" s="492"/>
      <c r="L7" s="505"/>
      <c r="M7" s="506"/>
      <c r="N7" s="403"/>
      <c r="O7" s="404"/>
      <c r="P7" s="401"/>
      <c r="Q7" s="401"/>
      <c r="R7" s="405"/>
      <c r="S7" s="404"/>
      <c r="T7" s="405"/>
      <c r="U7" s="405"/>
      <c r="V7" s="404"/>
      <c r="W7" s="405"/>
      <c r="X7" s="405"/>
      <c r="Y7" s="405"/>
      <c r="Z7" s="405"/>
      <c r="AA7" s="405"/>
      <c r="AB7" s="404"/>
      <c r="AC7" s="404"/>
      <c r="AD7" s="400"/>
      <c r="AE7" s="400"/>
      <c r="AF7" s="400"/>
      <c r="AG7" s="400"/>
      <c r="AH7" s="400"/>
      <c r="AI7" s="404"/>
      <c r="AJ7" s="404"/>
      <c r="AK7" s="404"/>
      <c r="AL7" s="406"/>
      <c r="AM7" s="407"/>
      <c r="AN7" s="408"/>
      <c r="AO7" s="404"/>
      <c r="AP7" s="404"/>
    </row>
    <row r="8" spans="1:52" s="355" customFormat="1" ht="17.25" customHeight="1" x14ac:dyDescent="0.3">
      <c r="A8" s="386" t="e" vm="2">
        <f>+E91</f>
        <v>#VALUE!</v>
      </c>
      <c r="B8" s="387" t="s">
        <v>157</v>
      </c>
      <c r="C8" s="388" t="s">
        <v>200</v>
      </c>
      <c r="D8" s="475">
        <f>+IFERROR(E94/E93-1,"")</f>
        <v>0.98023537867217669</v>
      </c>
      <c r="E8" s="476">
        <f>IFERROR(E97/E94-1,"")</f>
        <v>0.9541330187823247</v>
      </c>
      <c r="F8" s="487">
        <f>IFERROR(E95/E94,"")</f>
        <v>-6.686280736775247</v>
      </c>
      <c r="G8" s="476">
        <f>+IFERROR(E100/E97,"")</f>
        <v>-4.9636895502983309</v>
      </c>
      <c r="H8" s="487">
        <f>IFERROR(E96/E94,"")</f>
        <v>-7.1577443063242896</v>
      </c>
      <c r="I8" s="476">
        <f>+IFERROR(E105/E97,"")</f>
        <v>-7.6996494323590188</v>
      </c>
      <c r="J8" s="497" cm="1">
        <f t="array" aca="1" ref="J8" ca="1">IFERROR((_FV(A8,"Capitalização de mercado",TRUE)/1000000+E$121-E$111)/E$94,"")</f>
        <v>-0.76277398983758282</v>
      </c>
      <c r="K8" s="498" cm="1">
        <f t="array" aca="1" ref="K8" ca="1">IFERROR(+(_FV(A8,"Capitalização de mercado",TRUE)/1000000+E$121-E$111)/E$97,"")</f>
        <v>-0.39033882673600634</v>
      </c>
      <c r="L8" s="503" cm="1">
        <f t="array" aca="1" ref="L8" ca="1">IFERROR(+(_FV(A8,"Capitalização de mercado",TRUE)/1000000+E$121-E$111)/E$95,"")</f>
        <v>0.11408046115118164</v>
      </c>
      <c r="M8" s="504" cm="1">
        <f t="array" aca="1" ref="M8" ca="1">IFERROR(+(_FV(A8,"Capitalização de mercado",TRUE)/1000000+E$121-E$111)/E$100,"")</f>
        <v>7.8638847732236991E-2</v>
      </c>
      <c r="N8" s="392" cm="1">
        <f t="array" aca="1" ref="N8" ca="1">IFERROR(+(_FV(A8,"Capitalização de mercado",TRUE)/1000000)/E$96,"")</f>
        <v>-0.12584654794607375</v>
      </c>
      <c r="O8" s="391" cm="1">
        <f t="array" aca="1" ref="O8" ca="1">IFERROR(+(_FV(A8,"Capitalização de mercado",TRUE)/1000000)/E$105,"")</f>
        <v>-5.9867677729634222E-2</v>
      </c>
      <c r="P8" s="390"/>
      <c r="Q8" s="390"/>
      <c r="R8" s="393"/>
      <c r="S8" s="394"/>
      <c r="T8" s="393"/>
      <c r="U8" s="393"/>
      <c r="V8" s="394"/>
      <c r="W8" s="393"/>
      <c r="X8" s="393"/>
      <c r="Y8" s="393"/>
      <c r="Z8" s="393"/>
      <c r="AA8" s="393"/>
      <c r="AB8" s="394"/>
      <c r="AC8" s="394"/>
      <c r="AD8" s="389"/>
      <c r="AE8" s="389"/>
      <c r="AF8" s="389"/>
      <c r="AG8" s="389"/>
      <c r="AH8" s="389"/>
      <c r="AI8" s="394"/>
      <c r="AJ8" s="394"/>
      <c r="AK8" s="394"/>
      <c r="AL8" s="395"/>
      <c r="AM8" s="396"/>
      <c r="AN8" s="397"/>
      <c r="AO8" s="394"/>
      <c r="AP8" s="394"/>
      <c r="AQ8" s="386"/>
      <c r="AR8" s="386"/>
      <c r="AS8" s="386"/>
      <c r="AT8" s="386"/>
      <c r="AU8" s="386"/>
      <c r="AV8" s="386"/>
      <c r="AW8" s="386"/>
      <c r="AX8" s="386"/>
      <c r="AY8" s="386"/>
      <c r="AZ8" s="386"/>
    </row>
    <row r="9" spans="1:52" s="355" customFormat="1" ht="17.25" customHeight="1" x14ac:dyDescent="0.3">
      <c r="A9" s="409" t="e" vm="3">
        <f>+F91</f>
        <v>#VALUE!</v>
      </c>
      <c r="B9" s="119" t="s">
        <v>158</v>
      </c>
      <c r="C9" s="388" t="s">
        <v>201</v>
      </c>
      <c r="D9" s="475">
        <f>IFERROR(F94/F93-1,"")</f>
        <v>-8.3498702488169707E-2</v>
      </c>
      <c r="E9" s="476">
        <f>IFERROR(F97/F94-1,"")</f>
        <v>-0.10143237841439046</v>
      </c>
      <c r="F9" s="487">
        <f>IFERROR(F95/F94,"")</f>
        <v>-5.1550632911392409</v>
      </c>
      <c r="G9" s="476">
        <f>IFERROR(F100/F97,"")</f>
        <v>-17.685542168674697</v>
      </c>
      <c r="H9" s="487">
        <f>IFERROR(F96/F94,"")</f>
        <v>-6.2547468354430382</v>
      </c>
      <c r="I9" s="476">
        <f>+IFERROR(F105/F97,"")</f>
        <v>-18.627247451343838</v>
      </c>
      <c r="J9" s="497" cm="1">
        <f t="array" aca="1" ref="J9" ca="1">IFERROR((_FV(A9,"Capitalização de mercado",TRUE)/1000000+E$121-E$111)/E$94,"")</f>
        <v>-1.2254386485799837</v>
      </c>
      <c r="K9" s="498" cm="1">
        <f t="array" aca="1" ref="K9" ca="1">IFERROR(+(_FV(A9,"Capitalização de mercado",TRUE)/1000000+E$121-E$111)/E$97,"")</f>
        <v>-0.6271009377568314</v>
      </c>
      <c r="L9" s="503" cm="1">
        <f t="array" aca="1" ref="L9" ca="1">IFERROR(+(_FV(A9,"Capitalização de mercado",TRUE)/1000000+E$121-E$111)/E$95,"")</f>
        <v>0.18327657734141228</v>
      </c>
      <c r="M9" s="504" cm="1">
        <f t="array" aca="1" ref="M9" ca="1">IFERROR(+(_FV(A9,"Capitalização de mercado",TRUE)/1000000+E$121-E$111)/E$100,"")</f>
        <v>0.12633766302309157</v>
      </c>
      <c r="N9" s="392" cm="1">
        <f t="array" aca="1" ref="N9" ca="1">IFERROR(+(_FV(A9,"Capitalização de mercado",TRUE)/1000000)/E$96,"")</f>
        <v>-6.1208215121917209E-2</v>
      </c>
      <c r="O9" s="391" cm="1">
        <f t="array" aca="1" ref="O9" ca="1">IFERROR(+(_FV(A9,"Capitalização de mercado",TRUE)/1000000)/E$105,"")</f>
        <v>-2.9117951641353609E-2</v>
      </c>
      <c r="P9" s="390"/>
      <c r="Q9" s="390"/>
      <c r="R9" s="393"/>
      <c r="S9" s="394"/>
      <c r="T9" s="393"/>
      <c r="U9" s="393"/>
      <c r="V9" s="394"/>
      <c r="W9" s="393"/>
      <c r="X9" s="393"/>
      <c r="Y9" s="393"/>
      <c r="Z9" s="393"/>
      <c r="AA9" s="393"/>
      <c r="AB9" s="394"/>
      <c r="AC9" s="394"/>
      <c r="AD9" s="389"/>
      <c r="AE9" s="389"/>
      <c r="AF9" s="389"/>
      <c r="AG9" s="389"/>
      <c r="AH9" s="389"/>
      <c r="AI9" s="394"/>
      <c r="AJ9" s="394"/>
      <c r="AK9" s="394"/>
      <c r="AL9" s="395"/>
      <c r="AM9" s="396"/>
      <c r="AN9" s="397"/>
      <c r="AO9" s="394"/>
      <c r="AP9" s="394"/>
      <c r="AQ9" s="386"/>
      <c r="AR9" s="386"/>
      <c r="AS9" s="386"/>
      <c r="AT9" s="386"/>
      <c r="AU9" s="386"/>
      <c r="AV9" s="386"/>
      <c r="AW9" s="386"/>
      <c r="AX9" s="386"/>
      <c r="AY9" s="386"/>
      <c r="AZ9" s="386"/>
    </row>
    <row r="10" spans="1:52" s="355" customFormat="1" ht="17.25" customHeight="1" x14ac:dyDescent="0.3">
      <c r="A10" s="409" t="e" vm="4">
        <f>+G91</f>
        <v>#VALUE!</v>
      </c>
      <c r="B10" s="387" t="s">
        <v>159</v>
      </c>
      <c r="C10" s="388" t="s">
        <v>202</v>
      </c>
      <c r="D10" s="475">
        <f>+IFERROR(G94/G93-1,"")</f>
        <v>1.6323529411764706</v>
      </c>
      <c r="E10" s="476">
        <f>+IFERROR(G97/G94-1,"")</f>
        <v>4.1899441340782051E-2</v>
      </c>
      <c r="F10" s="487">
        <f>IFERROR(G95/G94,"")</f>
        <v>-71.005586592178773</v>
      </c>
      <c r="G10" s="476">
        <f>IFERROR(G100/G97,"")</f>
        <v>-166.88471849865951</v>
      </c>
      <c r="H10" s="487">
        <f>IFERROR(G96/G94,"")</f>
        <v>-75.480446927374302</v>
      </c>
      <c r="I10" s="476">
        <f>+IFERROR(G105/G97,"")</f>
        <v>-183.75871313672923</v>
      </c>
      <c r="J10" s="497" cm="1">
        <f t="array" aca="1" ref="J10" ca="1">IFERROR((_FV(A10,"Capitalização de mercado",TRUE)/1000000+E$121-E$111)/E$94,"")</f>
        <v>-1.507572965021323</v>
      </c>
      <c r="K10" s="498" cm="1">
        <f t="array" aca="1" ref="K10" ca="1">IFERROR(+(_FV(A10,"Capitalização de mercado",TRUE)/1000000+E$121-E$111)/E$97,"")</f>
        <v>-0.77147919334617976</v>
      </c>
      <c r="L10" s="503" cm="1">
        <f t="array" aca="1" ref="L10" ca="1">IFERROR(+(_FV(A10,"Capitalização de mercado",TRUE)/1000000+E$121-E$111)/E$95,"")</f>
        <v>0.22547257950589975</v>
      </c>
      <c r="M10" s="504" cm="1">
        <f t="array" aca="1" ref="M10" ca="1">IFERROR(+(_FV(A10,"Capitalização de mercado",TRUE)/1000000+E$121-E$111)/E$100,"")</f>
        <v>0.15542454569903788</v>
      </c>
      <c r="N10" s="392" cm="1">
        <f t="array" aca="1" ref="N10" ca="1">IFERROR(+(_FV(A10,"Capitalização de mercado",TRUE)/1000000)/E$96,"")</f>
        <v>-2.1791563119965014E-2</v>
      </c>
      <c r="O10" s="391" cm="1">
        <f t="array" aca="1" ref="O10" ca="1">IFERROR(+(_FV(A10,"Capitalização de mercado",TRUE)/1000000)/E$105,"")</f>
        <v>-1.0366675124454616E-2</v>
      </c>
      <c r="P10" s="390"/>
      <c r="Q10" s="390"/>
      <c r="R10" s="390"/>
      <c r="S10" s="394"/>
      <c r="T10" s="393"/>
      <c r="U10" s="393"/>
      <c r="V10" s="394"/>
      <c r="W10" s="393"/>
      <c r="X10" s="393"/>
      <c r="Y10" s="393"/>
      <c r="Z10" s="393"/>
      <c r="AA10" s="393"/>
      <c r="AB10" s="394"/>
      <c r="AC10" s="394"/>
      <c r="AD10" s="389"/>
      <c r="AE10" s="389"/>
      <c r="AF10" s="389"/>
      <c r="AG10" s="389"/>
      <c r="AH10" s="389"/>
      <c r="AI10" s="394"/>
      <c r="AJ10" s="394"/>
      <c r="AK10" s="394"/>
      <c r="AL10" s="395"/>
      <c r="AM10" s="396"/>
      <c r="AN10" s="397"/>
      <c r="AO10" s="394"/>
      <c r="AP10" s="394"/>
      <c r="AQ10" s="386"/>
      <c r="AR10" s="386"/>
      <c r="AS10" s="386"/>
      <c r="AT10" s="386"/>
      <c r="AU10" s="386"/>
      <c r="AV10" s="386"/>
      <c r="AW10" s="386"/>
      <c r="AX10" s="386"/>
      <c r="AY10" s="386"/>
      <c r="AZ10" s="386"/>
    </row>
    <row r="11" spans="1:52" s="355" customFormat="1" ht="17.25" customHeight="1" x14ac:dyDescent="0.3">
      <c r="A11" s="409" t="str">
        <f>+H91</f>
        <v>PEER 4</v>
      </c>
      <c r="B11" s="387" t="str" cm="1">
        <f t="array" ref="B11">IFERROR(_FV(A11,"Name"),"")</f>
        <v/>
      </c>
      <c r="C11" s="388" t="str" cm="1">
        <f t="array" ref="C11">IFERROR(_FV(A11,"Ticker symbol",TRUE),"")</f>
        <v/>
      </c>
      <c r="D11" s="475" t="str">
        <f>IFERROR(H94/H93-1,"")</f>
        <v/>
      </c>
      <c r="E11" s="476" t="str">
        <f>IFERROR(H97/H94-1,"")</f>
        <v/>
      </c>
      <c r="F11" s="487" t="str">
        <f>IFERROR(H95/H94,"")</f>
        <v/>
      </c>
      <c r="G11" s="476" t="str">
        <f>IFERROR(H100/H97,"")</f>
        <v/>
      </c>
      <c r="H11" s="487" t="str">
        <f>IFERROR(H96/H94,"")</f>
        <v/>
      </c>
      <c r="I11" s="476" t="str">
        <f>+IFERROR(H105/H102,"")</f>
        <v/>
      </c>
      <c r="J11" s="497" t="str" cm="1">
        <f t="array" ref="J11">IFERROR((_FV(A11,"Market cap",TRUE)/1000000+H$121-H$111)/H$94,"")</f>
        <v/>
      </c>
      <c r="K11" s="498" t="str" cm="1">
        <f t="array" ref="K11">IFERROR(+(_FV(A11,"Market cap",TRUE)/1000000+H$121-H$111)/H$97,"")</f>
        <v/>
      </c>
      <c r="L11" s="503" t="str" cm="1">
        <f t="array" ref="L11">IFERROR(+(_FV(A11,"Market cap",TRUE)/1000000+H$121-H$111)/H$95,"")</f>
        <v/>
      </c>
      <c r="M11" s="504" t="str" cm="1">
        <f t="array" ref="M11">IFERROR(+(_FV(A11,"Market cap",TRUE)/1000000+H$121-H$111)/H$100,"")</f>
        <v/>
      </c>
      <c r="N11" s="392" t="str" cm="1">
        <f t="array" ref="N11">IFERROR(+(_FV(A11,"Market cap",TRUE)/1000000)/H$96,"")</f>
        <v/>
      </c>
      <c r="O11" s="391" t="str" cm="1">
        <f t="array" ref="O11">IFERROR(+(_FV(A11,"Market cap",TRUE)/1000000)/H$105,"")</f>
        <v/>
      </c>
      <c r="P11" s="390"/>
      <c r="Q11" s="390"/>
      <c r="R11" s="390"/>
      <c r="S11" s="394"/>
      <c r="T11" s="393"/>
      <c r="U11" s="393"/>
      <c r="V11" s="394"/>
      <c r="W11" s="393"/>
      <c r="X11" s="393"/>
      <c r="Y11" s="393"/>
      <c r="Z11" s="393"/>
      <c r="AA11" s="393"/>
      <c r="AB11" s="394"/>
      <c r="AC11" s="394"/>
      <c r="AD11" s="389"/>
      <c r="AE11" s="389"/>
      <c r="AF11" s="389"/>
      <c r="AG11" s="389"/>
      <c r="AH11" s="389"/>
      <c r="AI11" s="394"/>
      <c r="AJ11" s="394"/>
      <c r="AK11" s="394"/>
      <c r="AL11" s="395"/>
      <c r="AM11" s="396"/>
      <c r="AN11" s="397"/>
      <c r="AO11" s="394"/>
      <c r="AP11" s="394"/>
      <c r="AQ11" s="386"/>
      <c r="AR11" s="386"/>
      <c r="AS11" s="386"/>
      <c r="AT11" s="386"/>
      <c r="AU11" s="386"/>
      <c r="AV11" s="386"/>
      <c r="AW11" s="386"/>
      <c r="AX11" s="386"/>
      <c r="AY11" s="386"/>
      <c r="AZ11" s="386"/>
    </row>
    <row r="12" spans="1:52" s="355" customFormat="1" ht="17.25" customHeight="1" x14ac:dyDescent="0.3">
      <c r="A12" s="409" t="str">
        <f>+I91</f>
        <v>PEER 5</v>
      </c>
      <c r="B12" s="387" t="str" cm="1">
        <f t="array" ref="B12">IFERROR(_FV(A12,"Name"),"")</f>
        <v/>
      </c>
      <c r="C12" s="388" t="str" cm="1">
        <f t="array" ref="C12">IFERROR(_FV(A12,"Ticker symbol",TRUE),"")</f>
        <v/>
      </c>
      <c r="D12" s="475" t="str">
        <f>+IFERROR(I94/I93-1,"")</f>
        <v/>
      </c>
      <c r="E12" s="476" t="str">
        <f>IFERROR(I97/I94-1,"")</f>
        <v/>
      </c>
      <c r="F12" s="487" t="str">
        <f>IFERROR(I95/I94,"")</f>
        <v/>
      </c>
      <c r="G12" s="476" t="str">
        <f>IFERROR(I100/I97,"")</f>
        <v/>
      </c>
      <c r="H12" s="487" t="str">
        <f>IFERROR(I96/I94,"")</f>
        <v/>
      </c>
      <c r="I12" s="476" t="str">
        <f>+IFERROR(I105/I97,"")</f>
        <v/>
      </c>
      <c r="J12" s="497" t="str" cm="1">
        <f t="array" ref="J12">IFERROR((_FV(A12,"Market cap",TRUE)/1000000+I$121-I$111)/I$94,"")</f>
        <v/>
      </c>
      <c r="K12" s="498" t="str" cm="1">
        <f t="array" ref="K12">IFERROR(+(_FV(A12,"Market cap",TRUE)/1000000+I$121-I$111)/I$97,"")</f>
        <v/>
      </c>
      <c r="L12" s="503" t="str" cm="1">
        <f t="array" ref="L12">IFERROR(+(_FV(A12,"Market cap",TRUE)/1000000+I$121-I$111)/I$95,"")</f>
        <v/>
      </c>
      <c r="M12" s="504" t="str" cm="1">
        <f t="array" ref="M12">IFERROR(+(_FV(A12,"Market cap",TRUE)/1000000+I$121-I$111)/I$100,"")</f>
        <v/>
      </c>
      <c r="N12" s="392" t="str" cm="1">
        <f t="array" ref="N12">IFERROR(+(_FV(A12,"Market cap",TRUE)/1000000)/I$96,"")</f>
        <v/>
      </c>
      <c r="O12" s="391" t="str" cm="1">
        <f t="array" ref="O12">IFERROR(+(_FV(A12,"Market cap",TRUE)/1000000)/I$105,"")</f>
        <v/>
      </c>
      <c r="P12" s="390"/>
      <c r="Q12" s="390"/>
      <c r="R12" s="390"/>
      <c r="S12" s="394"/>
      <c r="T12" s="393"/>
      <c r="U12" s="393"/>
      <c r="V12" s="394"/>
      <c r="W12" s="393"/>
      <c r="X12" s="393"/>
      <c r="Y12" s="393"/>
      <c r="Z12" s="393"/>
      <c r="AA12" s="393"/>
      <c r="AB12" s="394"/>
      <c r="AC12" s="394"/>
      <c r="AD12" s="389"/>
      <c r="AE12" s="389"/>
      <c r="AF12" s="389"/>
      <c r="AG12" s="389"/>
      <c r="AH12" s="389"/>
      <c r="AI12" s="394"/>
      <c r="AJ12" s="394"/>
      <c r="AK12" s="394"/>
      <c r="AL12" s="395"/>
      <c r="AM12" s="396"/>
      <c r="AN12" s="397"/>
      <c r="AO12" s="394"/>
      <c r="AP12" s="394"/>
      <c r="AQ12" s="386"/>
      <c r="AR12" s="386"/>
      <c r="AS12" s="386"/>
      <c r="AT12" s="386"/>
      <c r="AU12" s="386"/>
      <c r="AV12" s="386"/>
      <c r="AW12" s="386"/>
      <c r="AX12" s="386"/>
      <c r="AY12" s="386"/>
      <c r="AZ12" s="386"/>
    </row>
    <row r="13" spans="1:52" s="355" customFormat="1" ht="17.149999999999999" customHeight="1" x14ac:dyDescent="0.3">
      <c r="A13" s="409" t="str">
        <f>+J91</f>
        <v>PEER 6</v>
      </c>
      <c r="B13" s="387" t="str" cm="1">
        <f t="array" ref="B13">IFERROR(_FV(A13,"Name"),"")</f>
        <v/>
      </c>
      <c r="C13" s="388" t="str" cm="1">
        <f t="array" ref="C13">IFERROR(_FV(A13,"Ticker symbol",TRUE),"")</f>
        <v/>
      </c>
      <c r="D13" s="475" t="str">
        <f>IFERROR(J94/J93-1,"")</f>
        <v/>
      </c>
      <c r="E13" s="476" t="str">
        <f>IFERROR(J97/J94-1,"")</f>
        <v/>
      </c>
      <c r="F13" s="784"/>
      <c r="G13" s="476" t="str">
        <f>IFERROR(J100/J97,"")</f>
        <v/>
      </c>
      <c r="H13" s="493" t="str">
        <f>IFERROR(J96/J94,"")</f>
        <v/>
      </c>
      <c r="I13" s="476" t="str">
        <f>+IFERROR(J105/J97,"")</f>
        <v/>
      </c>
      <c r="J13" s="497" t="str" cm="1">
        <f t="array" ref="J13">IFERROR(+(_FV(A13,"Market cap",TRUE)/1000000+J$121-J$111)/J$94,"")</f>
        <v/>
      </c>
      <c r="K13" s="498" t="str" cm="1">
        <f t="array" ref="K13">IFERROR(+(_FV(A13,"Market cap",TRUE)/1000000+J$121-J$111)/J$97,"")</f>
        <v/>
      </c>
      <c r="L13" s="503" t="str" cm="1">
        <f t="array" ref="L13">IFERROR(+(_FV(A13,"Market cap",TRUE)/1000000+J$121-J$111)/J$95,"")</f>
        <v/>
      </c>
      <c r="M13" s="504" t="str" cm="1">
        <f t="array" ref="M13">IFERROR(+(_FV(A13,"Market cap",TRUE)/1000000+J$121-J$111)/J$100,"")</f>
        <v/>
      </c>
      <c r="N13" s="392" t="str" cm="1">
        <f t="array" ref="N13">IFERROR(+(_FV(A13,"Market cap",TRUE)/1000000)/J$96,"")</f>
        <v/>
      </c>
      <c r="O13" s="391" t="str" cm="1">
        <f t="array" ref="O13">IFERROR(+(_FV(A13,"Market cap",TRUE)/1000000)/J$105,"")</f>
        <v/>
      </c>
      <c r="P13" s="390"/>
      <c r="Q13" s="390"/>
      <c r="R13" s="390"/>
      <c r="S13" s="394"/>
      <c r="T13" s="393"/>
      <c r="U13" s="393"/>
      <c r="V13" s="394"/>
      <c r="W13" s="393"/>
      <c r="X13" s="393"/>
      <c r="Y13" s="393"/>
      <c r="Z13" s="393"/>
      <c r="AA13" s="393"/>
      <c r="AB13" s="394"/>
      <c r="AC13" s="394"/>
      <c r="AD13" s="389"/>
      <c r="AE13" s="389"/>
      <c r="AF13" s="389"/>
      <c r="AG13" s="389"/>
      <c r="AH13" s="389"/>
      <c r="AI13" s="394"/>
      <c r="AJ13" s="394"/>
      <c r="AK13" s="394"/>
      <c r="AL13" s="395"/>
      <c r="AM13" s="396"/>
      <c r="AN13" s="397"/>
      <c r="AO13" s="394"/>
      <c r="AP13" s="394"/>
      <c r="AQ13" s="386"/>
      <c r="AR13" s="386"/>
      <c r="AS13" s="386"/>
      <c r="AT13" s="386"/>
      <c r="AU13" s="386"/>
      <c r="AV13" s="386"/>
      <c r="AW13" s="386"/>
      <c r="AX13" s="386"/>
      <c r="AY13" s="386"/>
      <c r="AZ13" s="386"/>
    </row>
    <row r="14" spans="1:52" s="355" customFormat="1" ht="17.25" customHeight="1" x14ac:dyDescent="0.3">
      <c r="A14" s="409" t="str">
        <f>+K91</f>
        <v>PEER 7</v>
      </c>
      <c r="B14" s="387" t="str" cm="1">
        <f t="array" ref="B14">IFERROR(_FV(A14,"Name"),"")</f>
        <v/>
      </c>
      <c r="C14" s="388" t="str" cm="1">
        <f t="array" ref="C14">IFERROR(_FV(A14,"Ticker symbol",TRUE),"")</f>
        <v/>
      </c>
      <c r="D14" s="475" t="str">
        <f>IFERROR(K94/K93-1,"")</f>
        <v/>
      </c>
      <c r="E14" s="476" t="str">
        <f>IFERROR(K97/K94-1,"")</f>
        <v/>
      </c>
      <c r="F14" s="487" t="str">
        <f>+IFERROR(K95/K94,"")</f>
        <v/>
      </c>
      <c r="G14" s="476" t="str">
        <f>IFERROR(K100/K97,"")</f>
        <v/>
      </c>
      <c r="H14" s="493" t="str">
        <f>IFERROR(K96/K94,"")</f>
        <v/>
      </c>
      <c r="I14" s="476" t="str">
        <f>+IFERROR(K105/K97,"")</f>
        <v/>
      </c>
      <c r="J14" s="497" t="str" cm="1">
        <f t="array" ref="J14">IFERROR((_FV(A14,"Market cap",TRUE)/1000000+D$121-K$111)/K$94,"")</f>
        <v/>
      </c>
      <c r="K14" s="498" t="str" cm="1">
        <f t="array" ref="K14">IFERROR(+(_FV(A14,"Market cap",TRUE)/1000000+D$121-K$111)/K$97,"")</f>
        <v/>
      </c>
      <c r="L14" s="503" t="str" cm="1">
        <f t="array" ref="L14">IFERROR(+(_FV(A14,"Market cap",TRUE)/1000000+D$121-K$111)/K$95,"")</f>
        <v/>
      </c>
      <c r="M14" s="504" t="str" cm="1">
        <f t="array" ref="M14">IFERROR(+(_FV(A14,"Market cap",TRUE)/1000000+D$121-K$111)/K$100,"")</f>
        <v/>
      </c>
      <c r="N14" s="392" t="str" cm="1">
        <f t="array" ref="N14">IFERROR(+(_FV(A14,"Market cap",TRUE)/1000000)/K$96,"")</f>
        <v/>
      </c>
      <c r="O14" s="391" t="str" cm="1">
        <f t="array" ref="O14">IFERROR(+(_FV(A14,"Market cap",TRUE)/1000000)/K$105,"")</f>
        <v/>
      </c>
      <c r="P14" s="390"/>
      <c r="Q14" s="390"/>
      <c r="R14" s="390"/>
      <c r="S14" s="394"/>
      <c r="T14" s="393"/>
      <c r="U14" s="393"/>
      <c r="V14" s="394"/>
      <c r="W14" s="393"/>
      <c r="X14" s="393"/>
      <c r="Y14" s="393"/>
      <c r="Z14" s="393"/>
      <c r="AA14" s="393"/>
      <c r="AB14" s="394"/>
      <c r="AC14" s="394"/>
      <c r="AD14" s="389"/>
      <c r="AE14" s="389"/>
      <c r="AF14" s="389"/>
      <c r="AG14" s="389"/>
      <c r="AH14" s="389"/>
      <c r="AI14" s="394"/>
      <c r="AJ14" s="394"/>
      <c r="AK14" s="394"/>
      <c r="AL14" s="395"/>
      <c r="AM14" s="396"/>
      <c r="AN14" s="397"/>
      <c r="AO14" s="394"/>
      <c r="AP14" s="394"/>
      <c r="AQ14" s="386"/>
      <c r="AR14" s="386"/>
      <c r="AS14" s="386"/>
      <c r="AT14" s="386"/>
      <c r="AU14" s="386"/>
      <c r="AV14" s="386"/>
      <c r="AW14" s="386"/>
      <c r="AX14" s="386"/>
      <c r="AY14" s="386"/>
      <c r="AZ14" s="386"/>
    </row>
    <row r="15" spans="1:52" s="355" customFormat="1" ht="17.25" customHeight="1" x14ac:dyDescent="0.3">
      <c r="A15" s="409" t="str">
        <f>+L91</f>
        <v>PEER 8</v>
      </c>
      <c r="B15" s="387" t="str" cm="1">
        <f t="array" ref="B15">IFERROR(_FV(A15,"Name"),"")</f>
        <v/>
      </c>
      <c r="C15" s="388" t="str" cm="1">
        <f t="array" ref="C15">IFERROR(_FV(A15,"Ticker symbol",TRUE),"")</f>
        <v/>
      </c>
      <c r="D15" s="475" t="str">
        <f>+IFERROR(L94/L93,"")</f>
        <v/>
      </c>
      <c r="E15" s="476" t="str">
        <f>IFERROR(L97/L94,"")</f>
        <v/>
      </c>
      <c r="F15" s="487" t="str">
        <f>IFERROR(L95/L94,"")</f>
        <v/>
      </c>
      <c r="G15" s="476" t="str">
        <f>IFERROR(L100/L97,"")</f>
        <v/>
      </c>
      <c r="H15" s="493" t="str">
        <f>IFERROR(L96/L94,"")</f>
        <v/>
      </c>
      <c r="I15" s="476" t="str">
        <f>+IFERROR(L105/L97,"")</f>
        <v/>
      </c>
      <c r="J15" s="497" t="str" cm="1">
        <f t="array" ref="J15">IFERROR(+(_FV(A15,"Market cap",TRUE)/1000000+L$121-L$111)/L$94,"")</f>
        <v/>
      </c>
      <c r="K15" s="498" t="str" cm="1">
        <f t="array" ref="K15">IFERROR(+(_FV(A15,"Market cap",TRUE)/1000000+L$121-L$111)/L$97,"")</f>
        <v/>
      </c>
      <c r="L15" s="503" t="str" cm="1">
        <f t="array" ref="L15">IFERROR(+(_FV(A15,"Market cap",TRUE)/1000000+L$121-L$111)/L$95,"")</f>
        <v/>
      </c>
      <c r="M15" s="504" t="str" cm="1">
        <f t="array" ref="M15">IFERROR(+(_FV(A15,"Market cap",TRUE)/1000000+L$121-L$111)/L$100,"")</f>
        <v/>
      </c>
      <c r="N15" s="392" t="str" cm="1">
        <f t="array" ref="N15">IFERROR(+(_FV(A15,"Market cap",TRUE)/1000000)/L$96,"")</f>
        <v/>
      </c>
      <c r="O15" s="391" t="str" cm="1">
        <f t="array" ref="O15">IFERROR(+(_FV(A15,"Market cap",TRUE)/1000000)/L$105,"")</f>
        <v/>
      </c>
      <c r="P15" s="390"/>
      <c r="Q15" s="390"/>
      <c r="R15" s="390"/>
      <c r="S15" s="394"/>
      <c r="T15" s="393"/>
      <c r="U15" s="393"/>
      <c r="V15" s="394"/>
      <c r="W15" s="393"/>
      <c r="X15" s="393"/>
      <c r="Y15" s="393"/>
      <c r="Z15" s="393"/>
      <c r="AA15" s="393"/>
      <c r="AB15" s="394"/>
      <c r="AC15" s="394"/>
      <c r="AD15" s="389"/>
      <c r="AE15" s="389"/>
      <c r="AF15" s="389"/>
      <c r="AG15" s="389"/>
      <c r="AH15" s="389"/>
      <c r="AI15" s="394"/>
      <c r="AJ15" s="394"/>
      <c r="AK15" s="394"/>
      <c r="AL15" s="395"/>
      <c r="AM15" s="396"/>
      <c r="AN15" s="397"/>
      <c r="AO15" s="394"/>
      <c r="AP15" s="394"/>
      <c r="AQ15" s="386"/>
      <c r="AR15" s="386"/>
      <c r="AS15" s="386"/>
      <c r="AT15" s="386"/>
      <c r="AU15" s="386"/>
      <c r="AV15" s="386"/>
      <c r="AW15" s="386"/>
      <c r="AX15" s="386"/>
      <c r="AY15" s="386"/>
      <c r="AZ15" s="386"/>
    </row>
    <row r="16" spans="1:52" s="355" customFormat="1" ht="17.25" customHeight="1" x14ac:dyDescent="0.3">
      <c r="A16" s="409" t="str">
        <f>+M91</f>
        <v>PEER 9</v>
      </c>
      <c r="B16" s="387" t="str" cm="1">
        <f t="array" ref="B16">IFERROR(_FV(A16,"Name"),"")</f>
        <v/>
      </c>
      <c r="C16" s="388" t="str" cm="1">
        <f t="array" ref="C16">IFERROR(_FV(A16,"Ticker symbol",TRUE),"")</f>
        <v/>
      </c>
      <c r="D16" s="475" t="str">
        <f>IFERROR(M94/M93-1,"")</f>
        <v/>
      </c>
      <c r="E16" s="476" t="str">
        <f>IFERROR(M97/M94-1,"")</f>
        <v/>
      </c>
      <c r="F16" s="487" t="str">
        <f>IFERROR(M95/M94,"")</f>
        <v/>
      </c>
      <c r="G16" s="476" t="str">
        <f>IFERROR(M100/M97,"")</f>
        <v/>
      </c>
      <c r="H16" s="493" t="str">
        <f>IFERROR(M96/M94,"")</f>
        <v/>
      </c>
      <c r="I16" s="476" t="str">
        <f>+IFERROR(M105/M97,"")</f>
        <v/>
      </c>
      <c r="J16" s="497" t="str" cm="1">
        <f t="array" ref="J16">IFERROR(+(_FV(A16,"Market cap",TRUE)/1000000+M$121-M$111)/M$94,"")</f>
        <v/>
      </c>
      <c r="K16" s="498" t="str" cm="1">
        <f t="array" ref="K16">IFERROR(+(_FV(A16,"Market cap",TRUE)/1000000+M$121-M$111)/M$97,"")</f>
        <v/>
      </c>
      <c r="L16" s="503" t="str" cm="1">
        <f t="array" ref="L16">IFERROR(+(_FV(A16,"Market cap",TRUE)/1000000+M$121-M$111)/M$95,"")</f>
        <v/>
      </c>
      <c r="M16" s="504" t="str" cm="1">
        <f t="array" ref="M16">IFERROR(+(_FV(A16,"Market cap",TRUE)/1000000+M$121-M$111)/M$100,"")</f>
        <v/>
      </c>
      <c r="N16" s="392" t="str" cm="1">
        <f t="array" ref="N16">IFERROR(+(_FV(A16,"Market cap",TRUE)/1000000)/M$96,"")</f>
        <v/>
      </c>
      <c r="O16" s="391" t="str" cm="1">
        <f t="array" ref="O16">IFERROR(+(_FV(A16,"Market cap",TRUE)/1000000)/M$105,"")</f>
        <v/>
      </c>
      <c r="P16" s="390"/>
      <c r="Q16" s="390"/>
      <c r="R16" s="390"/>
      <c r="S16" s="394"/>
      <c r="T16" s="393"/>
      <c r="U16" s="393"/>
      <c r="V16" s="394"/>
      <c r="W16" s="393"/>
      <c r="X16" s="393"/>
      <c r="Y16" s="393"/>
      <c r="Z16" s="393"/>
      <c r="AA16" s="393"/>
      <c r="AB16" s="394"/>
      <c r="AC16" s="394"/>
      <c r="AD16" s="389"/>
      <c r="AE16" s="389"/>
      <c r="AF16" s="389"/>
      <c r="AG16" s="389"/>
      <c r="AH16" s="389"/>
      <c r="AI16" s="394"/>
      <c r="AJ16" s="394"/>
      <c r="AK16" s="394"/>
      <c r="AL16" s="395"/>
      <c r="AM16" s="396"/>
      <c r="AN16" s="397"/>
      <c r="AO16" s="394"/>
      <c r="AP16" s="394"/>
      <c r="AQ16" s="386"/>
      <c r="AR16" s="386"/>
      <c r="AS16" s="386"/>
      <c r="AT16" s="386"/>
      <c r="AU16" s="386"/>
      <c r="AV16" s="386"/>
      <c r="AW16" s="386"/>
      <c r="AX16" s="386"/>
      <c r="AY16" s="386"/>
      <c r="AZ16" s="386"/>
    </row>
    <row r="17" spans="1:42" s="355" customFormat="1" ht="17.25" customHeight="1" x14ac:dyDescent="0.3">
      <c r="A17" s="409" t="str">
        <f>+N91</f>
        <v>PEER 10</v>
      </c>
      <c r="B17" s="527" t="str" cm="1">
        <f t="array" ref="B17">IFERROR(_FV(A17,"Name"),"")</f>
        <v/>
      </c>
      <c r="C17" s="528" t="str" cm="1">
        <f t="array" ref="C17">+IFERROR(_FV(A17,"Ticker symbol",TRUE),"")</f>
        <v/>
      </c>
      <c r="D17" s="529" t="str">
        <f>IFERROR(N94/N93-1,"")</f>
        <v/>
      </c>
      <c r="E17" s="530" t="str">
        <f>IFERROR(N97/N94-1,"")</f>
        <v/>
      </c>
      <c r="F17" s="531" t="str">
        <f>IFERROR(N95/N94,"")</f>
        <v/>
      </c>
      <c r="G17" s="530" t="str">
        <f>IFERROR(N100/N97,"")</f>
        <v/>
      </c>
      <c r="H17" s="532" t="str">
        <f>IFERROR(N96/N94,"")</f>
        <v/>
      </c>
      <c r="I17" s="530" t="str">
        <f>+IFERROR(N105/N97,"")</f>
        <v/>
      </c>
      <c r="J17" s="533" t="str" cm="1">
        <f t="array" ref="J17">IFERROR(+(_FV(A17,"Market cap",TRUE)/1000000+N$121-N$111)/N$94,"")</f>
        <v/>
      </c>
      <c r="K17" s="534" t="str" cm="1">
        <f t="array" ref="K17">IFERROR(+(_FV(A17,"Market cap",TRUE)/1000000+N$121-N$111)/N$97,"")</f>
        <v/>
      </c>
      <c r="L17" s="535" t="str" cm="1">
        <f t="array" ref="L17">IFERROR(+(_FV(A17,"Market cap",TRUE)/1000000+N$121-N$111)/N$95,"")</f>
        <v/>
      </c>
      <c r="M17" s="536" t="str" cm="1">
        <f t="array" ref="M17">IFERROR(+(_FV(A17,"Market cap",TRUE)/1000000+N$121-N$111)/N$100,"")</f>
        <v/>
      </c>
      <c r="N17" s="537" t="str" cm="1">
        <f t="array" ref="N17">IFERROR(+(_FV(A17,"Market cap",TRUE)/1000000)/N$96,"")</f>
        <v/>
      </c>
      <c r="O17" s="538" t="str" cm="1">
        <f t="array" ref="O17">IFERROR(+(_FV(A17,"Market cap",TRUE)/1000000)/N$105,"")</f>
        <v/>
      </c>
      <c r="P17" s="390"/>
      <c r="Q17" s="390"/>
      <c r="R17" s="390"/>
      <c r="S17" s="394"/>
      <c r="T17" s="393"/>
      <c r="U17" s="393"/>
      <c r="V17" s="394"/>
      <c r="W17" s="393"/>
      <c r="X17" s="393"/>
      <c r="Y17" s="393"/>
      <c r="Z17" s="393"/>
      <c r="AA17" s="393"/>
      <c r="AB17" s="394"/>
      <c r="AC17" s="394"/>
      <c r="AD17" s="389"/>
      <c r="AE17" s="389"/>
      <c r="AF17" s="389"/>
      <c r="AG17" s="389"/>
      <c r="AH17" s="389"/>
      <c r="AI17" s="394"/>
      <c r="AJ17" s="394"/>
      <c r="AK17" s="394"/>
      <c r="AL17" s="395"/>
      <c r="AM17" s="396"/>
      <c r="AN17" s="397"/>
      <c r="AO17" s="394"/>
      <c r="AP17" s="394"/>
    </row>
    <row r="18" spans="1:42" s="352" customFormat="1" ht="15.75" customHeight="1" x14ac:dyDescent="0.3">
      <c r="A18" s="409"/>
      <c r="B18" s="354" t="s">
        <v>203</v>
      </c>
      <c r="C18" s="354"/>
      <c r="D18" s="477">
        <f t="shared" ref="D18:O18" si="0">IFERROR(AVERAGE(D6:D17),"")</f>
        <v>0.68751428360960221</v>
      </c>
      <c r="E18" s="478">
        <f t="shared" si="0"/>
        <v>0.22561964819607611</v>
      </c>
      <c r="F18" s="488">
        <f t="shared" si="0"/>
        <v>-22.864707078407648</v>
      </c>
      <c r="G18" s="478">
        <f t="shared" si="0"/>
        <v>-49.346045614904341</v>
      </c>
      <c r="H18" s="494">
        <f t="shared" si="0"/>
        <v>-24.584361486913174</v>
      </c>
      <c r="I18" s="495">
        <f t="shared" si="0"/>
        <v>-56.596371350695421</v>
      </c>
      <c r="J18" s="499">
        <f t="shared" ca="1" si="0"/>
        <v>-4.6178133793365443</v>
      </c>
      <c r="K18" s="500">
        <f t="shared" ca="1" si="0"/>
        <v>-4.1618311892728279</v>
      </c>
      <c r="L18" s="499">
        <f t="shared" ca="1" si="0"/>
        <v>0.56543934299981569</v>
      </c>
      <c r="M18" s="500">
        <f t="shared" ca="1" si="0"/>
        <v>0.56328390191051492</v>
      </c>
      <c r="N18" s="371">
        <f t="shared" ca="1" si="0"/>
        <v>-7.7744592518396841E-2</v>
      </c>
      <c r="O18" s="371">
        <f t="shared" ca="1" si="0"/>
        <v>-3.9516820085800854E-2</v>
      </c>
      <c r="P18" s="517"/>
      <c r="Q18" s="410"/>
      <c r="R18" s="410"/>
      <c r="S18" s="404"/>
      <c r="T18" s="410"/>
      <c r="U18" s="410"/>
      <c r="V18" s="404"/>
      <c r="W18" s="410"/>
      <c r="X18" s="410"/>
      <c r="Y18" s="410"/>
      <c r="Z18" s="410"/>
      <c r="AA18" s="410"/>
      <c r="AB18" s="410"/>
      <c r="AC18" s="404"/>
      <c r="AD18" s="410"/>
      <c r="AE18" s="410"/>
      <c r="AF18" s="410"/>
      <c r="AG18" s="410"/>
      <c r="AH18" s="410"/>
      <c r="AI18" s="404"/>
      <c r="AJ18" s="411"/>
      <c r="AK18" s="404"/>
      <c r="AL18" s="411"/>
      <c r="AM18" s="407"/>
      <c r="AN18" s="411"/>
      <c r="AO18" s="404"/>
      <c r="AP18" s="411"/>
    </row>
    <row r="19" spans="1:42" s="352" customFormat="1" ht="15.75" customHeight="1" x14ac:dyDescent="0.3">
      <c r="A19" s="409"/>
      <c r="B19" s="412" t="s">
        <v>204</v>
      </c>
      <c r="C19" s="354"/>
      <c r="D19" s="479">
        <f>IFERROR(+D18-D6,"")</f>
        <v>0.46654676653167115</v>
      </c>
      <c r="E19" s="480">
        <f>IFERROR(E18-E6,"")</f>
        <v>0.21774113712048798</v>
      </c>
      <c r="F19" s="489">
        <f>+IFERROR(F18-F6,"")</f>
        <v>-14.252809384870311</v>
      </c>
      <c r="G19" s="480">
        <f>IFERROR(G18-G6,"")</f>
        <v>-41.495813372919521</v>
      </c>
      <c r="H19" s="489">
        <f>IFERROR(+H6-H18,"")</f>
        <v>15.139853608402099</v>
      </c>
      <c r="I19" s="480">
        <f>+IFERROR(I6-I18,"")</f>
        <v>40.296495968345809</v>
      </c>
      <c r="J19" s="526">
        <f ca="1">+IFERROR(J6-J18,"")</f>
        <v>-10.35765453457074</v>
      </c>
      <c r="K19" s="501">
        <f ca="1">+IFERROR(K6-K18,"")</f>
        <v>-10.696574609979466</v>
      </c>
      <c r="L19" s="526">
        <f ca="1">IFERROR(+L6-L18,"")</f>
        <v>1.1734884110009534</v>
      </c>
      <c r="M19" s="501">
        <f ca="1">IFERROR(M6-M18,"")</f>
        <v>1.329450649277178</v>
      </c>
      <c r="N19" s="526">
        <f ca="1">IFERROR(+N6-N18,"")</f>
        <v>-2.4387451367234553E-2</v>
      </c>
      <c r="O19" s="526">
        <f ca="1">IFERROR(+O6-O18,"")</f>
        <v>-1.9198155761960115E-2</v>
      </c>
      <c r="P19" s="518"/>
      <c r="Q19" s="405"/>
      <c r="R19" s="405"/>
      <c r="S19" s="404"/>
      <c r="T19" s="405"/>
      <c r="U19" s="405"/>
      <c r="V19" s="404"/>
      <c r="W19" s="405"/>
      <c r="X19" s="405"/>
      <c r="Y19" s="405"/>
      <c r="Z19" s="405"/>
      <c r="AA19" s="405"/>
      <c r="AB19" s="405"/>
      <c r="AC19" s="404"/>
      <c r="AD19" s="405"/>
      <c r="AE19" s="405"/>
      <c r="AF19" s="405"/>
      <c r="AG19" s="405"/>
      <c r="AH19" s="405"/>
      <c r="AI19" s="404"/>
      <c r="AJ19" s="413"/>
      <c r="AK19" s="404"/>
      <c r="AL19" s="413"/>
      <c r="AM19" s="404"/>
      <c r="AN19" s="413"/>
      <c r="AO19" s="404"/>
      <c r="AP19" s="413"/>
    </row>
    <row r="20" spans="1:42" s="352" customFormat="1" ht="14.25" customHeight="1" x14ac:dyDescent="0.3">
      <c r="A20" s="377"/>
      <c r="B20" s="377"/>
      <c r="C20" s="377"/>
      <c r="D20" s="377"/>
      <c r="E20" s="377"/>
      <c r="F20" s="377"/>
      <c r="G20" s="377"/>
      <c r="H20" s="377"/>
      <c r="I20" s="377"/>
      <c r="J20" s="377"/>
      <c r="K20" s="377"/>
      <c r="L20" s="377"/>
      <c r="M20" s="377"/>
      <c r="N20" s="377"/>
      <c r="O20" s="377"/>
      <c r="P20" s="415"/>
      <c r="Q20" s="377"/>
      <c r="R20" s="377"/>
      <c r="S20" s="377"/>
      <c r="T20" s="377"/>
      <c r="U20" s="377"/>
      <c r="V20" s="377"/>
      <c r="W20" s="377"/>
      <c r="X20" s="377"/>
      <c r="Y20" s="377"/>
      <c r="Z20" s="377"/>
      <c r="AA20" s="377"/>
      <c r="AB20" s="377"/>
      <c r="AC20" s="377"/>
      <c r="AD20" s="377"/>
      <c r="AE20" s="377"/>
      <c r="AF20" s="377"/>
      <c r="AG20" s="377"/>
      <c r="AH20" s="377"/>
      <c r="AI20" s="377"/>
      <c r="AJ20" s="377"/>
      <c r="AK20" s="377"/>
      <c r="AL20" s="377"/>
      <c r="AM20" s="377"/>
      <c r="AN20" s="377"/>
      <c r="AO20" s="377"/>
      <c r="AP20" s="377"/>
    </row>
    <row r="21" spans="1:42" s="352" customFormat="1" ht="14" x14ac:dyDescent="0.3">
      <c r="A21" s="377"/>
      <c r="B21" s="414"/>
      <c r="C21" s="414"/>
      <c r="D21" s="962" t="s">
        <v>205</v>
      </c>
      <c r="E21" s="962"/>
      <c r="F21" s="962"/>
      <c r="G21" s="593" t="s">
        <v>206</v>
      </c>
      <c r="H21" s="593" t="s">
        <v>207</v>
      </c>
      <c r="I21" s="593" t="s">
        <v>208</v>
      </c>
      <c r="J21" s="962" t="s">
        <v>209</v>
      </c>
      <c r="K21" s="962"/>
      <c r="L21" s="962"/>
      <c r="M21" s="962" t="s">
        <v>210</v>
      </c>
      <c r="N21" s="962"/>
      <c r="O21" s="962"/>
      <c r="P21" s="515"/>
      <c r="Q21" s="415"/>
      <c r="R21" s="415"/>
      <c r="S21" s="415"/>
      <c r="T21" s="415"/>
      <c r="U21" s="415"/>
      <c r="V21" s="415"/>
      <c r="W21" s="415"/>
      <c r="X21" s="415"/>
      <c r="Y21" s="377"/>
      <c r="Z21" s="377"/>
      <c r="AA21" s="377"/>
      <c r="AB21" s="377"/>
      <c r="AC21" s="377"/>
      <c r="AD21" s="377"/>
      <c r="AE21" s="377"/>
      <c r="AF21" s="377"/>
      <c r="AG21" s="377"/>
      <c r="AH21" s="377"/>
      <c r="AI21" s="377"/>
      <c r="AJ21" s="377"/>
      <c r="AK21" s="377"/>
      <c r="AL21" s="377"/>
      <c r="AM21" s="377"/>
      <c r="AN21" s="377"/>
      <c r="AO21" s="377"/>
      <c r="AP21" s="377"/>
    </row>
    <row r="22" spans="1:42" s="352" customFormat="1" ht="14.25" customHeight="1" x14ac:dyDescent="0.3">
      <c r="A22" s="377"/>
      <c r="B22" s="416" t="s">
        <v>211</v>
      </c>
      <c r="C22" s="414"/>
      <c r="D22" s="380" t="s">
        <v>212</v>
      </c>
      <c r="E22" s="380" t="s">
        <v>213</v>
      </c>
      <c r="F22" s="380" t="s">
        <v>214</v>
      </c>
      <c r="G22" s="380" t="s">
        <v>215</v>
      </c>
      <c r="H22" s="380" t="s">
        <v>216</v>
      </c>
      <c r="I22" s="380" t="s">
        <v>217</v>
      </c>
      <c r="J22" s="380" t="s">
        <v>212</v>
      </c>
      <c r="K22" s="380" t="s">
        <v>213</v>
      </c>
      <c r="L22" s="380" t="s">
        <v>214</v>
      </c>
      <c r="M22" s="380" t="s">
        <v>212</v>
      </c>
      <c r="N22" s="380" t="s">
        <v>213</v>
      </c>
      <c r="O22" s="380" t="s">
        <v>214</v>
      </c>
      <c r="P22" s="515" t="s">
        <v>218</v>
      </c>
      <c r="Q22" s="415"/>
      <c r="R22" s="415"/>
      <c r="S22" s="415"/>
      <c r="T22" s="415"/>
      <c r="U22" s="415"/>
      <c r="V22" s="415"/>
      <c r="W22" s="415"/>
      <c r="X22" s="415"/>
      <c r="Y22" s="377"/>
      <c r="Z22" s="377"/>
      <c r="AA22" s="377"/>
      <c r="AB22" s="377"/>
      <c r="AC22" s="377"/>
      <c r="AD22" s="377"/>
      <c r="AE22" s="377"/>
      <c r="AF22" s="377"/>
      <c r="AG22" s="377"/>
      <c r="AH22" s="377"/>
      <c r="AI22" s="377"/>
      <c r="AJ22" s="377"/>
      <c r="AK22" s="377"/>
      <c r="AL22" s="377"/>
      <c r="AM22" s="377"/>
      <c r="AN22" s="377"/>
      <c r="AO22" s="377"/>
      <c r="AP22" s="377"/>
    </row>
    <row r="23" spans="1:42" s="352" customFormat="1" ht="3.75" customHeight="1" x14ac:dyDescent="0.3">
      <c r="A23" s="377"/>
      <c r="B23" s="417"/>
      <c r="C23" s="418"/>
      <c r="D23" s="510"/>
      <c r="E23" s="512"/>
      <c r="F23" s="507"/>
      <c r="G23" s="510"/>
      <c r="H23" s="512"/>
      <c r="I23" s="507"/>
      <c r="J23" s="418"/>
      <c r="K23" s="418"/>
      <c r="L23" s="507"/>
      <c r="M23" s="418"/>
      <c r="N23" s="418"/>
      <c r="O23" s="418"/>
      <c r="P23" s="516"/>
      <c r="Q23" s="415"/>
      <c r="R23" s="415"/>
      <c r="S23" s="415"/>
      <c r="T23" s="415"/>
      <c r="U23" s="415"/>
      <c r="V23" s="415"/>
      <c r="W23" s="415"/>
      <c r="X23" s="415"/>
      <c r="Y23" s="377"/>
      <c r="Z23" s="377"/>
      <c r="AA23" s="377"/>
      <c r="AB23" s="377"/>
      <c r="AC23" s="377"/>
      <c r="AD23" s="377"/>
      <c r="AE23" s="377"/>
      <c r="AF23" s="377"/>
      <c r="AG23" s="377"/>
      <c r="AH23" s="377"/>
      <c r="AI23" s="377"/>
      <c r="AJ23" s="377"/>
      <c r="AK23" s="377"/>
      <c r="AL23" s="377"/>
      <c r="AM23" s="377"/>
      <c r="AN23" s="377"/>
      <c r="AO23" s="377"/>
      <c r="AP23" s="377"/>
    </row>
    <row r="24" spans="1:42" s="352" customFormat="1" ht="14" x14ac:dyDescent="0.3">
      <c r="A24" s="377"/>
      <c r="B24" s="377" t="s">
        <v>219</v>
      </c>
      <c r="C24" s="377"/>
      <c r="D24" s="511">
        <f ca="1">IFERROR(SMALL(K6:K17,2),"")</f>
        <v>-0.77147919334617976</v>
      </c>
      <c r="E24" s="513">
        <f ca="1">IFERROR(SMALL(M6:M17,2),"")</f>
        <v>0.12633766302309157</v>
      </c>
      <c r="F24" s="508">
        <f ca="1">IFERROR(SMALL(O6:O17,2),"")</f>
        <v>-5.8714975847760968E-2</v>
      </c>
      <c r="G24" s="511">
        <f>-Inputs!$Q$99+Inputs!$Q$100</f>
        <v>-139.60299999999998</v>
      </c>
      <c r="H24" s="513">
        <f>+Inputs!$Q$101</f>
        <v>0</v>
      </c>
      <c r="I24" s="508">
        <f>+Inputs!$Q$102</f>
        <v>0</v>
      </c>
      <c r="J24" s="419">
        <f ca="1">IFERROR(+D24*$D$97+G24+H24+I24,"")</f>
        <v>-6949.4498396667286</v>
      </c>
      <c r="K24" s="419">
        <f ca="1">IFERROR(E24*$D$100+G24+H24+I24,"")</f>
        <v>-8894.0450215221063</v>
      </c>
      <c r="L24" s="509">
        <f ca="1">IFERROR(F24*$D$105,"")</f>
        <v>8447.8520100000005</v>
      </c>
      <c r="M24" s="514" cm="1">
        <f t="array" aca="1" ref="M24" ca="1">IFERROR(+(J24/_FV($A$6,"Shares outstanding",TRUE)*1000000)/$P$24-1,"")</f>
        <v>-1.8226292117144614</v>
      </c>
      <c r="N24" s="514" cm="1">
        <f t="array" aca="1" ref="N24" ca="1">IFERROR((+K24/_FV($A$6,"Shares outstanding",TRUE)*1000000)/$P$24-1,"")</f>
        <v>-2.0528173328550183</v>
      </c>
      <c r="O24" s="514" cm="1">
        <f t="array" aca="1" ref="O24" ca="1">IFERROR(+(L24/_FV($A$6,"Shares outstanding",TRUE)*1000000)/$P$24-1,"")</f>
        <v>0</v>
      </c>
      <c r="P24" s="519" cm="1">
        <f t="array" aca="1" ref="P24" ca="1">+_FV(A6,"Price")</f>
        <v>24.7</v>
      </c>
      <c r="Q24" s="377"/>
      <c r="R24" s="377"/>
      <c r="S24" s="377"/>
      <c r="T24" s="377"/>
      <c r="U24" s="377"/>
      <c r="V24" s="377"/>
      <c r="W24" s="377"/>
      <c r="X24" s="377"/>
      <c r="Y24" s="377"/>
      <c r="Z24" s="377"/>
      <c r="AA24" s="377"/>
      <c r="AB24" s="377"/>
      <c r="AC24" s="377"/>
      <c r="AD24" s="377"/>
      <c r="AE24" s="377"/>
      <c r="AF24" s="377"/>
      <c r="AG24" s="377"/>
      <c r="AH24" s="377"/>
      <c r="AI24" s="377"/>
      <c r="AJ24" s="377"/>
      <c r="AK24" s="377"/>
      <c r="AL24" s="377"/>
      <c r="AM24" s="377"/>
      <c r="AN24" s="377"/>
      <c r="AO24" s="377"/>
      <c r="AP24" s="377"/>
    </row>
    <row r="25" spans="1:42" ht="14" x14ac:dyDescent="0.3">
      <c r="B25" s="377" t="s">
        <v>203</v>
      </c>
      <c r="C25" s="377"/>
      <c r="D25" s="511">
        <f ca="1">+IFERROR(AVERAGE(K6:K17),"")</f>
        <v>-4.1618311892728279</v>
      </c>
      <c r="E25" s="513">
        <f ca="1">IFERROR(+AVERAGE(M6:M17),"")</f>
        <v>0.56328390191051492</v>
      </c>
      <c r="F25" s="508">
        <f ca="1">IFERROR(+AVERAGE(O6:O17),"")</f>
        <v>-3.9516820085800854E-2</v>
      </c>
      <c r="G25" s="511">
        <f>-Inputs!$Q$99+Inputs!$Q$100</f>
        <v>-139.60299999999998</v>
      </c>
      <c r="H25" s="513">
        <f>+Inputs!$Q$101</f>
        <v>0</v>
      </c>
      <c r="I25" s="508">
        <f>+Inputs!$Q$102</f>
        <v>0</v>
      </c>
      <c r="J25" s="419">
        <f ca="1">IFERROR(+D25*$D$97+G25+H25+I25,"")</f>
        <v>-36876.086907711258</v>
      </c>
      <c r="K25" s="419">
        <f ca="1">IFERROR(E25*$D$100+G25+H25+I25,"")</f>
        <v>-39171.797698987226</v>
      </c>
      <c r="L25" s="509">
        <f ca="1">IFERROR(+F25*$D$105,"")</f>
        <v>5685.6405571249406</v>
      </c>
      <c r="M25" s="514" cm="1">
        <f t="array" aca="1" ref="M25" ca="1">IFERROR(+(J25/_FV($A$6,"Shares outstanding",TRUE)*1000000)/$P$24-1,"")</f>
        <v>-5.3651435730715713</v>
      </c>
      <c r="N25" s="514" cm="1">
        <f t="array" aca="1" ref="N25" ca="1">IFERROR((+K25/_FV($A$6,"Shares outstanding",TRUE)*1000000)/$P$24-1,"")</f>
        <v>-5.6368944025792924</v>
      </c>
      <c r="O25" s="514" cm="1">
        <f t="array" aca="1" ref="O25" ca="1">IFERROR(+(L25/_FV($A$6,"Shares outstanding",TRUE)*1000000)/$P$24-1,"")</f>
        <v>-0.32697204562832516</v>
      </c>
      <c r="P25" s="515"/>
    </row>
    <row r="26" spans="1:42" s="352" customFormat="1" ht="14" x14ac:dyDescent="0.3">
      <c r="A26" s="377"/>
      <c r="B26" s="377" t="s">
        <v>220</v>
      </c>
      <c r="C26" s="377"/>
      <c r="D26" s="511">
        <f ca="1">IFERROR(MEDIAN(K6:K17),"")</f>
        <v>-0.69929006555150552</v>
      </c>
      <c r="E26" s="513">
        <f ca="1">IFERROR(MEDIAN(M6:M17),"")</f>
        <v>0.14088110436106471</v>
      </c>
      <c r="F26" s="508">
        <f ca="1">IFERROR(MEDIAN(O6:O17),"")</f>
        <v>-4.3916463744557287E-2</v>
      </c>
      <c r="G26" s="511">
        <f>-Inputs!$Q$99+Inputs!$Q$100</f>
        <v>-139.60299999999998</v>
      </c>
      <c r="H26" s="513">
        <f>+Inputs!$Q$101</f>
        <v>0</v>
      </c>
      <c r="I26" s="508">
        <f>+Inputs!$Q$102</f>
        <v>0</v>
      </c>
      <c r="J26" s="419">
        <f ca="1">IFERROR(D26*$D$97+G26+H26+I26,"")</f>
        <v>-6312.2364086231391</v>
      </c>
      <c r="K26" s="419">
        <f ca="1">IFERROR(E26*$D$100+G26+H26+I26,"")</f>
        <v>-9901.8182455956176</v>
      </c>
      <c r="L26" s="509">
        <f ca="1">IFERROR(+F26*$D$105,"")</f>
        <v>6318.6568871031577</v>
      </c>
      <c r="M26" s="514" cm="1">
        <f t="array" aca="1" ref="M26" ca="1">IFERROR(+(J26/_FV($A$6,"Shares outstanding",TRUE)*1000000)/$P$24-1,"")</f>
        <v>-1.7472001641542889</v>
      </c>
      <c r="N26" s="514" cm="1">
        <f t="array" aca="1" ref="N26" ca="1">IFERROR((+K26/_FV($A$6,"Shares outstanding",TRUE)*1000000)/$P$24-1,"")</f>
        <v>-2.1721107606850252</v>
      </c>
      <c r="O26" s="514" cm="1">
        <f t="array" aca="1" ref="O26" ca="1">+IFERROR((L26/_FV($A$6,"Shares outstanding",TRUE)*1000000)/$P$24-1,"")</f>
        <v>-0.25203982271190883</v>
      </c>
      <c r="P26" s="516"/>
      <c r="Q26" s="377"/>
      <c r="R26" s="377"/>
      <c r="S26" s="377"/>
      <c r="T26" s="377"/>
      <c r="U26" s="377"/>
      <c r="V26" s="377"/>
      <c r="W26" s="377"/>
      <c r="X26" s="377"/>
      <c r="Y26" s="377"/>
      <c r="Z26" s="377"/>
      <c r="AA26" s="377"/>
      <c r="AB26" s="377"/>
      <c r="AC26" s="377"/>
      <c r="AD26" s="377"/>
      <c r="AE26" s="377"/>
      <c r="AF26" s="377"/>
      <c r="AG26" s="377"/>
      <c r="AH26" s="377"/>
      <c r="AI26" s="377"/>
      <c r="AJ26" s="377"/>
      <c r="AK26" s="377"/>
      <c r="AL26" s="377"/>
      <c r="AM26" s="377"/>
      <c r="AN26" s="377"/>
      <c r="AO26" s="377"/>
      <c r="AP26" s="377"/>
    </row>
    <row r="27" spans="1:42" s="352" customFormat="1" ht="14" x14ac:dyDescent="0.3">
      <c r="A27" s="377"/>
      <c r="B27" s="377" t="s">
        <v>221</v>
      </c>
      <c r="C27" s="377"/>
      <c r="D27" s="511">
        <f ca="1">IFERROR(LARGE(K6:K17,2),"")</f>
        <v>-0.6271009377568314</v>
      </c>
      <c r="E27" s="513">
        <f ca="1">IFERROR(LARGE(M6:M17,2),"")</f>
        <v>0.15542454569903788</v>
      </c>
      <c r="F27" s="508">
        <f ca="1">IFERROR(LARGE(O6:O17,2),"")</f>
        <v>-2.9117951641353609E-2</v>
      </c>
      <c r="G27" s="511">
        <f>-Inputs!$Q$99+Inputs!$Q$100</f>
        <v>-139.60299999999998</v>
      </c>
      <c r="H27" s="513">
        <f>+Inputs!$Q$101</f>
        <v>0</v>
      </c>
      <c r="I27" s="508">
        <f>+Inputs!$Q$102</f>
        <v>0</v>
      </c>
      <c r="J27" s="419">
        <f ca="1">IFERROR(+D27*$D$97+G27+H27+I27,"")</f>
        <v>-5675.0229775795506</v>
      </c>
      <c r="K27" s="419">
        <f ca="1">IFERROR(E27*$D$100+G27+H27+I27,"")</f>
        <v>-10909.591469669131</v>
      </c>
      <c r="L27" s="509">
        <f ca="1">IFERROR(+F27*$D$105,"")</f>
        <v>4189.4617642063158</v>
      </c>
      <c r="M27" s="514" cm="1">
        <f t="array" aca="1" ref="M27" ca="1">IFERROR(+(J27/_FV($A$6,"Shares outstanding",TRUE)*1000000)/$P$24-1,"")</f>
        <v>-1.6717711165941163</v>
      </c>
      <c r="N27" s="514" cm="1">
        <f t="array" aca="1" ref="N27" ca="1">IFERROR((+K27/_FV($A$6,"Shares outstanding",TRUE)*1000000)/$P$24-1,"")</f>
        <v>-2.291404188515032</v>
      </c>
      <c r="O27" s="514" cm="1">
        <f t="array" aca="1" ref="O27" ca="1">IFERROR(+(L27/_FV($A$6,"Shares outstanding",TRUE)*1000000)/$P$24-1,"")</f>
        <v>-0.50407964542381745</v>
      </c>
      <c r="P27" s="516"/>
      <c r="Q27" s="377"/>
      <c r="R27" s="377"/>
      <c r="S27" s="377"/>
      <c r="T27" s="377"/>
      <c r="U27" s="377"/>
      <c r="V27" s="377"/>
      <c r="W27" s="377"/>
      <c r="X27" s="377"/>
      <c r="Y27" s="377"/>
      <c r="Z27" s="377"/>
      <c r="AA27" s="377"/>
      <c r="AB27" s="377"/>
      <c r="AC27" s="377"/>
      <c r="AD27" s="377"/>
      <c r="AE27" s="377"/>
      <c r="AF27" s="377"/>
      <c r="AG27" s="377"/>
      <c r="AH27" s="377"/>
      <c r="AI27" s="377"/>
      <c r="AJ27" s="377"/>
      <c r="AK27" s="377"/>
      <c r="AL27" s="377"/>
      <c r="AM27" s="377"/>
      <c r="AN27" s="377"/>
      <c r="AO27" s="377"/>
      <c r="AP27" s="377"/>
    </row>
    <row r="28" spans="1:42" s="352" customFormat="1" ht="14.25" customHeight="1" x14ac:dyDescent="0.3">
      <c r="A28" s="377"/>
      <c r="B28" s="377"/>
      <c r="C28" s="377"/>
      <c r="D28" s="377"/>
      <c r="E28" s="377"/>
      <c r="F28" s="377"/>
      <c r="G28" s="377"/>
      <c r="H28" s="377"/>
      <c r="I28" s="377"/>
      <c r="J28" s="377"/>
      <c r="K28" s="377"/>
      <c r="L28" s="377"/>
      <c r="M28" s="377"/>
      <c r="N28" s="377"/>
      <c r="O28" s="421"/>
      <c r="P28" s="377"/>
      <c r="Q28" s="377"/>
      <c r="R28" s="377"/>
      <c r="S28" s="377"/>
      <c r="T28" s="377"/>
      <c r="U28" s="377"/>
      <c r="V28" s="377"/>
      <c r="W28" s="377"/>
      <c r="X28" s="377"/>
      <c r="Y28" s="377"/>
      <c r="Z28" s="377"/>
      <c r="AA28" s="377"/>
      <c r="AB28" s="377"/>
      <c r="AC28" s="377"/>
      <c r="AD28" s="377"/>
      <c r="AE28" s="377"/>
      <c r="AF28" s="377"/>
      <c r="AG28" s="377"/>
      <c r="AH28" s="377"/>
      <c r="AI28" s="377"/>
      <c r="AJ28" s="377"/>
      <c r="AK28" s="377"/>
      <c r="AL28" s="377"/>
      <c r="AM28" s="377"/>
      <c r="AN28" s="377"/>
      <c r="AO28" s="377"/>
      <c r="AP28" s="377"/>
    </row>
    <row r="29" spans="1:42" s="355" customFormat="1" ht="14.25" customHeight="1" x14ac:dyDescent="0.3">
      <c r="A29" s="386"/>
      <c r="B29" s="590" t="s">
        <v>222</v>
      </c>
      <c r="C29" s="591"/>
      <c r="D29" s="362" t="str">
        <f ca="1">+LEFT(B6, FIND(" ", B6 &amp; " ") - 1)</f>
        <v>D-WAVE</v>
      </c>
      <c r="E29" s="362" t="str">
        <f>+LEFT(B8, FIND(" ", B8 &amp; " ") - 1)</f>
        <v>IONQ</v>
      </c>
      <c r="F29" s="362" t="str">
        <f>+LEFT(B9, FIND(" ", B9 &amp; " ") - 1)</f>
        <v>RIGETTI</v>
      </c>
      <c r="G29" s="362" t="str">
        <f>+LEFT(B10, FIND(" ", B10 &amp; " ") - 1)</f>
        <v>QUANTUM</v>
      </c>
      <c r="H29" s="362" t="str">
        <f>+LEFT(B11, FIND(" ", B11 &amp; " ") - 1)</f>
        <v/>
      </c>
      <c r="I29" s="362" t="str">
        <f>+LEFT(B12, FIND(" ", B12 &amp; " ") - 1)</f>
        <v/>
      </c>
      <c r="J29" s="362" t="str">
        <f>+LEFT(C12, FIND(" ", C12 &amp; " ") - 1)</f>
        <v/>
      </c>
      <c r="K29" s="362" t="str">
        <f>+LEFT(B14, FIND(" ", B14 &amp; " ") - 1)</f>
        <v/>
      </c>
      <c r="L29" s="362" t="str">
        <f>+LEFT(B15, FIND(" ", B15 &amp; " ") - 1)</f>
        <v/>
      </c>
      <c r="M29" s="362" t="str">
        <f>+LEFT(B16, FIND(" ", B16 &amp; " ") - 1)</f>
        <v/>
      </c>
      <c r="N29" s="362" t="str">
        <f>+LEFT(B17, FIND(" ", B17 &amp; " ") - 1)</f>
        <v/>
      </c>
      <c r="O29" s="422" t="s">
        <v>203</v>
      </c>
      <c r="P29" s="386"/>
      <c r="Q29" s="386" t="s">
        <v>223</v>
      </c>
      <c r="R29" s="386"/>
      <c r="S29" s="386"/>
      <c r="T29" s="386"/>
      <c r="U29" s="386"/>
      <c r="V29" s="386"/>
      <c r="W29" s="386"/>
      <c r="X29" s="386"/>
      <c r="Y29" s="386"/>
      <c r="Z29" s="386"/>
      <c r="AA29" s="386"/>
      <c r="AB29" s="386"/>
      <c r="AC29" s="386"/>
      <c r="AD29" s="386"/>
      <c r="AE29" s="386"/>
      <c r="AF29" s="386"/>
      <c r="AG29" s="386"/>
      <c r="AH29" s="386"/>
      <c r="AI29" s="386"/>
      <c r="AJ29" s="386"/>
      <c r="AK29" s="386"/>
      <c r="AL29" s="386"/>
      <c r="AM29" s="386"/>
      <c r="AN29" s="386"/>
      <c r="AO29" s="386"/>
      <c r="AP29" s="386"/>
    </row>
    <row r="30" spans="1:42" s="352" customFormat="1" ht="3.75" customHeight="1" x14ac:dyDescent="0.3">
      <c r="A30" s="377"/>
      <c r="B30" s="412"/>
      <c r="C30" s="412"/>
      <c r="D30" s="412"/>
      <c r="E30" s="412"/>
      <c r="F30" s="412"/>
      <c r="G30" s="412"/>
      <c r="H30" s="412"/>
      <c r="I30" s="412"/>
      <c r="J30" s="412"/>
      <c r="K30" s="412"/>
      <c r="L30" s="412"/>
      <c r="M30" s="412"/>
      <c r="N30" s="412"/>
      <c r="O30" s="423"/>
      <c r="P30" s="377"/>
      <c r="Q30" s="377"/>
      <c r="R30" s="424"/>
      <c r="S30" s="377"/>
      <c r="T30" s="377"/>
      <c r="U30" s="377"/>
      <c r="V30" s="377"/>
      <c r="W30" s="377"/>
      <c r="X30" s="377"/>
      <c r="Y30" s="377"/>
      <c r="Z30" s="377"/>
      <c r="AA30" s="377"/>
      <c r="AB30" s="377"/>
      <c r="AC30" s="377"/>
      <c r="AD30" s="377"/>
      <c r="AE30" s="377"/>
      <c r="AF30" s="377"/>
      <c r="AG30" s="377"/>
      <c r="AH30" s="377"/>
      <c r="AI30" s="377"/>
      <c r="AJ30" s="377"/>
      <c r="AK30" s="377"/>
      <c r="AL30" s="377"/>
      <c r="AM30" s="377"/>
      <c r="AN30" s="377"/>
      <c r="AO30" s="377"/>
      <c r="AP30" s="377"/>
    </row>
    <row r="31" spans="1:42" s="352" customFormat="1" ht="14.25" customHeight="1" x14ac:dyDescent="0.3">
      <c r="A31" s="377"/>
      <c r="B31" s="377" t="s">
        <v>224</v>
      </c>
      <c r="C31" s="377"/>
      <c r="D31" s="425">
        <f>IFERROR(D101/D97,"")</f>
        <v>-8.245836637589214</v>
      </c>
      <c r="E31" s="425">
        <f t="shared" ref="E31:N31" si="1">IFERROR(E101/E97,"")</f>
        <v>-5.3967682771109509</v>
      </c>
      <c r="F31" s="425">
        <f t="shared" si="1"/>
        <v>-18.325579240037072</v>
      </c>
      <c r="G31" s="425">
        <f t="shared" si="1"/>
        <v>-177.06702412868631</v>
      </c>
      <c r="H31" s="425" t="str">
        <f t="shared" si="1"/>
        <v/>
      </c>
      <c r="I31" s="425" t="str">
        <f t="shared" si="1"/>
        <v/>
      </c>
      <c r="J31" s="425" t="str">
        <f t="shared" si="1"/>
        <v/>
      </c>
      <c r="K31" s="425" t="str">
        <f t="shared" si="1"/>
        <v/>
      </c>
      <c r="L31" s="425" t="str">
        <f t="shared" si="1"/>
        <v/>
      </c>
      <c r="M31" s="425" t="str">
        <f t="shared" si="1"/>
        <v/>
      </c>
      <c r="N31" s="425" t="str">
        <f t="shared" si="1"/>
        <v/>
      </c>
      <c r="O31" s="659">
        <f t="shared" ref="O31:O36" si="2">IFERROR(+AVERAGE(D31:N31),"")</f>
        <v>-52.258802070855886</v>
      </c>
      <c r="P31" s="377"/>
      <c r="Q31" s="377"/>
      <c r="R31" s="424"/>
      <c r="S31" s="377"/>
      <c r="T31" s="377"/>
      <c r="U31" s="377"/>
      <c r="V31" s="377"/>
      <c r="W31" s="377"/>
      <c r="X31" s="377"/>
      <c r="Y31" s="377"/>
      <c r="Z31" s="377"/>
      <c r="AA31" s="377"/>
      <c r="AB31" s="377"/>
      <c r="AC31" s="377"/>
      <c r="AD31" s="377"/>
      <c r="AE31" s="377"/>
      <c r="AF31" s="377"/>
      <c r="AG31" s="377"/>
      <c r="AH31" s="377"/>
      <c r="AI31" s="377"/>
      <c r="AJ31" s="377"/>
      <c r="AK31" s="377"/>
      <c r="AL31" s="377"/>
      <c r="AM31" s="377"/>
      <c r="AN31" s="377"/>
      <c r="AO31" s="377"/>
      <c r="AP31" s="377"/>
    </row>
    <row r="32" spans="1:42" s="352" customFormat="1" ht="14.25" customHeight="1" x14ac:dyDescent="0.3">
      <c r="A32" s="377"/>
      <c r="B32" s="377" t="s">
        <v>35</v>
      </c>
      <c r="C32" s="377"/>
      <c r="D32" s="425">
        <f>IFERROR(D105/D97,"")</f>
        <v>-16.299875382349608</v>
      </c>
      <c r="E32" s="425">
        <f t="shared" ref="E32:N32" si="3">IFERROR(E105/E97,"")</f>
        <v>-7.6996494323590188</v>
      </c>
      <c r="F32" s="425">
        <f t="shared" si="3"/>
        <v>-18.627247451343838</v>
      </c>
      <c r="G32" s="425">
        <f t="shared" si="3"/>
        <v>-183.75871313672923</v>
      </c>
      <c r="H32" s="425" t="str">
        <f t="shared" si="3"/>
        <v/>
      </c>
      <c r="I32" s="425" t="str">
        <f t="shared" si="3"/>
        <v/>
      </c>
      <c r="J32" s="425" t="str">
        <f t="shared" si="3"/>
        <v/>
      </c>
      <c r="K32" s="425" t="str">
        <f t="shared" si="3"/>
        <v/>
      </c>
      <c r="L32" s="425" t="str">
        <f t="shared" si="3"/>
        <v/>
      </c>
      <c r="M32" s="425" t="str">
        <f t="shared" si="3"/>
        <v/>
      </c>
      <c r="N32" s="425" t="str">
        <f t="shared" si="3"/>
        <v/>
      </c>
      <c r="O32" s="659">
        <f t="shared" si="2"/>
        <v>-56.596371350695421</v>
      </c>
      <c r="P32" s="377"/>
      <c r="Q32" s="377"/>
      <c r="R32" s="424"/>
      <c r="S32" s="377"/>
      <c r="T32" s="377"/>
      <c r="U32" s="377"/>
      <c r="V32" s="377"/>
      <c r="W32" s="377"/>
      <c r="X32" s="377"/>
      <c r="Y32" s="377"/>
      <c r="Z32" s="377"/>
      <c r="AA32" s="377"/>
      <c r="AB32" s="377"/>
      <c r="AC32" s="377"/>
      <c r="AD32" s="377"/>
      <c r="AE32" s="377"/>
      <c r="AF32" s="377"/>
      <c r="AG32" s="377"/>
      <c r="AH32" s="377"/>
      <c r="AI32" s="377"/>
      <c r="AJ32" s="377"/>
      <c r="AK32" s="377"/>
      <c r="AL32" s="377"/>
      <c r="AM32" s="377"/>
      <c r="AN32" s="377"/>
      <c r="AO32" s="377"/>
      <c r="AP32" s="377"/>
    </row>
    <row r="33" spans="2:18" s="352" customFormat="1" ht="14.25" customHeight="1" x14ac:dyDescent="0.3">
      <c r="B33" s="377" t="s">
        <v>225</v>
      </c>
      <c r="C33" s="377"/>
      <c r="D33" s="425">
        <f>IFERROR(D105/D117,"")</f>
        <v>-0.7199241442460208</v>
      </c>
      <c r="E33" s="425">
        <f t="shared" ref="E33:N33" si="4">IFERROR(E105/E117,"")</f>
        <v>-0.6523501734895395</v>
      </c>
      <c r="F33" s="425">
        <f t="shared" si="4"/>
        <v>-0.70574850677875045</v>
      </c>
      <c r="G33" s="425">
        <f t="shared" si="4"/>
        <v>-0.44635612370489519</v>
      </c>
      <c r="H33" s="425" t="str">
        <f t="shared" si="4"/>
        <v/>
      </c>
      <c r="I33" s="425" t="str">
        <f t="shared" si="4"/>
        <v/>
      </c>
      <c r="J33" s="425" t="str">
        <f t="shared" si="4"/>
        <v/>
      </c>
      <c r="K33" s="425" t="str">
        <f t="shared" si="4"/>
        <v/>
      </c>
      <c r="L33" s="425" t="str">
        <f t="shared" si="4"/>
        <v/>
      </c>
      <c r="M33" s="425" t="str">
        <f t="shared" si="4"/>
        <v/>
      </c>
      <c r="N33" s="425" t="str">
        <f t="shared" si="4"/>
        <v/>
      </c>
      <c r="O33" s="659">
        <f t="shared" si="2"/>
        <v>-0.63109473705480146</v>
      </c>
      <c r="P33" s="377"/>
      <c r="Q33" s="377"/>
      <c r="R33" s="424"/>
    </row>
    <row r="34" spans="2:18" s="352" customFormat="1" ht="14.25" customHeight="1" x14ac:dyDescent="0.3">
      <c r="B34" s="377" t="s">
        <v>226</v>
      </c>
      <c r="C34" s="377"/>
      <c r="D34" s="425">
        <f>IFERROR((D102/D121)*(1-(D104/D103)),(D102/D121))</f>
        <v>0.10154519634155874</v>
      </c>
      <c r="E34" s="425">
        <f>IFERROR(+(E102/E121)*(1-(E104/E103)),+(E102/E121)*(1-(0.1/E103)))</f>
        <v>1.015515115848983E-3</v>
      </c>
      <c r="F34" s="425">
        <f>IFERROR(+(F102/F121)*(1-(F104/F103)),+(F102/F121))</f>
        <v>0.36988636363636362</v>
      </c>
      <c r="G34" s="425">
        <f>IFERROR(+(G102/G121)*(1-(G104/G103)),+(G102/G121))</f>
        <v>-1.7552921253175275</v>
      </c>
      <c r="H34" s="425" t="str">
        <f t="shared" ref="H34:N34" si="5">IFERROR(+(H102/H121)*(1-(H104/H103)),"")</f>
        <v/>
      </c>
      <c r="I34" s="425" t="str">
        <f t="shared" si="5"/>
        <v/>
      </c>
      <c r="J34" s="425" t="str">
        <f t="shared" si="5"/>
        <v/>
      </c>
      <c r="K34" s="425" t="str">
        <f t="shared" si="5"/>
        <v/>
      </c>
      <c r="L34" s="425" t="str">
        <f t="shared" si="5"/>
        <v/>
      </c>
      <c r="M34" s="425" t="str">
        <f t="shared" si="5"/>
        <v/>
      </c>
      <c r="N34" s="425" t="str">
        <f t="shared" si="5"/>
        <v/>
      </c>
      <c r="O34" s="659">
        <f t="shared" si="2"/>
        <v>-0.32071126255593907</v>
      </c>
      <c r="P34" s="377"/>
      <c r="Q34" s="377"/>
      <c r="R34" s="424"/>
    </row>
    <row r="35" spans="2:18" s="352" customFormat="1" ht="14.25" customHeight="1" x14ac:dyDescent="0.3">
      <c r="B35" s="377" t="s">
        <v>227</v>
      </c>
      <c r="C35" s="377"/>
      <c r="D35" s="425">
        <f>IFERROR(+D105/D122,"")</f>
        <v>-2.2966989113431024</v>
      </c>
      <c r="E35" s="425">
        <f t="shared" ref="E35:N35" si="6">IFERROR(+E105/E122,"")</f>
        <v>-0.86397455335511197</v>
      </c>
      <c r="F35" s="425">
        <f t="shared" si="6"/>
        <v>-1.5877208920206336</v>
      </c>
      <c r="G35" s="425">
        <f t="shared" si="6"/>
        <v>-0.6388658458154296</v>
      </c>
      <c r="H35" s="425" t="str">
        <f t="shared" si="6"/>
        <v/>
      </c>
      <c r="I35" s="425" t="str">
        <f t="shared" si="6"/>
        <v/>
      </c>
      <c r="J35" s="425" t="str">
        <f t="shared" si="6"/>
        <v/>
      </c>
      <c r="K35" s="425" t="str">
        <f t="shared" si="6"/>
        <v/>
      </c>
      <c r="L35" s="425" t="str">
        <f t="shared" si="6"/>
        <v/>
      </c>
      <c r="M35" s="425" t="str">
        <f t="shared" si="6"/>
        <v/>
      </c>
      <c r="N35" s="425" t="str">
        <f t="shared" si="6"/>
        <v/>
      </c>
      <c r="O35" s="659">
        <f t="shared" si="2"/>
        <v>-1.3468150506335692</v>
      </c>
      <c r="P35" s="377"/>
      <c r="Q35" s="377"/>
      <c r="R35" s="424"/>
    </row>
    <row r="36" spans="2:18" s="352" customFormat="1" ht="14.25" customHeight="1" x14ac:dyDescent="0.3">
      <c r="B36" s="377" t="s">
        <v>228</v>
      </c>
      <c r="C36" s="377"/>
      <c r="D36" s="425">
        <f>IFERROR(+D105/(D121+D122),"")</f>
        <v>-1.4242202270770024</v>
      </c>
      <c r="E36" s="425">
        <f t="shared" ref="E36:N36" si="7">IFERROR(+E105/(E121+E122),"")</f>
        <v>-0.82584097592800565</v>
      </c>
      <c r="F36" s="425">
        <f t="shared" si="7"/>
        <v>-1.4845223762639506</v>
      </c>
      <c r="G36" s="425">
        <f t="shared" si="7"/>
        <v>-0.63190987203599214</v>
      </c>
      <c r="H36" s="425" t="str">
        <f t="shared" si="7"/>
        <v/>
      </c>
      <c r="I36" s="425" t="str">
        <f t="shared" si="7"/>
        <v/>
      </c>
      <c r="J36" s="425" t="str">
        <f t="shared" si="7"/>
        <v/>
      </c>
      <c r="K36" s="425" t="str">
        <f t="shared" si="7"/>
        <v/>
      </c>
      <c r="L36" s="425" t="str">
        <f t="shared" si="7"/>
        <v/>
      </c>
      <c r="M36" s="425" t="str">
        <f t="shared" si="7"/>
        <v/>
      </c>
      <c r="N36" s="425" t="str">
        <f t="shared" si="7"/>
        <v/>
      </c>
      <c r="O36" s="659">
        <f t="shared" si="2"/>
        <v>-1.0916233628262377</v>
      </c>
      <c r="P36" s="377"/>
      <c r="Q36" s="377"/>
      <c r="R36" s="424"/>
    </row>
    <row r="37" spans="2:18" s="352" customFormat="1" ht="3.75" customHeight="1" x14ac:dyDescent="0.3">
      <c r="B37" s="377"/>
      <c r="C37" s="377"/>
      <c r="D37" s="377"/>
      <c r="E37" s="377"/>
      <c r="F37" s="377"/>
      <c r="G37" s="377"/>
      <c r="H37" s="377"/>
      <c r="I37" s="377"/>
      <c r="J37" s="377"/>
      <c r="K37" s="377"/>
      <c r="L37" s="377"/>
      <c r="M37" s="377"/>
      <c r="N37" s="377"/>
      <c r="O37" s="421"/>
      <c r="P37" s="377"/>
      <c r="Q37" s="377"/>
      <c r="R37" s="424"/>
    </row>
    <row r="38" spans="2:18" s="355" customFormat="1" ht="14.25" customHeight="1" x14ac:dyDescent="0.3">
      <c r="B38" s="590" t="s">
        <v>229</v>
      </c>
      <c r="C38" s="591"/>
      <c r="D38" s="362" t="str">
        <f ca="1">+D29</f>
        <v>D-WAVE</v>
      </c>
      <c r="E38" s="362" t="str">
        <f t="shared" ref="E38:O38" si="8">+E29</f>
        <v>IONQ</v>
      </c>
      <c r="F38" s="362" t="str">
        <f t="shared" si="8"/>
        <v>RIGETTI</v>
      </c>
      <c r="G38" s="362" t="str">
        <f t="shared" si="8"/>
        <v>QUANTUM</v>
      </c>
      <c r="H38" s="362" t="str">
        <f t="shared" si="8"/>
        <v/>
      </c>
      <c r="I38" s="362" t="str">
        <f t="shared" si="8"/>
        <v/>
      </c>
      <c r="J38" s="362" t="str">
        <f t="shared" si="8"/>
        <v/>
      </c>
      <c r="K38" s="362" t="str">
        <f t="shared" si="8"/>
        <v/>
      </c>
      <c r="L38" s="362" t="str">
        <f t="shared" si="8"/>
        <v/>
      </c>
      <c r="M38" s="362" t="str">
        <f t="shared" si="8"/>
        <v/>
      </c>
      <c r="N38" s="362" t="str">
        <f t="shared" si="8"/>
        <v/>
      </c>
      <c r="O38" s="362" t="str">
        <f t="shared" si="8"/>
        <v>Average</v>
      </c>
      <c r="P38" s="386"/>
      <c r="Q38" s="386"/>
      <c r="R38" s="592"/>
    </row>
    <row r="39" spans="2:18" s="352" customFormat="1" ht="3.75" customHeight="1" x14ac:dyDescent="0.3">
      <c r="B39" s="412"/>
      <c r="C39" s="412"/>
      <c r="D39" s="412"/>
      <c r="E39" s="412"/>
      <c r="F39" s="412"/>
      <c r="G39" s="412"/>
      <c r="H39" s="412"/>
      <c r="I39" s="412"/>
      <c r="J39" s="412"/>
      <c r="K39" s="412"/>
      <c r="L39" s="412"/>
      <c r="M39" s="412"/>
      <c r="N39" s="412"/>
      <c r="O39" s="423"/>
      <c r="P39" s="377"/>
      <c r="Q39" s="377"/>
      <c r="R39" s="424"/>
    </row>
    <row r="40" spans="2:18" s="352" customFormat="1" ht="14.25" customHeight="1" x14ac:dyDescent="0.3">
      <c r="B40" s="377" t="s">
        <v>230</v>
      </c>
      <c r="C40" s="377"/>
      <c r="D40" s="426">
        <f>IFERROR(D121/D117,"")</f>
        <v>0.19202613921232106</v>
      </c>
      <c r="E40" s="426">
        <f t="shared" ref="E40:N40" si="9">IFERROR(E121/E117,"")</f>
        <v>3.4865103031542839E-2</v>
      </c>
      <c r="F40" s="426">
        <f t="shared" si="9"/>
        <v>3.090028688107252E-2</v>
      </c>
      <c r="G40" s="426">
        <f t="shared" si="9"/>
        <v>7.6908549808217038E-3</v>
      </c>
      <c r="H40" s="426" t="str">
        <f t="shared" si="9"/>
        <v/>
      </c>
      <c r="I40" s="426" t="str">
        <f t="shared" si="9"/>
        <v/>
      </c>
      <c r="J40" s="426" t="str">
        <f t="shared" si="9"/>
        <v/>
      </c>
      <c r="K40" s="426" t="str">
        <f t="shared" si="9"/>
        <v/>
      </c>
      <c r="L40" s="426" t="str">
        <f t="shared" si="9"/>
        <v/>
      </c>
      <c r="M40" s="426" t="str">
        <f t="shared" si="9"/>
        <v/>
      </c>
      <c r="N40" s="426" t="str">
        <f t="shared" si="9"/>
        <v/>
      </c>
      <c r="O40" s="658">
        <f t="shared" ref="O40:O42" si="10">IFERROR(+AVERAGE(D40:N40),"")</f>
        <v>6.6370596026439535E-2</v>
      </c>
      <c r="P40" s="377"/>
      <c r="Q40" s="377"/>
      <c r="R40" s="424"/>
    </row>
    <row r="41" spans="2:18" s="352" customFormat="1" ht="14.25" customHeight="1" x14ac:dyDescent="0.3">
      <c r="B41" s="377" t="s">
        <v>231</v>
      </c>
      <c r="C41" s="377"/>
      <c r="D41" s="426">
        <f>IFERROR(+(D121-D111)/D100,"")</f>
        <v>2.0146477328484429</v>
      </c>
      <c r="E41" s="426">
        <f t="shared" ref="E41:N41" si="11">IFERROR(+(E121-E111)/E100,"")</f>
        <v>0.17150527827278639</v>
      </c>
      <c r="F41" s="426">
        <f t="shared" si="11"/>
        <v>0.30852028276920979</v>
      </c>
      <c r="G41" s="426">
        <f t="shared" si="11"/>
        <v>1.2492610204343915</v>
      </c>
      <c r="H41" s="426" t="str">
        <f t="shared" si="11"/>
        <v/>
      </c>
      <c r="I41" s="426" t="str">
        <f t="shared" si="11"/>
        <v/>
      </c>
      <c r="J41" s="426" t="str">
        <f t="shared" si="11"/>
        <v/>
      </c>
      <c r="K41" s="426" t="str">
        <f t="shared" si="11"/>
        <v/>
      </c>
      <c r="L41" s="426" t="str">
        <f t="shared" si="11"/>
        <v/>
      </c>
      <c r="M41" s="426" t="str">
        <f t="shared" si="11"/>
        <v/>
      </c>
      <c r="N41" s="426" t="str">
        <f t="shared" si="11"/>
        <v/>
      </c>
      <c r="O41" s="658">
        <f t="shared" si="10"/>
        <v>0.93598357858120762</v>
      </c>
      <c r="P41" s="377"/>
      <c r="Q41" s="377"/>
      <c r="R41" s="424"/>
    </row>
    <row r="42" spans="2:18" s="352" customFormat="1" ht="14.25" customHeight="1" x14ac:dyDescent="0.3">
      <c r="B42" s="377" t="s">
        <v>232</v>
      </c>
      <c r="C42" s="377"/>
      <c r="D42" s="426">
        <f t="shared" ref="D42:N42" si="12">IFERROR(D101/D102,"")</f>
        <v>-18.677444187836798</v>
      </c>
      <c r="E42" s="426">
        <f t="shared" si="12"/>
        <v>-12914.166666666666</v>
      </c>
      <c r="F42" s="426">
        <f t="shared" si="12"/>
        <v>-60.747465437788016</v>
      </c>
      <c r="G42" s="426">
        <f t="shared" si="12"/>
        <v>31.860106126386878</v>
      </c>
      <c r="H42" s="426" t="str">
        <f t="shared" si="12"/>
        <v/>
      </c>
      <c r="I42" s="426" t="str">
        <f t="shared" si="12"/>
        <v/>
      </c>
      <c r="J42" s="426" t="str">
        <f t="shared" si="12"/>
        <v/>
      </c>
      <c r="K42" s="426" t="str">
        <f t="shared" si="12"/>
        <v/>
      </c>
      <c r="L42" s="426" t="str">
        <f t="shared" si="12"/>
        <v/>
      </c>
      <c r="M42" s="426" t="str">
        <f t="shared" si="12"/>
        <v/>
      </c>
      <c r="N42" s="426" t="str">
        <f t="shared" si="12"/>
        <v/>
      </c>
      <c r="O42" s="658">
        <f t="shared" si="10"/>
        <v>-3240.4328675414758</v>
      </c>
      <c r="P42" s="377"/>
      <c r="Q42" s="377"/>
      <c r="R42" s="424"/>
    </row>
    <row r="43" spans="2:18" s="352" customFormat="1" ht="3.75" customHeight="1" x14ac:dyDescent="0.3">
      <c r="B43" s="377"/>
      <c r="C43" s="377"/>
      <c r="D43" s="377"/>
      <c r="E43" s="377"/>
      <c r="F43" s="377"/>
      <c r="G43" s="377"/>
      <c r="H43" s="377"/>
      <c r="I43" s="377"/>
      <c r="J43" s="377"/>
      <c r="K43" s="377"/>
      <c r="L43" s="377"/>
      <c r="M43" s="377"/>
      <c r="N43" s="377"/>
      <c r="O43" s="421"/>
      <c r="P43" s="377"/>
      <c r="Q43" s="377"/>
      <c r="R43" s="424"/>
    </row>
    <row r="44" spans="2:18" s="355" customFormat="1" ht="14.25" customHeight="1" x14ac:dyDescent="0.3">
      <c r="B44" s="590" t="s">
        <v>233</v>
      </c>
      <c r="C44" s="591"/>
      <c r="D44" s="362" t="str">
        <f ca="1">+D29</f>
        <v>D-WAVE</v>
      </c>
      <c r="E44" s="362" t="str">
        <f t="shared" ref="E44:O44" si="13">+E29</f>
        <v>IONQ</v>
      </c>
      <c r="F44" s="362" t="str">
        <f t="shared" si="13"/>
        <v>RIGETTI</v>
      </c>
      <c r="G44" s="362" t="str">
        <f t="shared" si="13"/>
        <v>QUANTUM</v>
      </c>
      <c r="H44" s="362" t="str">
        <f t="shared" si="13"/>
        <v/>
      </c>
      <c r="I44" s="362" t="str">
        <f t="shared" si="13"/>
        <v/>
      </c>
      <c r="J44" s="362" t="str">
        <f t="shared" si="13"/>
        <v/>
      </c>
      <c r="K44" s="362" t="str">
        <f t="shared" si="13"/>
        <v/>
      </c>
      <c r="L44" s="362" t="str">
        <f t="shared" si="13"/>
        <v/>
      </c>
      <c r="M44" s="362" t="str">
        <f t="shared" si="13"/>
        <v/>
      </c>
      <c r="N44" s="362" t="str">
        <f t="shared" si="13"/>
        <v/>
      </c>
      <c r="O44" s="362" t="str">
        <f t="shared" si="13"/>
        <v>Average</v>
      </c>
      <c r="P44" s="386"/>
      <c r="Q44" s="386"/>
      <c r="R44" s="592"/>
    </row>
    <row r="45" spans="2:18" s="352" customFormat="1" ht="3.75" customHeight="1" x14ac:dyDescent="0.3">
      <c r="B45" s="412"/>
      <c r="C45" s="412"/>
      <c r="D45" s="412"/>
      <c r="E45" s="412"/>
      <c r="F45" s="412"/>
      <c r="G45" s="412"/>
      <c r="H45" s="412"/>
      <c r="I45" s="412"/>
      <c r="J45" s="412"/>
      <c r="K45" s="412"/>
      <c r="L45" s="412"/>
      <c r="M45" s="412"/>
      <c r="N45" s="412"/>
      <c r="O45" s="423"/>
      <c r="P45" s="377"/>
      <c r="Q45" s="377"/>
      <c r="R45" s="424"/>
    </row>
    <row r="46" spans="2:18" s="352" customFormat="1" ht="14.25" customHeight="1" x14ac:dyDescent="0.3">
      <c r="B46" s="377" t="s">
        <v>43</v>
      </c>
      <c r="C46" s="377"/>
      <c r="D46" s="426">
        <f>IFERROR(D111/D119,"")</f>
        <v>5.9041300381489465</v>
      </c>
      <c r="E46" s="426">
        <f t="shared" ref="E46:N46" si="14">IFERROR(E111/E119,"")</f>
        <v>1507.3576278231951</v>
      </c>
      <c r="F46" s="426">
        <f t="shared" si="14"/>
        <v>5702.7049801971853</v>
      </c>
      <c r="G46" s="426">
        <f t="shared" si="14"/>
        <v>17316.297433647731</v>
      </c>
      <c r="H46" s="426" t="str">
        <f t="shared" si="14"/>
        <v/>
      </c>
      <c r="I46" s="426" t="str">
        <f t="shared" si="14"/>
        <v/>
      </c>
      <c r="J46" s="426" t="str">
        <f t="shared" si="14"/>
        <v/>
      </c>
      <c r="K46" s="426" t="str">
        <f t="shared" si="14"/>
        <v/>
      </c>
      <c r="L46" s="426" t="str">
        <f t="shared" si="14"/>
        <v/>
      </c>
      <c r="M46" s="426" t="str">
        <f t="shared" si="14"/>
        <v/>
      </c>
      <c r="N46" s="426" t="str">
        <f t="shared" si="14"/>
        <v/>
      </c>
      <c r="O46" s="658">
        <f t="shared" ref="O46:O48" si="15">IFERROR(+AVERAGE(D46:N46),"")</f>
        <v>6133.0660429265645</v>
      </c>
      <c r="P46" s="377"/>
      <c r="Q46" s="377"/>
      <c r="R46" s="424"/>
    </row>
    <row r="47" spans="2:18" s="352" customFormat="1" ht="14.25" customHeight="1" x14ac:dyDescent="0.3">
      <c r="B47" s="377" t="s">
        <v>46</v>
      </c>
      <c r="C47" s="377"/>
      <c r="D47" s="426">
        <f>IFERROR(+(D111+D112)/D119,"")</f>
        <v>5.951235694144966</v>
      </c>
      <c r="E47" s="426">
        <f t="shared" ref="E47:N47" si="16">IFERROR(+(E111+E112)/E119,"")</f>
        <v>1687.9312733822917</v>
      </c>
      <c r="F47" s="426">
        <f t="shared" si="16"/>
        <v>5907.221707255414</v>
      </c>
      <c r="G47" s="426">
        <f t="shared" si="16"/>
        <v>17322.219785040579</v>
      </c>
      <c r="H47" s="426" t="str">
        <f t="shared" si="16"/>
        <v/>
      </c>
      <c r="I47" s="426" t="str">
        <f t="shared" si="16"/>
        <v/>
      </c>
      <c r="J47" s="426" t="str">
        <f t="shared" si="16"/>
        <v/>
      </c>
      <c r="K47" s="426" t="str">
        <f t="shared" si="16"/>
        <v/>
      </c>
      <c r="L47" s="426" t="str">
        <f t="shared" si="16"/>
        <v/>
      </c>
      <c r="M47" s="426" t="str">
        <f t="shared" si="16"/>
        <v/>
      </c>
      <c r="N47" s="426" t="str">
        <f t="shared" si="16"/>
        <v/>
      </c>
      <c r="O47" s="658">
        <f t="shared" si="15"/>
        <v>6230.831000343107</v>
      </c>
      <c r="P47" s="377"/>
      <c r="Q47" s="377"/>
      <c r="R47" s="424"/>
    </row>
    <row r="48" spans="2:18" s="352" customFormat="1" ht="14.25" customHeight="1" x14ac:dyDescent="0.3">
      <c r="B48" s="377" t="s">
        <v>48</v>
      </c>
      <c r="C48" s="377"/>
      <c r="D48" s="426">
        <f>IFERROR(D115/D119,"")</f>
        <v>6.1383313982418315</v>
      </c>
      <c r="E48" s="426">
        <f t="shared" ref="E48:N48" si="17">IFERROR(E115/E119,"")</f>
        <v>10497.492032700568</v>
      </c>
      <c r="F48" s="426">
        <f t="shared" si="17"/>
        <v>17422.937557933765</v>
      </c>
      <c r="G48" s="426">
        <f t="shared" si="17"/>
        <v>17361.48278131169</v>
      </c>
      <c r="H48" s="426" t="str">
        <f t="shared" si="17"/>
        <v/>
      </c>
      <c r="I48" s="426" t="str">
        <f t="shared" si="17"/>
        <v/>
      </c>
      <c r="J48" s="426" t="str">
        <f t="shared" si="17"/>
        <v/>
      </c>
      <c r="K48" s="426" t="str">
        <f t="shared" si="17"/>
        <v/>
      </c>
      <c r="L48" s="426" t="str">
        <f t="shared" si="17"/>
        <v/>
      </c>
      <c r="M48" s="426" t="str">
        <f t="shared" si="17"/>
        <v/>
      </c>
      <c r="N48" s="426" t="str">
        <f t="shared" si="17"/>
        <v/>
      </c>
      <c r="O48" s="658">
        <f t="shared" si="15"/>
        <v>11322.012675836068</v>
      </c>
      <c r="P48" s="377"/>
      <c r="Q48" s="377"/>
      <c r="R48" s="424"/>
    </row>
    <row r="49" spans="2:18" s="352" customFormat="1" ht="3.75" customHeight="1" x14ac:dyDescent="0.3">
      <c r="B49" s="377"/>
      <c r="C49" s="377"/>
      <c r="D49" s="426"/>
      <c r="E49" s="377"/>
      <c r="F49" s="377"/>
      <c r="G49" s="377"/>
      <c r="H49" s="377"/>
      <c r="I49" s="377"/>
      <c r="J49" s="377"/>
      <c r="K49" s="377"/>
      <c r="L49" s="377"/>
      <c r="M49" s="377"/>
      <c r="N49" s="377"/>
      <c r="O49" s="421"/>
      <c r="P49" s="377"/>
      <c r="Q49" s="377"/>
      <c r="R49" s="424"/>
    </row>
    <row r="50" spans="2:18" s="355" customFormat="1" ht="14.25" customHeight="1" x14ac:dyDescent="0.3">
      <c r="B50" s="590" t="s">
        <v>234</v>
      </c>
      <c r="C50" s="591"/>
      <c r="D50" s="362" t="str">
        <f ca="1">+D29</f>
        <v>D-WAVE</v>
      </c>
      <c r="E50" s="362" t="str">
        <f t="shared" ref="E50:O50" si="18">+E29</f>
        <v>IONQ</v>
      </c>
      <c r="F50" s="362" t="str">
        <f t="shared" si="18"/>
        <v>RIGETTI</v>
      </c>
      <c r="G50" s="362" t="str">
        <f t="shared" si="18"/>
        <v>QUANTUM</v>
      </c>
      <c r="H50" s="362" t="str">
        <f t="shared" si="18"/>
        <v/>
      </c>
      <c r="I50" s="362" t="str">
        <f t="shared" si="18"/>
        <v/>
      </c>
      <c r="J50" s="362" t="str">
        <f t="shared" si="18"/>
        <v/>
      </c>
      <c r="K50" s="362" t="str">
        <f t="shared" si="18"/>
        <v/>
      </c>
      <c r="L50" s="362" t="str">
        <f t="shared" si="18"/>
        <v/>
      </c>
      <c r="M50" s="362" t="str">
        <f t="shared" si="18"/>
        <v/>
      </c>
      <c r="N50" s="362" t="str">
        <f t="shared" si="18"/>
        <v/>
      </c>
      <c r="O50" s="362" t="str">
        <f t="shared" si="18"/>
        <v>Average</v>
      </c>
      <c r="P50" s="386"/>
      <c r="Q50" s="386"/>
      <c r="R50" s="592"/>
    </row>
    <row r="51" spans="2:18" s="352" customFormat="1" ht="3.75" customHeight="1" x14ac:dyDescent="0.3">
      <c r="B51" s="412"/>
      <c r="C51" s="412"/>
      <c r="D51" s="412"/>
      <c r="E51" s="412"/>
      <c r="F51" s="412"/>
      <c r="G51" s="412"/>
      <c r="H51" s="412"/>
      <c r="I51" s="412"/>
      <c r="J51" s="412"/>
      <c r="K51" s="412"/>
      <c r="L51" s="412"/>
      <c r="M51" s="412"/>
      <c r="N51" s="412"/>
      <c r="O51" s="423"/>
      <c r="P51" s="377"/>
      <c r="Q51" s="377"/>
      <c r="R51" s="424"/>
    </row>
    <row r="52" spans="2:18" s="352" customFormat="1" ht="14.25" customHeight="1" x14ac:dyDescent="0.3">
      <c r="B52" s="377" t="s">
        <v>235</v>
      </c>
      <c r="C52" s="377"/>
      <c r="D52" s="711">
        <f>IFERROR(D98/(AVERAGE(D113:D114)),"")</f>
        <v>1.7343251859723698</v>
      </c>
      <c r="E52" s="711">
        <f t="shared" ref="E52:N52" si="19">IFERROR(E98/(AVERAGE(E113:E114)),"")</f>
        <v>1.3490075158990171</v>
      </c>
      <c r="F52" s="711" t="str">
        <f>IFERROR(F98/(AVERAGE(F113:F114)),"")</f>
        <v/>
      </c>
      <c r="G52" s="711">
        <f t="shared" si="19"/>
        <v>5.7142857142857144</v>
      </c>
      <c r="H52" s="711" t="str">
        <f t="shared" si="19"/>
        <v/>
      </c>
      <c r="I52" s="711" t="str">
        <f t="shared" si="19"/>
        <v/>
      </c>
      <c r="J52" s="711" t="str">
        <f t="shared" si="19"/>
        <v/>
      </c>
      <c r="K52" s="711" t="str">
        <f t="shared" si="19"/>
        <v/>
      </c>
      <c r="L52" s="711" t="str">
        <f t="shared" si="19"/>
        <v/>
      </c>
      <c r="M52" s="711" t="str">
        <f t="shared" si="19"/>
        <v/>
      </c>
      <c r="N52" s="711" t="str">
        <f t="shared" si="19"/>
        <v/>
      </c>
      <c r="O52" s="658">
        <f t="shared" ref="O52:O57" si="20">IFERROR(+AVERAGE(D52:N52),"")</f>
        <v>2.9325394720523672</v>
      </c>
      <c r="P52" s="377"/>
      <c r="Q52" s="377"/>
      <c r="R52" s="424"/>
    </row>
    <row r="53" spans="2:18" s="352" customFormat="1" ht="14.25" customHeight="1" x14ac:dyDescent="0.3">
      <c r="B53" s="377" t="s">
        <v>236</v>
      </c>
      <c r="C53" s="377"/>
      <c r="D53" s="711">
        <f>IFERROR(D97/D112,"")</f>
        <v>6.2161971830985916</v>
      </c>
      <c r="E53" s="711">
        <f t="shared" ref="E53:N53" si="21">IFERROR(E97/E112,"")</f>
        <v>6.6103437691835483</v>
      </c>
      <c r="F53" s="711">
        <f t="shared" si="21"/>
        <v>4.4458178821590444</v>
      </c>
      <c r="G53" s="711">
        <f t="shared" si="21"/>
        <v>13.814814814814815</v>
      </c>
      <c r="H53" s="711" t="str">
        <f t="shared" si="21"/>
        <v/>
      </c>
      <c r="I53" s="711" t="str">
        <f t="shared" si="21"/>
        <v/>
      </c>
      <c r="J53" s="711" t="str">
        <f t="shared" si="21"/>
        <v/>
      </c>
      <c r="K53" s="711" t="str">
        <f t="shared" si="21"/>
        <v/>
      </c>
      <c r="L53" s="711" t="str">
        <f t="shared" si="21"/>
        <v/>
      </c>
      <c r="M53" s="711" t="str">
        <f t="shared" si="21"/>
        <v/>
      </c>
      <c r="N53" s="711" t="str">
        <f t="shared" si="21"/>
        <v/>
      </c>
      <c r="O53" s="658">
        <f t="shared" si="20"/>
        <v>7.7717934123140004</v>
      </c>
      <c r="P53" s="377"/>
      <c r="Q53" s="377"/>
      <c r="R53" s="424"/>
    </row>
    <row r="54" spans="2:18" s="352" customFormat="1" ht="14.25" customHeight="1" x14ac:dyDescent="0.3">
      <c r="B54" s="377" t="s">
        <v>237</v>
      </c>
      <c r="C54" s="377"/>
      <c r="D54" s="711">
        <f>IFERROR(D98/D118,"")</f>
        <v>4.0049079754601227</v>
      </c>
      <c r="E54" s="711">
        <f t="shared" ref="E54:N54" si="22">IFERROR(E98/E118,"")</f>
        <v>4015.2963671128105</v>
      </c>
      <c r="F54" s="711">
        <f t="shared" si="22"/>
        <v>2574.457344775366</v>
      </c>
      <c r="G54" s="711">
        <f t="shared" si="22"/>
        <v>189.50437317784255</v>
      </c>
      <c r="H54" s="711" t="str">
        <f t="shared" si="22"/>
        <v/>
      </c>
      <c r="I54" s="711" t="str">
        <f t="shared" si="22"/>
        <v/>
      </c>
      <c r="J54" s="711" t="str">
        <f t="shared" si="22"/>
        <v/>
      </c>
      <c r="K54" s="711" t="str">
        <f t="shared" si="22"/>
        <v/>
      </c>
      <c r="L54" s="711" t="str">
        <f t="shared" si="22"/>
        <v/>
      </c>
      <c r="M54" s="711" t="str">
        <f t="shared" si="22"/>
        <v/>
      </c>
      <c r="N54" s="711" t="str">
        <f t="shared" si="22"/>
        <v/>
      </c>
      <c r="O54" s="658">
        <f t="shared" si="20"/>
        <v>1695.8157482603697</v>
      </c>
      <c r="P54" s="377"/>
      <c r="Q54" s="377"/>
      <c r="R54" s="424"/>
    </row>
    <row r="55" spans="2:18" s="352" customFormat="1" ht="14.25" customHeight="1" x14ac:dyDescent="0.3">
      <c r="B55" s="377" t="s">
        <v>238</v>
      </c>
      <c r="C55" s="377"/>
      <c r="D55" s="426">
        <f>IFERROR(D97/D116,"")</f>
        <v>0.77470598560645954</v>
      </c>
      <c r="E55" s="426">
        <f t="shared" ref="E55:N55" si="23">IFERROR(E97/E116,"")</f>
        <v>692.14700069097398</v>
      </c>
      <c r="F55" s="426">
        <f t="shared" si="23"/>
        <v>204.99278060642905</v>
      </c>
      <c r="G55" s="426">
        <f t="shared" si="23"/>
        <v>38.319293199095952</v>
      </c>
      <c r="H55" s="426" t="str">
        <f t="shared" si="23"/>
        <v/>
      </c>
      <c r="I55" s="426" t="str">
        <f t="shared" si="23"/>
        <v/>
      </c>
      <c r="J55" s="426" t="str">
        <f t="shared" si="23"/>
        <v/>
      </c>
      <c r="K55" s="426" t="str">
        <f t="shared" si="23"/>
        <v/>
      </c>
      <c r="L55" s="426" t="str">
        <f t="shared" si="23"/>
        <v/>
      </c>
      <c r="M55" s="426" t="str">
        <f t="shared" si="23"/>
        <v/>
      </c>
      <c r="N55" s="426" t="str">
        <f t="shared" si="23"/>
        <v/>
      </c>
      <c r="O55" s="658">
        <f t="shared" si="20"/>
        <v>234.05844512052636</v>
      </c>
      <c r="P55" s="377"/>
      <c r="Q55" s="377"/>
      <c r="R55" s="424"/>
    </row>
    <row r="56" spans="2:18" s="352" customFormat="1" ht="14.25" customHeight="1" x14ac:dyDescent="0.3">
      <c r="B56" s="377" t="s">
        <v>239</v>
      </c>
      <c r="C56" s="377"/>
      <c r="D56" s="426">
        <f>IFERROR(D97/D117,"")</f>
        <v>4.4167463085367745E-2</v>
      </c>
      <c r="E56" s="426">
        <f t="shared" ref="E56:N56" si="24">IFERROR(E97/E117,"")</f>
        <v>8.4724659118625936E-2</v>
      </c>
      <c r="F56" s="426">
        <f t="shared" si="24"/>
        <v>3.7887965391678692E-2</v>
      </c>
      <c r="G56" s="426">
        <f t="shared" si="24"/>
        <v>2.4290337915719691E-3</v>
      </c>
      <c r="H56" s="426" t="str">
        <f t="shared" si="24"/>
        <v/>
      </c>
      <c r="I56" s="426" t="str">
        <f t="shared" si="24"/>
        <v/>
      </c>
      <c r="J56" s="426" t="str">
        <f t="shared" si="24"/>
        <v/>
      </c>
      <c r="K56" s="426" t="str">
        <f t="shared" si="24"/>
        <v/>
      </c>
      <c r="L56" s="426" t="str">
        <f t="shared" si="24"/>
        <v/>
      </c>
      <c r="M56" s="426" t="str">
        <f t="shared" si="24"/>
        <v/>
      </c>
      <c r="N56" s="426" t="str">
        <f t="shared" si="24"/>
        <v/>
      </c>
      <c r="O56" s="658">
        <f t="shared" si="20"/>
        <v>4.2302280346811084E-2</v>
      </c>
      <c r="P56" s="377"/>
      <c r="Q56" s="377"/>
      <c r="R56" s="424"/>
    </row>
    <row r="57" spans="2:18" s="352" customFormat="1" ht="14.25" customHeight="1" x14ac:dyDescent="0.3">
      <c r="B57" s="377" t="s">
        <v>240</v>
      </c>
      <c r="C57" s="377"/>
      <c r="D57" s="712">
        <f>IFERROR(365/D52+365/D53-365/D54,"")</f>
        <v>178.03589216713647</v>
      </c>
      <c r="E57" s="712">
        <f t="shared" ref="E57:N57" si="25">IFERROR(365/E52+365/E53-365/E54,"")</f>
        <v>325.69487626393953</v>
      </c>
      <c r="F57" s="712" t="str">
        <f t="shared" si="25"/>
        <v/>
      </c>
      <c r="G57" s="712">
        <f t="shared" si="25"/>
        <v>88.369834605073208</v>
      </c>
      <c r="H57" s="712" t="str">
        <f t="shared" si="25"/>
        <v/>
      </c>
      <c r="I57" s="712" t="str">
        <f t="shared" si="25"/>
        <v/>
      </c>
      <c r="J57" s="712" t="str">
        <f t="shared" si="25"/>
        <v/>
      </c>
      <c r="K57" s="712" t="str">
        <f t="shared" si="25"/>
        <v/>
      </c>
      <c r="L57" s="712" t="str">
        <f t="shared" si="25"/>
        <v/>
      </c>
      <c r="M57" s="712" t="str">
        <f t="shared" si="25"/>
        <v/>
      </c>
      <c r="N57" s="712" t="str">
        <f t="shared" si="25"/>
        <v/>
      </c>
      <c r="O57" s="658">
        <f t="shared" si="20"/>
        <v>197.3668676787164</v>
      </c>
      <c r="P57" s="377"/>
      <c r="Q57" s="377"/>
      <c r="R57" s="424"/>
    </row>
    <row r="58" spans="2:18" s="352" customFormat="1" ht="4.4000000000000004" customHeight="1" x14ac:dyDescent="0.3">
      <c r="B58" s="377"/>
      <c r="C58" s="377"/>
      <c r="D58" s="658"/>
      <c r="E58" s="658"/>
      <c r="F58" s="658"/>
      <c r="G58" s="658"/>
      <c r="H58" s="658"/>
      <c r="I58" s="658"/>
      <c r="J58" s="658"/>
      <c r="K58" s="658"/>
      <c r="L58" s="658"/>
      <c r="M58" s="658"/>
      <c r="N58" s="658"/>
      <c r="O58" s="658"/>
      <c r="P58" s="377"/>
      <c r="Q58" s="377"/>
      <c r="R58" s="424"/>
    </row>
    <row r="59" spans="2:18" s="352" customFormat="1" ht="14.25" customHeight="1" x14ac:dyDescent="0.3">
      <c r="B59" s="590" t="s">
        <v>241</v>
      </c>
      <c r="C59" s="591"/>
      <c r="D59" s="362" t="str">
        <f ca="1">+D38</f>
        <v>D-WAVE</v>
      </c>
      <c r="E59" s="362" t="str">
        <f t="shared" ref="E59:O59" si="26">+E38</f>
        <v>IONQ</v>
      </c>
      <c r="F59" s="362" t="str">
        <f t="shared" si="26"/>
        <v>RIGETTI</v>
      </c>
      <c r="G59" s="362" t="str">
        <f t="shared" si="26"/>
        <v>QUANTUM</v>
      </c>
      <c r="H59" s="362" t="str">
        <f t="shared" si="26"/>
        <v/>
      </c>
      <c r="I59" s="362" t="str">
        <f t="shared" si="26"/>
        <v/>
      </c>
      <c r="J59" s="362" t="str">
        <f t="shared" si="26"/>
        <v/>
      </c>
      <c r="K59" s="362" t="str">
        <f t="shared" si="26"/>
        <v/>
      </c>
      <c r="L59" s="362" t="str">
        <f t="shared" si="26"/>
        <v/>
      </c>
      <c r="M59" s="362" t="str">
        <f t="shared" si="26"/>
        <v/>
      </c>
      <c r="N59" s="362" t="str">
        <f t="shared" si="26"/>
        <v/>
      </c>
      <c r="O59" s="362" t="str">
        <f t="shared" si="26"/>
        <v>Average</v>
      </c>
      <c r="P59" s="377"/>
      <c r="Q59" s="377"/>
      <c r="R59" s="424"/>
    </row>
    <row r="60" spans="2:18" s="352" customFormat="1" ht="4.4000000000000004" customHeight="1" x14ac:dyDescent="0.3">
      <c r="B60" s="412"/>
      <c r="C60" s="412"/>
      <c r="D60" s="412"/>
      <c r="E60" s="412"/>
      <c r="F60" s="412"/>
      <c r="G60" s="412"/>
      <c r="H60" s="412"/>
      <c r="I60" s="412"/>
      <c r="J60" s="412"/>
      <c r="K60" s="412"/>
      <c r="L60" s="412"/>
      <c r="M60" s="412"/>
      <c r="N60" s="412"/>
      <c r="O60" s="423"/>
      <c r="P60" s="377"/>
      <c r="Q60" s="377"/>
      <c r="R60" s="424"/>
    </row>
    <row r="61" spans="2:18" s="352" customFormat="1" ht="14.25" customHeight="1" x14ac:dyDescent="0.3">
      <c r="B61" s="377" t="s">
        <v>242</v>
      </c>
      <c r="C61" s="377"/>
      <c r="D61" s="659">
        <f>IFERROR(D132/D97,"")</f>
        <v>15.483516483516484</v>
      </c>
      <c r="E61" s="659">
        <f t="shared" ref="E61:N61" si="27">IFERROR(E132/E97,"")</f>
        <v>0.43493603881782089</v>
      </c>
      <c r="F61" s="659">
        <f t="shared" si="27"/>
        <v>4.3067655236329934</v>
      </c>
      <c r="G61" s="659">
        <f>IFERROR(G132/G97,"")</f>
        <v>206.12868632707776</v>
      </c>
      <c r="H61" s="659" t="str">
        <f t="shared" si="27"/>
        <v/>
      </c>
      <c r="I61" s="659" t="str">
        <f t="shared" si="27"/>
        <v/>
      </c>
      <c r="J61" s="659" t="str">
        <f t="shared" si="27"/>
        <v/>
      </c>
      <c r="K61" s="659" t="str">
        <f t="shared" si="27"/>
        <v/>
      </c>
      <c r="L61" s="659" t="str">
        <f t="shared" si="27"/>
        <v/>
      </c>
      <c r="M61" s="659" t="str">
        <f t="shared" si="27"/>
        <v/>
      </c>
      <c r="N61" s="659" t="str">
        <f t="shared" si="27"/>
        <v/>
      </c>
      <c r="O61" s="659">
        <f>IFERROR(+AVERAGE(D61:N61),"")</f>
        <v>56.588476093261264</v>
      </c>
      <c r="P61" s="377"/>
      <c r="Q61" s="377"/>
      <c r="R61" s="424"/>
    </row>
    <row r="62" spans="2:18" s="352" customFormat="1" ht="14.25" customHeight="1" x14ac:dyDescent="0.3">
      <c r="B62" s="377" t="s">
        <v>243</v>
      </c>
      <c r="C62" s="377"/>
      <c r="D62" s="659">
        <f>IFERROR(D132/D96,"")</f>
        <v>-1.6523363356102279</v>
      </c>
      <c r="E62" s="659">
        <f t="shared" ref="E62:N62" si="28">IFERROR(E132/E96,"")</f>
        <v>-0.11874172059503965</v>
      </c>
      <c r="F62" s="659">
        <f t="shared" si="28"/>
        <v>-0.61871729665676967</v>
      </c>
      <c r="G62" s="659">
        <f t="shared" si="28"/>
        <v>-2.8453112278883874</v>
      </c>
      <c r="H62" s="659" t="str">
        <f t="shared" si="28"/>
        <v/>
      </c>
      <c r="I62" s="659" t="str">
        <f t="shared" si="28"/>
        <v/>
      </c>
      <c r="J62" s="659" t="str">
        <f t="shared" si="28"/>
        <v/>
      </c>
      <c r="K62" s="659" t="str">
        <f t="shared" si="28"/>
        <v/>
      </c>
      <c r="L62" s="659" t="str">
        <f t="shared" si="28"/>
        <v/>
      </c>
      <c r="M62" s="659" t="str">
        <f t="shared" si="28"/>
        <v/>
      </c>
      <c r="N62" s="659" t="str">
        <f t="shared" si="28"/>
        <v/>
      </c>
      <c r="O62" s="659">
        <f t="shared" ref="O62:O68" si="29">IFERROR(+AVERAGE(D62:N62),"")</f>
        <v>-1.3087766451876062</v>
      </c>
      <c r="P62" s="377"/>
      <c r="Q62" s="377"/>
      <c r="R62" s="424"/>
    </row>
    <row r="63" spans="2:18" s="352" customFormat="1" ht="14.25" customHeight="1" x14ac:dyDescent="0.3">
      <c r="B63" s="377" t="s">
        <v>244</v>
      </c>
      <c r="C63" s="377"/>
      <c r="D63" s="659">
        <f>+IFERROR(D126/D105,"")</f>
        <v>0.29638098680140951</v>
      </c>
      <c r="E63" s="659">
        <f t="shared" ref="E63:N63" si="30">+IFERROR(E126/E105,"")</f>
        <v>0.31920385228872866</v>
      </c>
      <c r="F63" s="659">
        <f t="shared" si="30"/>
        <v>0.25189066013891376</v>
      </c>
      <c r="G63" s="659">
        <f t="shared" si="30"/>
        <v>0.23654109888827288</v>
      </c>
      <c r="H63" s="659" t="str">
        <f t="shared" si="30"/>
        <v/>
      </c>
      <c r="I63" s="659" t="str">
        <f t="shared" si="30"/>
        <v/>
      </c>
      <c r="J63" s="659" t="str">
        <f t="shared" si="30"/>
        <v/>
      </c>
      <c r="K63" s="659" t="str">
        <f t="shared" si="30"/>
        <v/>
      </c>
      <c r="L63" s="659" t="str">
        <f t="shared" si="30"/>
        <v/>
      </c>
      <c r="M63" s="659" t="str">
        <f t="shared" si="30"/>
        <v/>
      </c>
      <c r="N63" s="659" t="str">
        <f t="shared" si="30"/>
        <v/>
      </c>
      <c r="O63" s="659">
        <f t="shared" si="29"/>
        <v>0.27600414952933117</v>
      </c>
      <c r="P63" s="377"/>
      <c r="Q63" s="377"/>
      <c r="R63" s="424"/>
    </row>
    <row r="64" spans="2:18" s="352" customFormat="1" ht="14.25" customHeight="1" x14ac:dyDescent="0.3">
      <c r="B64" s="377" t="s">
        <v>245</v>
      </c>
      <c r="C64" s="377"/>
      <c r="D64" s="659">
        <f t="shared" ref="D64:N64" si="31">IFERROR(-D127/D126,"")</f>
        <v>-5.6163965949862817E-2</v>
      </c>
      <c r="E64" s="659">
        <f t="shared" si="31"/>
        <v>-0.17003107790257219</v>
      </c>
      <c r="F64" s="659">
        <f t="shared" si="31"/>
        <v>-0.21925059750725898</v>
      </c>
      <c r="G64" s="659">
        <f t="shared" si="31"/>
        <v>-0.37007339789058163</v>
      </c>
      <c r="H64" s="659" t="str">
        <f t="shared" si="31"/>
        <v/>
      </c>
      <c r="I64" s="659" t="str">
        <f t="shared" si="31"/>
        <v/>
      </c>
      <c r="J64" s="659" t="str">
        <f t="shared" si="31"/>
        <v/>
      </c>
      <c r="K64" s="659" t="str">
        <f t="shared" si="31"/>
        <v/>
      </c>
      <c r="L64" s="659" t="str">
        <f t="shared" si="31"/>
        <v/>
      </c>
      <c r="M64" s="659" t="str">
        <f t="shared" si="31"/>
        <v/>
      </c>
      <c r="N64" s="659" t="str">
        <f t="shared" si="31"/>
        <v/>
      </c>
      <c r="O64" s="659">
        <f t="shared" si="29"/>
        <v>-0.20387975981256889</v>
      </c>
      <c r="P64" s="377"/>
      <c r="Q64" s="377"/>
      <c r="R64" s="424"/>
    </row>
    <row r="65" spans="1:52" s="352" customFormat="1" ht="14.25" customHeight="1" x14ac:dyDescent="0.3">
      <c r="A65" s="377"/>
      <c r="B65" s="377" t="s">
        <v>246</v>
      </c>
      <c r="C65" s="377"/>
      <c r="D65" s="659">
        <f>IFERROR(-D128/D126,"")</f>
        <v>-7.3658044696667688E-2</v>
      </c>
      <c r="E65" s="659">
        <f t="shared" ref="E65:N65" si="32">IFERROR(-E128/E126,"")</f>
        <v>0.78148172638221092</v>
      </c>
      <c r="F65" s="659">
        <f t="shared" si="32"/>
        <v>-1.5478302091769214</v>
      </c>
      <c r="G65" s="659">
        <f t="shared" si="32"/>
        <v>-0.39227780176401655</v>
      </c>
      <c r="H65" s="659" t="str">
        <f t="shared" si="32"/>
        <v/>
      </c>
      <c r="I65" s="659" t="str">
        <f t="shared" si="32"/>
        <v/>
      </c>
      <c r="J65" s="659" t="str">
        <f t="shared" si="32"/>
        <v/>
      </c>
      <c r="K65" s="659" t="str">
        <f t="shared" si="32"/>
        <v/>
      </c>
      <c r="L65" s="659" t="str">
        <f t="shared" si="32"/>
        <v/>
      </c>
      <c r="M65" s="659" t="str">
        <f t="shared" si="32"/>
        <v/>
      </c>
      <c r="N65" s="659" t="str">
        <f t="shared" si="32"/>
        <v/>
      </c>
      <c r="O65" s="659">
        <f t="shared" si="29"/>
        <v>-0.30807108231384867</v>
      </c>
      <c r="P65" s="377"/>
      <c r="Q65" s="377"/>
      <c r="R65" s="424"/>
      <c r="S65" s="377"/>
      <c r="T65" s="377"/>
      <c r="U65" s="377"/>
      <c r="V65" s="377"/>
      <c r="W65" s="377"/>
      <c r="X65" s="377"/>
      <c r="Y65" s="377"/>
      <c r="Z65" s="377"/>
      <c r="AA65" s="377"/>
      <c r="AB65" s="377"/>
      <c r="AC65" s="377"/>
      <c r="AD65" s="377"/>
      <c r="AE65" s="377"/>
      <c r="AF65" s="377"/>
      <c r="AG65" s="377"/>
      <c r="AH65" s="377"/>
      <c r="AI65" s="377"/>
      <c r="AJ65" s="377"/>
      <c r="AK65" s="377"/>
      <c r="AL65" s="377"/>
      <c r="AM65" s="377"/>
      <c r="AN65" s="377"/>
      <c r="AO65" s="377"/>
      <c r="AP65" s="377"/>
      <c r="AQ65" s="377"/>
      <c r="AR65" s="377"/>
      <c r="AS65" s="377"/>
      <c r="AT65" s="377"/>
      <c r="AU65" s="377"/>
      <c r="AV65" s="377"/>
      <c r="AW65" s="377"/>
      <c r="AX65" s="377"/>
      <c r="AY65" s="377"/>
      <c r="AZ65" s="377"/>
    </row>
    <row r="66" spans="1:52" s="352" customFormat="1" ht="14.25" customHeight="1" x14ac:dyDescent="0.3">
      <c r="A66" s="377"/>
      <c r="B66" s="377" t="s">
        <v>247</v>
      </c>
      <c r="C66" s="377"/>
      <c r="D66" s="659">
        <f>IFERROR((D129+D130)/D126,"")</f>
        <v>0.71219191895504541</v>
      </c>
      <c r="E66" s="659">
        <f>IFERROR((E129+E130)/E126,"")</f>
        <v>0</v>
      </c>
      <c r="F66" s="659">
        <f t="shared" ref="F66:N66" si="33">IFERROR((F129+F130)/F126,"")</f>
        <v>0.46078179627471505</v>
      </c>
      <c r="G66" s="659">
        <f t="shared" si="33"/>
        <v>0</v>
      </c>
      <c r="H66" s="659" t="str">
        <f t="shared" si="33"/>
        <v/>
      </c>
      <c r="I66" s="659" t="str">
        <f t="shared" si="33"/>
        <v/>
      </c>
      <c r="J66" s="659" t="str">
        <f t="shared" si="33"/>
        <v/>
      </c>
      <c r="K66" s="659" t="str">
        <f t="shared" si="33"/>
        <v/>
      </c>
      <c r="L66" s="659" t="str">
        <f t="shared" si="33"/>
        <v/>
      </c>
      <c r="M66" s="659" t="str">
        <f t="shared" si="33"/>
        <v/>
      </c>
      <c r="N66" s="659" t="str">
        <f t="shared" si="33"/>
        <v/>
      </c>
      <c r="O66" s="659">
        <f t="shared" si="29"/>
        <v>0.29324342880744014</v>
      </c>
      <c r="P66" s="377"/>
      <c r="Q66" s="377"/>
      <c r="R66" s="424"/>
      <c r="S66" s="377"/>
      <c r="T66" s="377"/>
      <c r="U66" s="377"/>
      <c r="V66" s="377"/>
      <c r="W66" s="377"/>
      <c r="X66" s="377"/>
      <c r="Y66" s="377"/>
      <c r="Z66" s="377"/>
      <c r="AA66" s="377"/>
      <c r="AB66" s="377"/>
      <c r="AC66" s="377"/>
      <c r="AD66" s="377"/>
      <c r="AE66" s="377"/>
      <c r="AF66" s="377"/>
      <c r="AG66" s="377"/>
      <c r="AH66" s="377"/>
      <c r="AI66" s="377"/>
      <c r="AJ66" s="377"/>
      <c r="AK66" s="377"/>
      <c r="AL66" s="377"/>
      <c r="AM66" s="377"/>
      <c r="AN66" s="377"/>
      <c r="AO66" s="377"/>
      <c r="AP66" s="377"/>
      <c r="AQ66" s="377"/>
      <c r="AR66" s="377"/>
      <c r="AS66" s="377"/>
      <c r="AT66" s="377"/>
      <c r="AU66" s="377"/>
      <c r="AV66" s="377"/>
      <c r="AW66" s="377"/>
      <c r="AX66" s="377"/>
      <c r="AY66" s="377"/>
      <c r="AZ66" s="377"/>
    </row>
    <row r="67" spans="1:52" s="352" customFormat="1" ht="14.25" customHeight="1" x14ac:dyDescent="0.3">
      <c r="A67" s="377"/>
      <c r="B67" s="377" t="s">
        <v>248</v>
      </c>
      <c r="C67" s="377"/>
      <c r="D67" s="659" t="str">
        <f>+IFERROR(-D130/D129,"")</f>
        <v/>
      </c>
      <c r="E67" s="659" t="str">
        <f t="shared" ref="E67:N67" si="34">+IFERROR(-E130/E129,"")</f>
        <v/>
      </c>
      <c r="F67" s="659" t="str">
        <f t="shared" si="34"/>
        <v/>
      </c>
      <c r="G67" s="659" t="str">
        <f t="shared" si="34"/>
        <v/>
      </c>
      <c r="H67" s="659" t="str">
        <f t="shared" si="34"/>
        <v/>
      </c>
      <c r="I67" s="659" t="str">
        <f t="shared" si="34"/>
        <v/>
      </c>
      <c r="J67" s="659" t="str">
        <f t="shared" si="34"/>
        <v/>
      </c>
      <c r="K67" s="659" t="str">
        <f t="shared" si="34"/>
        <v/>
      </c>
      <c r="L67" s="659" t="str">
        <f t="shared" si="34"/>
        <v/>
      </c>
      <c r="M67" s="659" t="str">
        <f t="shared" si="34"/>
        <v/>
      </c>
      <c r="N67" s="659" t="str">
        <f t="shared" si="34"/>
        <v/>
      </c>
      <c r="O67" s="659" t="str">
        <f>IFERROR(+AVERAGE(D67:N67),"")</f>
        <v/>
      </c>
      <c r="P67" s="377"/>
      <c r="Q67" s="377"/>
      <c r="R67" s="424"/>
      <c r="S67" s="377"/>
      <c r="T67" s="377"/>
      <c r="U67" s="377"/>
      <c r="V67" s="377"/>
      <c r="W67" s="377"/>
      <c r="X67" s="377"/>
      <c r="Y67" s="377"/>
      <c r="Z67" s="377"/>
      <c r="AA67" s="377"/>
      <c r="AB67" s="377"/>
      <c r="AC67" s="377"/>
      <c r="AD67" s="377"/>
      <c r="AE67" s="377"/>
      <c r="AF67" s="377"/>
      <c r="AG67" s="377"/>
      <c r="AH67" s="377"/>
      <c r="AI67" s="377"/>
      <c r="AJ67" s="377"/>
      <c r="AK67" s="377"/>
      <c r="AL67" s="377"/>
      <c r="AM67" s="377"/>
      <c r="AN67" s="377"/>
      <c r="AO67" s="377"/>
      <c r="AP67" s="377"/>
      <c r="AQ67" s="377"/>
      <c r="AR67" s="377"/>
      <c r="AS67" s="377"/>
      <c r="AT67" s="377"/>
      <c r="AU67" s="377"/>
      <c r="AV67" s="377"/>
      <c r="AW67" s="377"/>
      <c r="AX67" s="377"/>
      <c r="AY67" s="377"/>
      <c r="AZ67" s="377"/>
    </row>
    <row r="68" spans="1:52" s="352" customFormat="1" ht="14.25" customHeight="1" x14ac:dyDescent="0.3">
      <c r="A68" s="377"/>
      <c r="B68" s="377" t="s">
        <v>249</v>
      </c>
      <c r="C68" s="377"/>
      <c r="D68" s="659">
        <f t="shared" ref="D68:N68" si="35">IFERROR(-D131/D126,"")</f>
        <v>4.2785451305020752</v>
      </c>
      <c r="E68" s="659">
        <f t="shared" si="35"/>
        <v>0.39378253025136262</v>
      </c>
      <c r="F68" s="659">
        <f t="shared" si="35"/>
        <v>3.465719872795149</v>
      </c>
      <c r="G68" s="659">
        <f t="shared" si="35"/>
        <v>6.1145377166471349</v>
      </c>
      <c r="H68" s="659" t="str">
        <f t="shared" si="35"/>
        <v/>
      </c>
      <c r="I68" s="659" t="str">
        <f t="shared" si="35"/>
        <v/>
      </c>
      <c r="J68" s="659" t="str">
        <f t="shared" si="35"/>
        <v/>
      </c>
      <c r="K68" s="659" t="str">
        <f t="shared" si="35"/>
        <v/>
      </c>
      <c r="L68" s="659" t="str">
        <f t="shared" si="35"/>
        <v/>
      </c>
      <c r="M68" s="659" t="str">
        <f t="shared" si="35"/>
        <v/>
      </c>
      <c r="N68" s="659" t="str">
        <f t="shared" si="35"/>
        <v/>
      </c>
      <c r="O68" s="659">
        <f t="shared" si="29"/>
        <v>3.5631463125489304</v>
      </c>
      <c r="P68" s="377"/>
      <c r="Q68" s="377"/>
      <c r="R68" s="424"/>
      <c r="S68" s="377"/>
      <c r="T68" s="377"/>
      <c r="U68" s="377"/>
      <c r="V68" s="377"/>
      <c r="W68" s="377"/>
      <c r="X68" s="377"/>
      <c r="Y68" s="377"/>
      <c r="Z68" s="377"/>
      <c r="AA68" s="377"/>
      <c r="AB68" s="377"/>
      <c r="AC68" s="377"/>
      <c r="AD68" s="377"/>
      <c r="AE68" s="377"/>
      <c r="AF68" s="377"/>
      <c r="AG68" s="377"/>
      <c r="AH68" s="377"/>
      <c r="AI68" s="377"/>
      <c r="AJ68" s="377"/>
      <c r="AK68" s="377"/>
      <c r="AL68" s="377"/>
      <c r="AM68" s="377"/>
      <c r="AN68" s="377"/>
      <c r="AO68" s="377"/>
      <c r="AP68" s="377"/>
      <c r="AQ68" s="377"/>
      <c r="AR68" s="377"/>
      <c r="AS68" s="377"/>
      <c r="AT68" s="377"/>
      <c r="AU68" s="377"/>
      <c r="AV68" s="377"/>
      <c r="AW68" s="377"/>
      <c r="AX68" s="377"/>
      <c r="AY68" s="377"/>
      <c r="AZ68" s="377"/>
    </row>
    <row r="69" spans="1:52" s="352" customFormat="1" ht="14.25" customHeight="1" x14ac:dyDescent="0.3">
      <c r="A69" s="377"/>
      <c r="B69" s="377" t="s">
        <v>250</v>
      </c>
      <c r="C69" s="377"/>
      <c r="D69" s="427"/>
      <c r="E69" s="427"/>
      <c r="F69" s="427"/>
      <c r="G69" s="427"/>
      <c r="H69" s="427"/>
      <c r="I69" s="427"/>
      <c r="J69" s="427"/>
      <c r="K69" s="427"/>
      <c r="L69" s="427"/>
      <c r="M69" s="427"/>
      <c r="N69" s="427"/>
      <c r="O69" s="659" t="str">
        <f>IFERROR(+AVERAGE(D69:N69),"")</f>
        <v/>
      </c>
      <c r="P69" s="377"/>
      <c r="Q69" s="377"/>
      <c r="R69" s="424"/>
      <c r="S69" s="377"/>
      <c r="T69" s="377"/>
      <c r="U69" s="377"/>
      <c r="V69" s="377"/>
      <c r="W69" s="377"/>
      <c r="X69" s="377"/>
      <c r="Y69" s="377"/>
      <c r="Z69" s="377"/>
      <c r="AA69" s="377"/>
      <c r="AB69" s="377"/>
      <c r="AC69" s="377"/>
      <c r="AD69" s="377"/>
      <c r="AE69" s="377"/>
      <c r="AF69" s="377"/>
      <c r="AG69" s="377"/>
      <c r="AH69" s="377"/>
      <c r="AI69" s="377"/>
      <c r="AJ69" s="377"/>
      <c r="AK69" s="377"/>
      <c r="AL69" s="377"/>
      <c r="AM69" s="377"/>
      <c r="AN69" s="377"/>
      <c r="AO69" s="377"/>
      <c r="AP69" s="377"/>
      <c r="AQ69" s="377"/>
      <c r="AR69" s="377"/>
      <c r="AS69" s="377"/>
      <c r="AT69" s="377"/>
      <c r="AU69" s="377"/>
      <c r="AV69" s="377"/>
      <c r="AW69" s="377"/>
      <c r="AX69" s="377"/>
      <c r="AY69" s="377"/>
      <c r="AZ69" s="377"/>
    </row>
    <row r="70" spans="1:52" s="352" customFormat="1" ht="3.75" customHeight="1" x14ac:dyDescent="0.3">
      <c r="A70" s="377"/>
      <c r="B70" s="377"/>
      <c r="C70" s="377"/>
      <c r="D70" s="377"/>
      <c r="E70" s="377"/>
      <c r="F70" s="377"/>
      <c r="G70" s="377"/>
      <c r="H70" s="377"/>
      <c r="I70" s="377"/>
      <c r="J70" s="377"/>
      <c r="K70" s="377"/>
      <c r="L70" s="377"/>
      <c r="M70" s="377"/>
      <c r="N70" s="377"/>
      <c r="O70" s="421"/>
      <c r="P70" s="377"/>
      <c r="Q70" s="377"/>
      <c r="R70" s="424"/>
      <c r="S70" s="377"/>
      <c r="T70" s="377"/>
      <c r="U70" s="377"/>
      <c r="V70" s="377"/>
      <c r="W70" s="377"/>
      <c r="X70" s="377"/>
      <c r="Y70" s="377"/>
      <c r="Z70" s="377"/>
      <c r="AA70" s="377"/>
      <c r="AB70" s="377"/>
      <c r="AC70" s="377"/>
      <c r="AD70" s="377"/>
      <c r="AE70" s="377"/>
      <c r="AF70" s="377"/>
      <c r="AG70" s="377"/>
      <c r="AH70" s="377"/>
      <c r="AI70" s="377"/>
      <c r="AJ70" s="377"/>
      <c r="AK70" s="377"/>
      <c r="AL70" s="377"/>
      <c r="AM70" s="377"/>
      <c r="AN70" s="377"/>
      <c r="AO70" s="377"/>
      <c r="AP70" s="377"/>
      <c r="AQ70" s="377"/>
      <c r="AR70" s="377"/>
      <c r="AS70" s="377"/>
      <c r="AT70" s="377"/>
      <c r="AU70" s="377"/>
      <c r="AV70" s="377"/>
      <c r="AW70" s="377"/>
      <c r="AX70" s="377"/>
      <c r="AY70" s="377"/>
      <c r="AZ70" s="377"/>
    </row>
    <row r="71" spans="1:52" s="355" customFormat="1" ht="14.25" customHeight="1" x14ac:dyDescent="0.3">
      <c r="A71" s="386"/>
      <c r="B71" s="590" t="s">
        <v>251</v>
      </c>
      <c r="C71" s="591"/>
      <c r="D71" s="362" t="str">
        <f t="shared" ref="D71:O71" ca="1" si="36">+D29</f>
        <v>D-WAVE</v>
      </c>
      <c r="E71" s="362" t="str">
        <f t="shared" si="36"/>
        <v>IONQ</v>
      </c>
      <c r="F71" s="362" t="str">
        <f t="shared" si="36"/>
        <v>RIGETTI</v>
      </c>
      <c r="G71" s="362" t="str">
        <f t="shared" si="36"/>
        <v>QUANTUM</v>
      </c>
      <c r="H71" s="362" t="str">
        <f t="shared" si="36"/>
        <v/>
      </c>
      <c r="I71" s="362" t="str">
        <f t="shared" si="36"/>
        <v/>
      </c>
      <c r="J71" s="362" t="str">
        <f t="shared" si="36"/>
        <v/>
      </c>
      <c r="K71" s="362" t="str">
        <f t="shared" si="36"/>
        <v/>
      </c>
      <c r="L71" s="362" t="str">
        <f t="shared" si="36"/>
        <v/>
      </c>
      <c r="M71" s="362" t="str">
        <f t="shared" si="36"/>
        <v/>
      </c>
      <c r="N71" s="362" t="str">
        <f t="shared" si="36"/>
        <v/>
      </c>
      <c r="O71" s="362" t="str">
        <f t="shared" si="36"/>
        <v>Average</v>
      </c>
      <c r="P71" s="386"/>
      <c r="Q71" s="386"/>
      <c r="R71" s="592"/>
      <c r="S71" s="386"/>
      <c r="T71" s="386"/>
      <c r="U71" s="386"/>
      <c r="V71" s="386"/>
      <c r="W71" s="386"/>
      <c r="X71" s="386"/>
      <c r="Y71" s="386"/>
      <c r="Z71" s="386"/>
      <c r="AA71" s="386"/>
      <c r="AB71" s="386"/>
      <c r="AC71" s="386"/>
      <c r="AD71" s="386"/>
      <c r="AE71" s="386"/>
      <c r="AF71" s="386"/>
      <c r="AG71" s="386"/>
      <c r="AH71" s="386"/>
      <c r="AI71" s="386"/>
      <c r="AJ71" s="386"/>
      <c r="AK71" s="386"/>
      <c r="AL71" s="386"/>
      <c r="AM71" s="386"/>
      <c r="AN71" s="386"/>
      <c r="AO71" s="386"/>
      <c r="AP71" s="386"/>
      <c r="AQ71" s="386"/>
      <c r="AR71" s="386"/>
      <c r="AS71" s="386"/>
      <c r="AT71" s="386"/>
      <c r="AU71" s="386"/>
      <c r="AV71" s="386"/>
      <c r="AW71" s="386"/>
      <c r="AX71" s="386"/>
      <c r="AY71" s="386"/>
      <c r="AZ71" s="386"/>
    </row>
    <row r="72" spans="1:52" s="352" customFormat="1" ht="3.75" customHeight="1" x14ac:dyDescent="0.3">
      <c r="A72" s="377"/>
      <c r="B72" s="412"/>
      <c r="C72" s="412"/>
      <c r="D72" s="412"/>
      <c r="E72" s="412"/>
      <c r="F72" s="412"/>
      <c r="G72" s="412"/>
      <c r="H72" s="412"/>
      <c r="I72" s="412"/>
      <c r="J72" s="412"/>
      <c r="K72" s="412"/>
      <c r="L72" s="412"/>
      <c r="M72" s="412"/>
      <c r="N72" s="412"/>
      <c r="O72" s="423"/>
      <c r="P72" s="377"/>
      <c r="Q72" s="377"/>
      <c r="R72" s="424"/>
      <c r="S72" s="377"/>
      <c r="T72" s="377"/>
      <c r="U72" s="377"/>
      <c r="V72" s="377"/>
      <c r="W72" s="377"/>
      <c r="X72" s="377"/>
      <c r="Y72" s="377"/>
      <c r="Z72" s="377"/>
      <c r="AA72" s="377"/>
      <c r="AB72" s="377"/>
      <c r="AC72" s="377"/>
      <c r="AD72" s="377"/>
      <c r="AE72" s="377"/>
      <c r="AF72" s="377"/>
      <c r="AG72" s="377"/>
      <c r="AH72" s="377"/>
      <c r="AI72" s="377"/>
      <c r="AJ72" s="377"/>
      <c r="AK72" s="377"/>
      <c r="AL72" s="377"/>
      <c r="AM72" s="377"/>
      <c r="AN72" s="377"/>
      <c r="AO72" s="377"/>
      <c r="AP72" s="377"/>
      <c r="AQ72" s="377"/>
      <c r="AR72" s="377"/>
      <c r="AS72" s="377"/>
      <c r="AT72" s="377"/>
      <c r="AU72" s="377"/>
      <c r="AV72" s="377"/>
      <c r="AW72" s="377"/>
      <c r="AX72" s="377"/>
      <c r="AY72" s="377"/>
      <c r="AZ72" s="377"/>
    </row>
    <row r="73" spans="1:52" s="352" customFormat="1" ht="14.25" customHeight="1" x14ac:dyDescent="0.3">
      <c r="A73" s="377"/>
      <c r="B73" s="377" t="s">
        <v>252</v>
      </c>
      <c r="C73" s="377"/>
      <c r="D73" s="427">
        <v>0.95899999999999996</v>
      </c>
      <c r="E73" s="427">
        <v>0.85299999999999998</v>
      </c>
      <c r="F73" s="427">
        <v>0.98799999999999999</v>
      </c>
      <c r="G73" s="427">
        <v>0.82499999999999996</v>
      </c>
      <c r="H73" s="427"/>
      <c r="I73" s="427"/>
      <c r="J73" s="427"/>
      <c r="K73" s="427"/>
      <c r="L73" s="427"/>
      <c r="M73" s="427"/>
      <c r="N73" s="427"/>
      <c r="O73" s="659">
        <f>IFERROR(+AVERAGE(D73:N73),"")</f>
        <v>0.90625</v>
      </c>
      <c r="P73" s="377"/>
      <c r="Q73" s="377"/>
      <c r="R73" s="424"/>
      <c r="S73" s="377"/>
      <c r="T73" s="377"/>
      <c r="U73" s="377"/>
      <c r="V73" s="377"/>
      <c r="W73" s="377"/>
      <c r="X73" s="377"/>
      <c r="Y73" s="377"/>
      <c r="Z73" s="377"/>
      <c r="AA73" s="377"/>
      <c r="AB73" s="377"/>
      <c r="AC73" s="377"/>
      <c r="AD73" s="377"/>
      <c r="AE73" s="377"/>
      <c r="AF73" s="377"/>
      <c r="AG73" s="377"/>
      <c r="AH73" s="377"/>
      <c r="AI73" s="377"/>
      <c r="AJ73" s="377"/>
      <c r="AK73" s="377"/>
      <c r="AL73" s="377"/>
      <c r="AM73" s="377"/>
      <c r="AN73" s="377"/>
      <c r="AO73" s="377"/>
      <c r="AP73" s="377"/>
      <c r="AQ73" s="377"/>
      <c r="AR73" s="377"/>
      <c r="AS73" s="377"/>
      <c r="AT73" s="377"/>
      <c r="AU73" s="377"/>
      <c r="AV73" s="377"/>
      <c r="AW73" s="377"/>
      <c r="AX73" s="377"/>
      <c r="AY73" s="377"/>
      <c r="AZ73" s="377"/>
    </row>
    <row r="74" spans="1:52" s="352" customFormat="1" ht="14.25" customHeight="1" x14ac:dyDescent="0.3">
      <c r="A74" s="377"/>
      <c r="B74" s="377" t="s">
        <v>253</v>
      </c>
      <c r="C74" s="377"/>
      <c r="D74" s="402" cm="1">
        <f t="array" aca="1" ref="D74" ca="1">IFERROR(_FV(D91,"Beta"),"")</f>
        <v>1.4737</v>
      </c>
      <c r="E74" s="402" cm="1">
        <f t="array" aca="1" ref="E74" ca="1">IFERROR(_FV(E91,"Beta"),"")</f>
        <v>2.6034999999999999</v>
      </c>
      <c r="F74" s="402" cm="1">
        <f t="array" aca="1" ref="F74" ca="1">IFERROR(_FV(F91,"Beta"),"")</f>
        <v>1.5812999999999999</v>
      </c>
      <c r="G74" s="402" cm="1">
        <f t="array" aca="1" ref="G74" ca="1">IFERROR(_FV(G91,"Beta"),"")</f>
        <v>3.8656000000000001</v>
      </c>
      <c r="H74" s="402" t="str" cm="1">
        <f t="array" ref="H74">IFERROR(_FV(H91,"Beta"),"")</f>
        <v/>
      </c>
      <c r="I74" s="402" t="str" cm="1">
        <f t="array" ref="I74">IFERROR(_FV(I91,"Beta"),"")</f>
        <v/>
      </c>
      <c r="J74" s="402" t="str" cm="1">
        <f t="array" ref="J74">IFERROR(_FV(J91,"Beta"),"")</f>
        <v/>
      </c>
      <c r="K74" s="402" t="str" cm="1">
        <f t="array" ref="K74">IFERROR(_FV(K91,"Beta"),"")</f>
        <v/>
      </c>
      <c r="L74" s="402" t="str" cm="1">
        <f t="array" ref="L74">IFERROR(_FV(L91,"Beta"),"")</f>
        <v/>
      </c>
      <c r="M74" s="402" t="str" cm="1">
        <f t="array" ref="M74">IFERROR(_FV(M91,"Beta"),"")</f>
        <v/>
      </c>
      <c r="N74" s="402" t="str" cm="1">
        <f t="array" ref="N74">IFERROR(_FV(N91,"Beta"),"")</f>
        <v/>
      </c>
      <c r="O74" s="660">
        <f t="shared" ref="O74:O75" ca="1" si="37">IFERROR(+AVERAGE(D74:N74),"")</f>
        <v>2.3810249999999997</v>
      </c>
      <c r="P74" s="377"/>
      <c r="Q74" s="377"/>
      <c r="R74" s="424"/>
      <c r="S74" s="377"/>
      <c r="T74" s="377"/>
      <c r="U74" s="377"/>
      <c r="V74" s="377"/>
      <c r="W74" s="377"/>
      <c r="X74" s="377"/>
      <c r="Y74" s="377"/>
      <c r="Z74" s="377"/>
      <c r="AA74" s="377"/>
      <c r="AB74" s="377"/>
      <c r="AC74" s="377"/>
      <c r="AD74" s="377"/>
      <c r="AE74" s="377"/>
      <c r="AF74" s="377"/>
      <c r="AG74" s="377"/>
      <c r="AH74" s="377"/>
      <c r="AI74" s="377"/>
      <c r="AJ74" s="377"/>
      <c r="AK74" s="377"/>
      <c r="AL74" s="377"/>
      <c r="AM74" s="377"/>
      <c r="AN74" s="377"/>
      <c r="AO74" s="377"/>
      <c r="AP74" s="377"/>
      <c r="AQ74" s="377"/>
      <c r="AR74" s="377"/>
      <c r="AS74" s="377"/>
      <c r="AT74" s="377"/>
      <c r="AU74" s="377"/>
      <c r="AV74" s="377"/>
      <c r="AW74" s="377"/>
      <c r="AX74" s="377"/>
      <c r="AY74" s="377"/>
      <c r="AZ74" s="377"/>
    </row>
    <row r="75" spans="1:52" s="352" customFormat="1" ht="14.15" customHeight="1" x14ac:dyDescent="0.3">
      <c r="A75" s="377"/>
      <c r="B75" s="377" t="s">
        <v>254</v>
      </c>
      <c r="C75" s="377"/>
      <c r="D75" s="402">
        <f ca="1">IFERROR(D74/(1+(1-0/D103)*(D121/D122)),"")</f>
        <v>0.9138652603862486</v>
      </c>
      <c r="E75" s="402">
        <f ca="1">IFERROR(E74/(1+(1-0.1/E103)*(E121/E122)),"")</f>
        <v>2.4885882852215802</v>
      </c>
      <c r="F75" s="402">
        <f ca="1">IFERROR(F74/(1+(1-0/F103)*(F121/F122)),"")</f>
        <v>1.4785188287083884</v>
      </c>
      <c r="G75" s="402">
        <f ca="1">IFERROR(G74/(1+(1-0/G103)*(G121/G122)),"")</f>
        <v>3.8235113323745256</v>
      </c>
      <c r="H75" s="402" t="str">
        <f t="shared" ref="H75:N75" si="38">IFERROR(H74/(1+(1-H104/H103)*(H121/H122)),"")</f>
        <v/>
      </c>
      <c r="I75" s="402" t="str">
        <f t="shared" si="38"/>
        <v/>
      </c>
      <c r="J75" s="402" t="str">
        <f t="shared" si="38"/>
        <v/>
      </c>
      <c r="K75" s="402" t="str">
        <f t="shared" si="38"/>
        <v/>
      </c>
      <c r="L75" s="402" t="str">
        <f t="shared" si="38"/>
        <v/>
      </c>
      <c r="M75" s="402" t="str">
        <f t="shared" si="38"/>
        <v/>
      </c>
      <c r="N75" s="402" t="str">
        <f t="shared" si="38"/>
        <v/>
      </c>
      <c r="O75" s="660">
        <f t="shared" ca="1" si="37"/>
        <v>2.1761209266726858</v>
      </c>
      <c r="P75" s="377"/>
      <c r="Q75" s="377"/>
      <c r="R75" s="424"/>
      <c r="S75" s="377"/>
      <c r="T75" s="377"/>
      <c r="U75" s="377"/>
      <c r="V75" s="377"/>
      <c r="W75" s="377"/>
      <c r="X75" s="377"/>
      <c r="Y75" s="377"/>
      <c r="Z75" s="377"/>
      <c r="AA75" s="377"/>
      <c r="AB75" s="377"/>
      <c r="AC75" s="377"/>
      <c r="AD75" s="377"/>
      <c r="AE75" s="377"/>
      <c r="AF75" s="377"/>
      <c r="AG75" s="377"/>
      <c r="AH75" s="377"/>
      <c r="AI75" s="377"/>
      <c r="AJ75" s="377"/>
      <c r="AK75" s="377"/>
      <c r="AL75" s="377"/>
      <c r="AM75" s="377"/>
      <c r="AN75" s="377"/>
      <c r="AO75" s="377"/>
      <c r="AP75" s="377"/>
      <c r="AQ75" s="377"/>
      <c r="AR75" s="377"/>
      <c r="AS75" s="377"/>
      <c r="AT75" s="377"/>
      <c r="AU75" s="377"/>
      <c r="AV75" s="377"/>
      <c r="AW75" s="377"/>
      <c r="AX75" s="377"/>
      <c r="AY75" s="377"/>
      <c r="AZ75" s="377"/>
    </row>
    <row r="76" spans="1:52" s="352" customFormat="1" ht="14.25" customHeight="1" x14ac:dyDescent="0.3">
      <c r="A76" s="377"/>
      <c r="B76" s="377" t="s">
        <v>36</v>
      </c>
      <c r="C76" s="377"/>
      <c r="D76" s="427">
        <v>1.7600000000000001E-2</v>
      </c>
      <c r="E76" s="427">
        <v>8.5400000000000004E-2</v>
      </c>
      <c r="F76" s="427">
        <v>1.0800000000000001E-2</v>
      </c>
      <c r="G76" s="427">
        <v>0.17249999999999999</v>
      </c>
      <c r="H76" s="427"/>
      <c r="I76" s="427"/>
      <c r="J76" s="427"/>
      <c r="K76" s="427"/>
      <c r="L76" s="427"/>
      <c r="M76" s="427"/>
      <c r="N76" s="427"/>
      <c r="O76" s="659">
        <f t="shared" ref="O76:O78" si="39">IFERROR(+AVERAGE(D76:N76),"")</f>
        <v>7.1575E-2</v>
      </c>
      <c r="P76" s="377"/>
      <c r="Q76" s="377"/>
      <c r="R76" s="424"/>
      <c r="S76" s="377"/>
      <c r="T76" s="377"/>
      <c r="U76" s="377"/>
      <c r="V76" s="377"/>
      <c r="W76" s="377"/>
      <c r="X76" s="377"/>
      <c r="Y76" s="377"/>
      <c r="Z76" s="377"/>
      <c r="AA76" s="377"/>
      <c r="AB76" s="377"/>
      <c r="AC76" s="377"/>
      <c r="AD76" s="377"/>
      <c r="AE76" s="377"/>
      <c r="AF76" s="377"/>
      <c r="AG76" s="377"/>
      <c r="AH76" s="377"/>
      <c r="AI76" s="377"/>
      <c r="AJ76" s="377"/>
      <c r="AK76" s="377"/>
      <c r="AL76" s="377"/>
      <c r="AM76" s="377"/>
      <c r="AN76" s="377"/>
      <c r="AO76" s="377"/>
      <c r="AP76" s="377"/>
      <c r="AQ76" s="377"/>
      <c r="AR76" s="377"/>
      <c r="AS76" s="377"/>
      <c r="AT76" s="377"/>
      <c r="AU76" s="377"/>
      <c r="AV76" s="377"/>
      <c r="AW76" s="377"/>
      <c r="AX76" s="377"/>
      <c r="AY76" s="377"/>
      <c r="AZ76" s="377"/>
    </row>
    <row r="77" spans="1:52" s="352" customFormat="1" ht="14.25" customHeight="1" x14ac:dyDescent="0.3">
      <c r="A77" s="377"/>
      <c r="B77" s="377" t="s">
        <v>37</v>
      </c>
      <c r="C77" s="377"/>
      <c r="D77" s="427">
        <v>0.19359999999999999</v>
      </c>
      <c r="E77" s="427">
        <v>0.37409999999999999</v>
      </c>
      <c r="F77" s="427">
        <v>0.24060000000000001</v>
      </c>
      <c r="G77" s="427">
        <v>0.16520000000000001</v>
      </c>
      <c r="H77" s="427"/>
      <c r="I77" s="427"/>
      <c r="J77" s="427"/>
      <c r="K77" s="427"/>
      <c r="L77" s="427"/>
      <c r="M77" s="427"/>
      <c r="N77" s="427"/>
      <c r="O77" s="659">
        <f t="shared" si="39"/>
        <v>0.24337500000000001</v>
      </c>
      <c r="P77" s="377"/>
      <c r="Q77" s="377"/>
      <c r="R77" s="424"/>
      <c r="S77" s="377"/>
      <c r="T77" s="377"/>
      <c r="U77" s="377"/>
      <c r="V77" s="377"/>
      <c r="W77" s="377"/>
      <c r="X77" s="377"/>
      <c r="Y77" s="377"/>
      <c r="Z77" s="377"/>
      <c r="AA77" s="377"/>
      <c r="AB77" s="377"/>
      <c r="AC77" s="377"/>
      <c r="AD77" s="377"/>
      <c r="AE77" s="377"/>
      <c r="AF77" s="377"/>
      <c r="AG77" s="377"/>
      <c r="AH77" s="377"/>
      <c r="AI77" s="377"/>
      <c r="AJ77" s="377"/>
      <c r="AK77" s="377"/>
      <c r="AL77" s="377"/>
      <c r="AM77" s="377"/>
      <c r="AN77" s="377"/>
      <c r="AO77" s="377"/>
      <c r="AP77" s="377"/>
      <c r="AQ77" s="377"/>
      <c r="AR77" s="377"/>
      <c r="AS77" s="377"/>
      <c r="AT77" s="377"/>
      <c r="AU77" s="377"/>
      <c r="AV77" s="377"/>
      <c r="AW77" s="377"/>
      <c r="AX77" s="377"/>
      <c r="AY77" s="377"/>
      <c r="AZ77" s="377"/>
    </row>
    <row r="78" spans="1:52" s="352" customFormat="1" ht="14.25" customHeight="1" x14ac:dyDescent="0.3">
      <c r="A78" s="377"/>
      <c r="B78" s="377" t="s">
        <v>255</v>
      </c>
      <c r="C78" s="377"/>
      <c r="D78" s="427">
        <v>0.23100000000000001</v>
      </c>
      <c r="E78" s="427">
        <v>0.127</v>
      </c>
      <c r="F78" s="427">
        <v>0.26079999999999998</v>
      </c>
      <c r="G78" s="427">
        <v>0.19</v>
      </c>
      <c r="H78" s="427"/>
      <c r="I78" s="427"/>
      <c r="J78" s="427"/>
      <c r="K78" s="427"/>
      <c r="L78" s="427"/>
      <c r="M78" s="427"/>
      <c r="N78" s="427"/>
      <c r="O78" s="659">
        <f t="shared" si="39"/>
        <v>0.20219999999999999</v>
      </c>
      <c r="P78" s="377"/>
      <c r="Q78" s="377"/>
      <c r="R78" s="424"/>
      <c r="S78" s="377"/>
      <c r="T78" s="377"/>
      <c r="U78" s="377"/>
      <c r="V78" s="377"/>
      <c r="W78" s="377"/>
      <c r="X78" s="377"/>
      <c r="Y78" s="377"/>
      <c r="Z78" s="377"/>
      <c r="AA78" s="377"/>
      <c r="AB78" s="377"/>
      <c r="AC78" s="377"/>
      <c r="AD78" s="377"/>
      <c r="AE78" s="377"/>
      <c r="AF78" s="377"/>
      <c r="AG78" s="377"/>
      <c r="AH78" s="377"/>
      <c r="AI78" s="377"/>
      <c r="AJ78" s="377"/>
      <c r="AK78" s="377"/>
      <c r="AL78" s="377"/>
      <c r="AM78" s="377"/>
      <c r="AN78" s="377"/>
      <c r="AO78" s="377"/>
      <c r="AP78" s="377"/>
      <c r="AQ78" s="377"/>
      <c r="AR78" s="377"/>
      <c r="AS78" s="377"/>
      <c r="AT78" s="377"/>
      <c r="AU78" s="377"/>
      <c r="AV78" s="377"/>
      <c r="AW78" s="377"/>
      <c r="AX78" s="377"/>
      <c r="AY78" s="377"/>
      <c r="AZ78" s="377"/>
    </row>
    <row r="79" spans="1:52" s="352" customFormat="1" ht="3.75" customHeight="1" x14ac:dyDescent="0.3">
      <c r="A79" s="377"/>
      <c r="B79" s="377"/>
      <c r="C79" s="377"/>
      <c r="D79" s="377"/>
      <c r="E79" s="377"/>
      <c r="F79" s="377"/>
      <c r="G79" s="377"/>
      <c r="H79" s="377"/>
      <c r="I79" s="377"/>
      <c r="J79" s="377"/>
      <c r="K79" s="377"/>
      <c r="L79" s="377"/>
      <c r="M79" s="377"/>
      <c r="N79" s="377"/>
      <c r="O79" s="377"/>
      <c r="P79" s="377"/>
      <c r="Q79" s="377"/>
      <c r="R79" s="424"/>
      <c r="S79" s="377"/>
      <c r="T79" s="377"/>
      <c r="U79" s="377"/>
      <c r="V79" s="377"/>
      <c r="W79" s="377"/>
      <c r="X79" s="377"/>
      <c r="Y79" s="377"/>
      <c r="Z79" s="377"/>
      <c r="AA79" s="377"/>
      <c r="AB79" s="377"/>
      <c r="AC79" s="377"/>
      <c r="AD79" s="377"/>
      <c r="AE79" s="377"/>
      <c r="AF79" s="377"/>
      <c r="AG79" s="377"/>
      <c r="AH79" s="377"/>
      <c r="AI79" s="377"/>
      <c r="AJ79" s="377"/>
      <c r="AK79" s="377"/>
      <c r="AL79" s="377"/>
      <c r="AM79" s="377"/>
      <c r="AN79" s="377"/>
      <c r="AO79" s="377"/>
      <c r="AP79" s="377"/>
      <c r="AQ79" s="377"/>
      <c r="AR79" s="377"/>
      <c r="AS79" s="377"/>
      <c r="AT79" s="377"/>
      <c r="AU79" s="377"/>
      <c r="AV79" s="377"/>
      <c r="AW79" s="377"/>
      <c r="AX79" s="377"/>
      <c r="AY79" s="377"/>
      <c r="AZ79" s="377"/>
    </row>
    <row r="80" spans="1:52" s="355" customFormat="1" ht="14.25" customHeight="1" x14ac:dyDescent="0.3">
      <c r="A80" s="386"/>
      <c r="B80" s="590" t="s">
        <v>83</v>
      </c>
      <c r="C80" s="591"/>
      <c r="D80" s="362" t="str">
        <f t="shared" ref="D80:O80" ca="1" si="40">+D29</f>
        <v>D-WAVE</v>
      </c>
      <c r="E80" s="362" t="str">
        <f t="shared" si="40"/>
        <v>IONQ</v>
      </c>
      <c r="F80" s="362" t="str">
        <f t="shared" si="40"/>
        <v>RIGETTI</v>
      </c>
      <c r="G80" s="362" t="str">
        <f t="shared" si="40"/>
        <v>QUANTUM</v>
      </c>
      <c r="H80" s="362" t="str">
        <f t="shared" si="40"/>
        <v/>
      </c>
      <c r="I80" s="362" t="str">
        <f t="shared" si="40"/>
        <v/>
      </c>
      <c r="J80" s="362" t="str">
        <f t="shared" si="40"/>
        <v/>
      </c>
      <c r="K80" s="362" t="str">
        <f t="shared" si="40"/>
        <v/>
      </c>
      <c r="L80" s="362" t="str">
        <f t="shared" si="40"/>
        <v/>
      </c>
      <c r="M80" s="362" t="str">
        <f t="shared" si="40"/>
        <v/>
      </c>
      <c r="N80" s="362" t="str">
        <f t="shared" si="40"/>
        <v/>
      </c>
      <c r="O80" s="362" t="str">
        <f t="shared" si="40"/>
        <v>Average</v>
      </c>
      <c r="P80" s="386"/>
      <c r="Q80" s="386"/>
      <c r="R80" s="592"/>
      <c r="S80" s="386"/>
      <c r="T80" s="386"/>
      <c r="U80" s="386"/>
      <c r="V80" s="386"/>
      <c r="W80" s="386"/>
      <c r="X80" s="386"/>
      <c r="Y80" s="386"/>
      <c r="Z80" s="386"/>
      <c r="AA80" s="386"/>
      <c r="AB80" s="386"/>
      <c r="AC80" s="386"/>
      <c r="AD80" s="386"/>
      <c r="AE80" s="386"/>
      <c r="AF80" s="386"/>
      <c r="AG80" s="386"/>
      <c r="AH80" s="386"/>
      <c r="AI80" s="386"/>
      <c r="AJ80" s="386"/>
      <c r="AK80" s="386"/>
      <c r="AL80" s="386"/>
      <c r="AM80" s="386"/>
      <c r="AN80" s="386"/>
      <c r="AO80" s="386"/>
      <c r="AP80" s="386"/>
      <c r="AQ80" s="386"/>
      <c r="AR80" s="386"/>
      <c r="AS80" s="386"/>
      <c r="AT80" s="386"/>
      <c r="AU80" s="386"/>
      <c r="AV80" s="386"/>
      <c r="AW80" s="386"/>
      <c r="AX80" s="386"/>
      <c r="AY80" s="386"/>
      <c r="AZ80" s="386"/>
    </row>
    <row r="81" spans="1:52" s="352" customFormat="1" ht="3.75" customHeight="1" x14ac:dyDescent="0.3">
      <c r="A81" s="377"/>
      <c r="B81" s="412"/>
      <c r="C81" s="412"/>
      <c r="D81" s="412"/>
      <c r="E81" s="412"/>
      <c r="F81" s="412"/>
      <c r="G81" s="412"/>
      <c r="H81" s="412"/>
      <c r="I81" s="412"/>
      <c r="J81" s="412"/>
      <c r="K81" s="412"/>
      <c r="L81" s="412"/>
      <c r="M81" s="412"/>
      <c r="N81" s="412"/>
      <c r="O81" s="412"/>
      <c r="P81" s="377"/>
      <c r="Q81" s="377"/>
      <c r="R81" s="424"/>
      <c r="S81" s="377"/>
      <c r="T81" s="377"/>
      <c r="U81" s="377"/>
      <c r="V81" s="377"/>
      <c r="W81" s="377"/>
      <c r="X81" s="377"/>
      <c r="Y81" s="377"/>
      <c r="Z81" s="377"/>
      <c r="AA81" s="377"/>
      <c r="AB81" s="377"/>
      <c r="AC81" s="377"/>
      <c r="AD81" s="377"/>
      <c r="AE81" s="377"/>
      <c r="AF81" s="377"/>
      <c r="AG81" s="377"/>
      <c r="AH81" s="377"/>
      <c r="AI81" s="377"/>
      <c r="AJ81" s="377"/>
      <c r="AK81" s="377"/>
      <c r="AL81" s="377"/>
      <c r="AM81" s="377"/>
      <c r="AN81" s="377"/>
      <c r="AO81" s="377"/>
      <c r="AP81" s="377"/>
      <c r="AQ81" s="377"/>
      <c r="AR81" s="377"/>
      <c r="AS81" s="377"/>
      <c r="AT81" s="377"/>
      <c r="AU81" s="377"/>
      <c r="AV81" s="377"/>
      <c r="AW81" s="377"/>
      <c r="AX81" s="377"/>
      <c r="AY81" s="377"/>
      <c r="AZ81" s="377"/>
    </row>
    <row r="82" spans="1:52" s="352" customFormat="1" ht="14.25" customHeight="1" x14ac:dyDescent="0.3">
      <c r="A82" s="377"/>
      <c r="B82" s="377" t="s">
        <v>256</v>
      </c>
      <c r="C82" s="377"/>
      <c r="D82" s="428" cm="1">
        <f t="array" aca="1" ref="D82" ca="1">IFERROR((D85/_xlfn.STOCKHISTORY(C6,TODAY()-1,TODAY()-1,0,0,1))-1,"Non-trading days")</f>
        <v>-2.4101145792177037E-2</v>
      </c>
      <c r="E82" s="428" t="str" cm="1">
        <f t="array" aca="1" ref="E82" ca="1">IFERROR((E85/_xlfn.STOCKHISTORY(C8,TODAY()-1,TODAY()-1,0,0,1))-1,"Non-trading days")</f>
        <v>Non-trading days</v>
      </c>
      <c r="F82" s="428" t="str" cm="1">
        <f t="array" aca="1" ref="F82" ca="1">IFERROR((F85/_xlfn.STOCKHISTORY(C9,TODAY()-1,TODAY()-1,0,0,1))-1,"Non-trading days")</f>
        <v>Non-trading days</v>
      </c>
      <c r="G82" s="428" t="str" cm="1">
        <f t="array" aca="1" ref="G82" ca="1">IFERROR((G85/_xlfn.STOCKHISTORY(C10,TODAY()-1,TODAY()-1,0,0,1))-1,"Non-trading days")</f>
        <v>Non-trading days</v>
      </c>
      <c r="H82" s="428" t="str" cm="1">
        <f t="array" aca="1" ref="H82" ca="1">IFERROR((K85/_xlfn.STOCKHISTORY(C11,TODAY()-1,TODAY()-1,0,0,1))-1,"Non-trading days")</f>
        <v>Non-trading days</v>
      </c>
      <c r="I82" s="428" t="str" cm="1">
        <f t="array" aca="1" ref="I82" ca="1">IFERROR((L85/_xlfn.STOCKHISTORY(C12,TODAY()-1,TODAY()-1,0,0,1))-1,"Non-trading days")</f>
        <v>Non-trading days</v>
      </c>
      <c r="J82" s="428" t="str" cm="1">
        <f t="array" aca="1" ref="J82" ca="1">IFERROR((M85/_xlfn.STOCKHISTORY(C13,TODAY()-1,TODAY()-1,0,0,1))-1,"Non-trading days")</f>
        <v>Non-trading days</v>
      </c>
      <c r="K82" s="428" t="str" cm="1">
        <f t="array" aca="1" ref="K82" ca="1">IFERROR((N85/_xlfn.STOCKHISTORY(C14,TODAY()-1,TODAY()-1,0,0,1))-1,"Non-trading days")</f>
        <v>Non-trading days</v>
      </c>
      <c r="L82" s="428" t="str" cm="1">
        <f t="array" aca="1" ref="L82" ca="1">IFERROR((L85/_xlfn.STOCKHISTORY(C15,TODAY()-1,TODAY()-1,0,0,1))-1,"Non-trading days")</f>
        <v>Non-trading days</v>
      </c>
      <c r="M82" s="428" t="str" cm="1">
        <f t="array" aca="1" ref="M82" ca="1">IFERROR((M85/_xlfn.STOCKHISTORY(C16,TODAY()-1,TODAY()-1,0,0,1))-1,"Non-trading days")</f>
        <v>Non-trading days</v>
      </c>
      <c r="N82" s="428" t="str" cm="1">
        <f t="array" aca="1" ref="N82" ca="1">IFERROR((N85/_xlfn.STOCKHISTORY(C17,TODAY()-1,TODAY()-1,0,0,1))-1,"Non-trading days")</f>
        <v>Non-trading days</v>
      </c>
      <c r="O82" s="425">
        <f ca="1">IFERROR(+AVERAGE(D82:N82),"")</f>
        <v>-2.4101145792177037E-2</v>
      </c>
      <c r="P82" s="377"/>
      <c r="Q82" s="377"/>
      <c r="R82" s="424"/>
      <c r="S82" s="377"/>
      <c r="T82" s="377"/>
      <c r="U82" s="377"/>
      <c r="V82" s="377"/>
      <c r="W82" s="377"/>
      <c r="X82" s="377"/>
      <c r="Y82" s="377"/>
      <c r="Z82" s="377"/>
      <c r="AA82" s="377"/>
      <c r="AB82" s="377"/>
      <c r="AC82" s="377"/>
      <c r="AD82" s="377"/>
      <c r="AE82" s="377"/>
      <c r="AF82" s="377"/>
      <c r="AG82" s="377"/>
      <c r="AH82" s="377"/>
      <c r="AI82" s="377"/>
      <c r="AJ82" s="377"/>
      <c r="AK82" s="377"/>
      <c r="AL82" s="377"/>
      <c r="AM82" s="377"/>
      <c r="AN82" s="377"/>
      <c r="AO82" s="377"/>
      <c r="AP82" s="377"/>
      <c r="AQ82" s="377"/>
      <c r="AR82" s="377"/>
      <c r="AS82" s="377"/>
      <c r="AT82" s="377"/>
      <c r="AU82" s="377"/>
      <c r="AV82" s="377"/>
      <c r="AW82" s="377"/>
      <c r="AX82" s="377"/>
      <c r="AY82" s="377"/>
      <c r="AZ82" s="377"/>
    </row>
    <row r="83" spans="1:52" s="352" customFormat="1" ht="14.25" customHeight="1" x14ac:dyDescent="0.3">
      <c r="A83" s="377"/>
      <c r="B83" s="377" t="s">
        <v>257</v>
      </c>
      <c r="C83" s="377"/>
      <c r="D83" s="428" t="str" cm="1">
        <f t="array" aca="1" ref="D83" ca="1">IFERROR((D85/_xlfn.STOCKHISTORY(C6,TODAY()-29,TODAY()-29,0,0,1))-1,"Non-trading days")</f>
        <v>Non-trading days</v>
      </c>
      <c r="E83" s="428" t="str" cm="1">
        <f t="array" aca="1" ref="E83" ca="1">IFERROR((E85/_xlfn.STOCKHISTORY(C8,TODAY()-29,TODAY()-29,0,0,1))-1,"Non-trading days")</f>
        <v>Non-trading days</v>
      </c>
      <c r="F83" s="428" t="str" cm="1">
        <f t="array" aca="1" ref="F83" ca="1">IFERROR((F85/_xlfn.STOCKHISTORY(C9,TODAY()-29,TODAY()-29,0,0,1))-1,"Non-trading days")</f>
        <v>Non-trading days</v>
      </c>
      <c r="G83" s="428" t="str" cm="1">
        <f t="array" aca="1" ref="G83" ca="1">IFERROR((G85/_xlfn.STOCKHISTORY(C10,TODAY()-29,TODAY()-29,0,0,1))-1,"Non-trading days")</f>
        <v>Non-trading days</v>
      </c>
      <c r="H83" s="428" t="str" cm="1">
        <f t="array" aca="1" ref="H83" ca="1">IFERROR((K85/_xlfn.STOCKHISTORY(C11,TODAY()-29,TODAY()-29,0,0,1))-1,"Non-trading days")</f>
        <v>Non-trading days</v>
      </c>
      <c r="I83" s="428" t="str" cm="1">
        <f t="array" aca="1" ref="I83" ca="1">IFERROR((L85/_xlfn.STOCKHISTORY(C12,TODAY()-29,TODAY()-29,0,0,1))-1,"Non-trading days")</f>
        <v>Non-trading days</v>
      </c>
      <c r="J83" s="428" t="str" cm="1">
        <f t="array" aca="1" ref="J83" ca="1">IFERROR((M85/_xlfn.STOCKHISTORY(C13,TODAY()-29,TODAY()-29,0,0,1))-1,"Non-trading days")</f>
        <v>Non-trading days</v>
      </c>
      <c r="K83" s="428" t="str" cm="1">
        <f t="array" aca="1" ref="K83" ca="1">IFERROR((N85/_xlfn.STOCKHISTORY(C14,TODAY()-29,TODAY()-29,0,0,1))-1,"Non-trading days")</f>
        <v>Non-trading days</v>
      </c>
      <c r="L83" s="428" t="str" cm="1">
        <f t="array" aca="1" ref="L83" ca="1">IFERROR((L85/_xlfn.STOCKHISTORY(C15,TODAY()-29,TODAY()-29,0,0,1))-1,"Non-trading days")</f>
        <v>Non-trading days</v>
      </c>
      <c r="M83" s="428" t="str" cm="1">
        <f t="array" aca="1" ref="M83" ca="1">IFERROR((M85/_xlfn.STOCKHISTORY(C16,TODAY()-29,TODAY()-29,0,0,1))-1,"Non-trading days")</f>
        <v>Non-trading days</v>
      </c>
      <c r="N83" s="428" t="str" cm="1">
        <f t="array" aca="1" ref="N83" ca="1">IFERROR((N85/_xlfn.STOCKHISTORY(C17,TODAY()-29,TODAY()-29,0,0,1))-1,"Non-trading days")</f>
        <v>Non-trading days</v>
      </c>
      <c r="O83" s="425" t="str">
        <f ca="1">IFERROR(AVERAGE(D83:N83),"")</f>
        <v/>
      </c>
      <c r="P83" s="377"/>
      <c r="Q83" s="377"/>
      <c r="R83" s="424"/>
      <c r="S83" s="377"/>
      <c r="T83" s="377"/>
      <c r="U83" s="377"/>
      <c r="V83" s="377"/>
      <c r="W83" s="377"/>
      <c r="X83" s="377"/>
      <c r="Y83" s="377"/>
      <c r="Z83" s="377"/>
      <c r="AA83" s="377"/>
      <c r="AB83" s="377"/>
      <c r="AC83" s="377"/>
      <c r="AD83" s="377"/>
      <c r="AE83" s="377"/>
      <c r="AF83" s="377"/>
      <c r="AG83" s="377"/>
      <c r="AH83" s="377"/>
      <c r="AI83" s="377"/>
      <c r="AJ83" s="377"/>
      <c r="AK83" s="377"/>
      <c r="AL83" s="377"/>
      <c r="AM83" s="377"/>
      <c r="AN83" s="377"/>
      <c r="AO83" s="377"/>
      <c r="AP83" s="377"/>
      <c r="AQ83" s="377"/>
      <c r="AR83" s="377"/>
      <c r="AS83" s="377"/>
      <c r="AT83" s="377"/>
      <c r="AU83" s="377"/>
      <c r="AV83" s="377"/>
      <c r="AW83" s="377"/>
      <c r="AX83" s="377"/>
      <c r="AY83" s="377"/>
      <c r="AZ83" s="377"/>
    </row>
    <row r="84" spans="1:52" s="352" customFormat="1" ht="14.25" customHeight="1" x14ac:dyDescent="0.3">
      <c r="A84" s="377"/>
      <c r="B84" s="377" t="s">
        <v>258</v>
      </c>
      <c r="C84" s="377"/>
      <c r="D84" s="428" cm="1">
        <f t="array" aca="1" ref="D84" ca="1">IFERROR((D85/_xlfn.STOCKHISTORY(C6,"2025-01-02","2025-01-02",0,0,1))-1,"Non-trading days")</f>
        <v>1.5702393340270553</v>
      </c>
      <c r="E84" s="428" t="str" cm="1">
        <f t="array" aca="1" ref="E84" ca="1">IFERROR((E85/_xlfn.STOCKHISTORY(C8,"2025-01-02","2025-01-02",0,0,1))-1,"Non-trading days")</f>
        <v>Non-trading days</v>
      </c>
      <c r="F84" s="428" t="str" cm="1">
        <f t="array" aca="1" ref="F84" ca="1">IFERROR((F85/_xlfn.STOCKHISTORY(C9,"2025-01-02","2025-01-02",0,0,1))-1,"Non-trading days")</f>
        <v>Non-trading days</v>
      </c>
      <c r="G84" s="428" t="str" cm="1">
        <f t="array" aca="1" ref="G84" ca="1">IFERROR((G85/_xlfn.STOCKHISTORY(C10,"2025-01-02","2025-01-02",0,0,1))-1,"Non-trading days")</f>
        <v>Non-trading days</v>
      </c>
      <c r="H84" s="428" t="str" cm="1">
        <f t="array" ref="H84">IFERROR((K85/_xlfn.STOCKHISTORY(C11,"2025-01-02","2025-01-02",0,0,1))-1,"Non-trading days")</f>
        <v>Non-trading days</v>
      </c>
      <c r="I84" s="428" t="str" cm="1">
        <f t="array" ref="I84">IFERROR((L85/_xlfn.STOCKHISTORY(C12,"2025-01-02","2025-01-02",0,0,1))-1,"Non-trading days")</f>
        <v>Non-trading days</v>
      </c>
      <c r="J84" s="428" t="str" cm="1">
        <f t="array" ref="J84">IFERROR((M85/_xlfn.STOCKHISTORY(C13,"2025-01-02","2025-01-02",0,0,1))-1,"Non-trading days")</f>
        <v>Non-trading days</v>
      </c>
      <c r="K84" s="428" t="str" cm="1">
        <f t="array" ref="K84">IFERROR((N85/_xlfn.STOCKHISTORY(C14,"2025-01-02","2025-01-02",0,0,1))-1,"Non-trading days")</f>
        <v>Non-trading days</v>
      </c>
      <c r="L84" s="428" t="str" cm="1">
        <f t="array" ref="L84">IFERROR((L85/_xlfn.STOCKHISTORY(C15,"2025-01-02","2025-01-02",0,0,1))-1,"Non-trading days")</f>
        <v>Non-trading days</v>
      </c>
      <c r="M84" s="428" t="str" cm="1">
        <f t="array" ref="M84">IFERROR((M85/_xlfn.STOCKHISTORY(C16,"2025-01-02","2025-01-02",0,0,1))-1,"Non-trading days")</f>
        <v>Non-trading days</v>
      </c>
      <c r="N84" s="428" t="str" cm="1">
        <f t="array" ref="N84">IFERROR((N85/_xlfn.STOCKHISTORY(C17,"2025-01-02","2025-01-02",0,0,1))-1,"Non-trading days")</f>
        <v>Non-trading days</v>
      </c>
      <c r="O84" s="425">
        <f ca="1">IFERROR(AVERAGE(D84:N84),"")</f>
        <v>1.5702393340270553</v>
      </c>
      <c r="P84" s="377"/>
      <c r="Q84" s="377"/>
      <c r="R84" s="424"/>
      <c r="S84" s="377"/>
      <c r="T84" s="377"/>
      <c r="U84" s="377"/>
      <c r="V84" s="377"/>
      <c r="W84" s="377"/>
      <c r="X84" s="377"/>
      <c r="Y84" s="377"/>
      <c r="Z84" s="377"/>
      <c r="AA84" s="377"/>
      <c r="AB84" s="377"/>
      <c r="AC84" s="377"/>
      <c r="AD84" s="377"/>
      <c r="AE84" s="377"/>
      <c r="AF84" s="377"/>
      <c r="AG84" s="377"/>
      <c r="AH84" s="377"/>
      <c r="AI84" s="377"/>
      <c r="AJ84" s="377"/>
      <c r="AK84" s="377"/>
      <c r="AL84" s="377"/>
      <c r="AM84" s="377"/>
      <c r="AN84" s="377"/>
      <c r="AO84" s="377"/>
      <c r="AP84" s="377"/>
      <c r="AQ84" s="377"/>
      <c r="AR84" s="377"/>
      <c r="AS84" s="377"/>
      <c r="AT84" s="377"/>
      <c r="AU84" s="377"/>
      <c r="AV84" s="377"/>
      <c r="AW84" s="377"/>
      <c r="AX84" s="377"/>
      <c r="AY84" s="377"/>
      <c r="AZ84" s="377"/>
    </row>
    <row r="85" spans="1:52" s="352" customFormat="1" ht="14.25" customHeight="1" x14ac:dyDescent="0.3">
      <c r="A85" s="377"/>
      <c r="B85" s="377" t="s">
        <v>218</v>
      </c>
      <c r="C85" s="377"/>
      <c r="D85" s="420" cm="1">
        <f t="array" aca="1" ref="D85" ca="1">+IFERROR(_FV(D91,"Price"),"")</f>
        <v>24.7</v>
      </c>
      <c r="E85" s="420" t="str" cm="1">
        <f t="array" ref="E85">+IFERROR(_FV(E91,"Price"),"")</f>
        <v/>
      </c>
      <c r="F85" s="420" t="str" cm="1">
        <f t="array" ref="F85">+IFERROR(_FV(F91,"Price"),"")</f>
        <v/>
      </c>
      <c r="G85" s="420" t="str" cm="1">
        <f t="array" ref="G85">+IFERROR(_FV(G91,"Price"),"")</f>
        <v/>
      </c>
      <c r="H85" s="420" t="str" cm="1">
        <f t="array" ref="H85">+IFERROR(_FV(H91,"Price"),"")</f>
        <v/>
      </c>
      <c r="I85" s="420" t="str" cm="1">
        <f t="array" ref="I85">+IFERROR(_FV(I91,"Price"),"")</f>
        <v/>
      </c>
      <c r="J85" s="420" t="str" cm="1">
        <f t="array" ref="J85">+IFERROR(_FV(J91,"Price"),"")</f>
        <v/>
      </c>
      <c r="K85" s="420" t="str" cm="1">
        <f t="array" ref="K85">+IFERROR(_FV(K91,"Price"),"")</f>
        <v/>
      </c>
      <c r="L85" s="420" t="str" cm="1">
        <f t="array" ref="L85">+IFERROR(_FV(L91,"Price"),"")</f>
        <v/>
      </c>
      <c r="M85" s="420" t="str" cm="1">
        <f t="array" ref="M85">+IFERROR(_FV(M91,"Price"),"")</f>
        <v/>
      </c>
      <c r="N85" s="420" t="str" cm="1">
        <f t="array" ref="N85">+IFERROR(_FV(N91,"Price"),"")</f>
        <v/>
      </c>
      <c r="O85" s="425">
        <f ca="1">IFERROR(AVERAGE(D85:N85),"")</f>
        <v>24.7</v>
      </c>
      <c r="P85" s="377"/>
      <c r="Q85" s="377"/>
      <c r="R85" s="424"/>
      <c r="S85" s="377"/>
      <c r="T85" s="377"/>
      <c r="U85" s="377"/>
      <c r="V85" s="377"/>
      <c r="W85" s="377"/>
      <c r="X85" s="377"/>
      <c r="Y85" s="377"/>
      <c r="Z85" s="377"/>
      <c r="AA85" s="377"/>
      <c r="AB85" s="377"/>
      <c r="AC85" s="377"/>
      <c r="AD85" s="377"/>
      <c r="AE85" s="377"/>
      <c r="AF85" s="377"/>
      <c r="AG85" s="377"/>
      <c r="AH85" s="377"/>
      <c r="AI85" s="377"/>
      <c r="AJ85" s="377"/>
      <c r="AK85" s="377"/>
      <c r="AL85" s="377"/>
      <c r="AM85" s="377"/>
      <c r="AN85" s="377"/>
      <c r="AO85" s="377"/>
      <c r="AP85" s="377"/>
      <c r="AQ85" s="377"/>
      <c r="AR85" s="377"/>
      <c r="AS85" s="377"/>
      <c r="AT85" s="377"/>
      <c r="AU85" s="377"/>
      <c r="AV85" s="377"/>
      <c r="AW85" s="377"/>
      <c r="AX85" s="377"/>
      <c r="AY85" s="377"/>
      <c r="AZ85" s="377"/>
    </row>
    <row r="86" spans="1:52" s="352" customFormat="1" ht="3.75" customHeight="1" x14ac:dyDescent="0.3">
      <c r="A86" s="377"/>
      <c r="B86" s="377"/>
      <c r="C86" s="377"/>
      <c r="D86" s="377"/>
      <c r="E86" s="377"/>
      <c r="F86" s="377"/>
      <c r="G86" s="377"/>
      <c r="H86" s="377"/>
      <c r="I86" s="377"/>
      <c r="J86" s="377"/>
      <c r="K86" s="377"/>
      <c r="L86" s="377"/>
      <c r="M86" s="377"/>
      <c r="N86" s="377"/>
      <c r="O86" s="377"/>
      <c r="P86" s="377"/>
      <c r="Q86" s="377"/>
      <c r="R86" s="424"/>
      <c r="S86" s="377"/>
      <c r="T86" s="377"/>
      <c r="U86" s="377"/>
      <c r="V86" s="377"/>
      <c r="W86" s="377"/>
      <c r="X86" s="377"/>
      <c r="Y86" s="377"/>
      <c r="Z86" s="377"/>
      <c r="AA86" s="377"/>
      <c r="AB86" s="377"/>
      <c r="AC86" s="377"/>
      <c r="AD86" s="377"/>
      <c r="AE86" s="377"/>
      <c r="AF86" s="377"/>
      <c r="AG86" s="377"/>
      <c r="AH86" s="377"/>
      <c r="AI86" s="377"/>
      <c r="AJ86" s="377"/>
      <c r="AK86" s="377"/>
      <c r="AL86" s="377"/>
      <c r="AM86" s="377"/>
      <c r="AN86" s="377"/>
      <c r="AO86" s="377"/>
      <c r="AP86" s="377"/>
      <c r="AQ86" s="377"/>
      <c r="AR86" s="377"/>
      <c r="AS86" s="377"/>
      <c r="AT86" s="377"/>
      <c r="AU86" s="377"/>
      <c r="AV86" s="377"/>
      <c r="AW86" s="377"/>
      <c r="AX86" s="377"/>
      <c r="AY86" s="377"/>
      <c r="AZ86" s="377"/>
    </row>
    <row r="87" spans="1:52" s="355" customFormat="1" ht="14.25" customHeight="1" x14ac:dyDescent="0.3">
      <c r="A87" s="386"/>
      <c r="B87" s="590" t="s">
        <v>259</v>
      </c>
      <c r="C87" s="591"/>
      <c r="D87" s="590"/>
      <c r="E87" s="590"/>
      <c r="F87" s="590"/>
      <c r="G87" s="590"/>
      <c r="H87" s="590"/>
      <c r="I87" s="590"/>
      <c r="J87" s="590"/>
      <c r="K87" s="590"/>
      <c r="L87" s="590"/>
      <c r="M87" s="590"/>
      <c r="N87" s="590"/>
      <c r="O87" s="590"/>
      <c r="P87" s="386"/>
      <c r="Q87" s="386"/>
      <c r="R87" s="592"/>
      <c r="S87" s="386"/>
      <c r="T87" s="386"/>
      <c r="U87" s="386"/>
      <c r="V87" s="386"/>
      <c r="W87" s="386"/>
      <c r="X87" s="386"/>
      <c r="Y87" s="386"/>
      <c r="Z87" s="386"/>
      <c r="AA87" s="386"/>
      <c r="AB87" s="386"/>
      <c r="AC87" s="386"/>
      <c r="AD87" s="386"/>
      <c r="AE87" s="386"/>
      <c r="AF87" s="386"/>
      <c r="AG87" s="386"/>
      <c r="AH87" s="386"/>
      <c r="AI87" s="386"/>
      <c r="AJ87" s="386"/>
      <c r="AK87" s="386"/>
      <c r="AL87" s="386"/>
      <c r="AM87" s="386"/>
      <c r="AN87" s="386"/>
      <c r="AO87" s="386"/>
      <c r="AP87" s="386"/>
      <c r="AQ87" s="386"/>
      <c r="AR87" s="386"/>
      <c r="AS87" s="386"/>
      <c r="AT87" s="386"/>
      <c r="AU87" s="386"/>
      <c r="AV87" s="386"/>
      <c r="AW87" s="386"/>
      <c r="AX87" s="386"/>
      <c r="AY87" s="386"/>
      <c r="AZ87" s="386"/>
    </row>
    <row r="88" spans="1:52" s="352" customFormat="1" ht="3.75" customHeight="1" x14ac:dyDescent="0.3">
      <c r="A88" s="377"/>
      <c r="B88" s="412"/>
      <c r="C88" s="412"/>
      <c r="D88" s="412"/>
      <c r="E88" s="412"/>
      <c r="F88" s="412"/>
      <c r="G88" s="412"/>
      <c r="H88" s="412"/>
      <c r="I88" s="412"/>
      <c r="J88" s="412"/>
      <c r="K88" s="412"/>
      <c r="L88" s="412"/>
      <c r="M88" s="412"/>
      <c r="N88" s="412"/>
      <c r="O88" s="412"/>
      <c r="P88" s="377"/>
      <c r="Q88" s="377"/>
      <c r="R88" s="424"/>
      <c r="S88" s="377"/>
      <c r="T88" s="377"/>
      <c r="U88" s="377"/>
      <c r="V88" s="377"/>
      <c r="W88" s="377"/>
      <c r="X88" s="377"/>
      <c r="Y88" s="377"/>
      <c r="Z88" s="377"/>
      <c r="AA88" s="377"/>
      <c r="AB88" s="377"/>
      <c r="AC88" s="377"/>
      <c r="AD88" s="377"/>
      <c r="AE88" s="377"/>
      <c r="AF88" s="377"/>
      <c r="AG88" s="377"/>
      <c r="AH88" s="377"/>
      <c r="AI88" s="377"/>
      <c r="AJ88" s="377"/>
      <c r="AK88" s="377"/>
      <c r="AL88" s="377"/>
      <c r="AM88" s="377"/>
      <c r="AN88" s="377"/>
      <c r="AO88" s="377"/>
      <c r="AP88" s="377"/>
      <c r="AQ88" s="377"/>
      <c r="AR88" s="377"/>
      <c r="AS88" s="377"/>
      <c r="AT88" s="377"/>
      <c r="AU88" s="377"/>
      <c r="AV88" s="377"/>
      <c r="AW88" s="377"/>
      <c r="AX88" s="377"/>
      <c r="AY88" s="377"/>
      <c r="AZ88" s="377"/>
    </row>
    <row r="89" spans="1:52" s="352" customFormat="1" ht="14.25" customHeight="1" x14ac:dyDescent="0.3">
      <c r="A89" s="377"/>
      <c r="B89" s="377" t="s">
        <v>260</v>
      </c>
      <c r="C89" s="377"/>
      <c r="D89" s="428">
        <v>0.2437</v>
      </c>
      <c r="E89" s="428">
        <v>0.94520000000000004</v>
      </c>
      <c r="F89" s="428">
        <v>0.58630000000000004</v>
      </c>
      <c r="G89" s="421" t="s">
        <v>108</v>
      </c>
      <c r="H89" s="377"/>
      <c r="I89" s="377"/>
      <c r="J89" s="377"/>
      <c r="K89" s="377"/>
      <c r="L89" s="377"/>
      <c r="M89" s="377"/>
      <c r="N89" s="377"/>
      <c r="O89" s="377"/>
      <c r="P89" s="377"/>
      <c r="Q89" s="377"/>
      <c r="R89" s="424"/>
      <c r="S89" s="377"/>
      <c r="T89" s="377"/>
      <c r="U89" s="377"/>
      <c r="V89" s="377"/>
      <c r="W89" s="377"/>
      <c r="X89" s="377"/>
      <c r="Y89" s="377"/>
      <c r="Z89" s="377"/>
      <c r="AA89" s="377"/>
      <c r="AB89" s="377"/>
      <c r="AC89" s="377"/>
      <c r="AD89" s="377"/>
      <c r="AE89" s="377"/>
      <c r="AF89" s="377"/>
      <c r="AG89" s="377"/>
      <c r="AH89" s="377"/>
      <c r="AI89" s="377"/>
      <c r="AJ89" s="377"/>
      <c r="AK89" s="377"/>
      <c r="AL89" s="377"/>
      <c r="AM89" s="377"/>
      <c r="AN89" s="377"/>
      <c r="AO89" s="377"/>
      <c r="AP89" s="377"/>
      <c r="AQ89" s="377"/>
      <c r="AR89" s="377"/>
      <c r="AS89" s="377"/>
      <c r="AT89" s="377"/>
      <c r="AU89" s="377"/>
      <c r="AV89" s="377"/>
      <c r="AW89" s="377"/>
      <c r="AX89" s="377"/>
      <c r="AY89" s="377"/>
      <c r="AZ89" s="377"/>
    </row>
    <row r="90" spans="1:52" s="352" customFormat="1" ht="5.25" customHeight="1" x14ac:dyDescent="0.3">
      <c r="A90" s="377"/>
      <c r="B90" s="377"/>
      <c r="C90" s="377"/>
      <c r="D90" s="377"/>
      <c r="E90" s="377"/>
      <c r="F90" s="377"/>
      <c r="G90" s="377"/>
      <c r="H90" s="377"/>
      <c r="I90" s="377"/>
      <c r="J90" s="377"/>
      <c r="K90" s="377"/>
      <c r="L90" s="377"/>
      <c r="M90" s="377"/>
      <c r="N90" s="377"/>
      <c r="O90" s="377"/>
      <c r="P90" s="377"/>
      <c r="Q90" s="377"/>
      <c r="R90" s="424"/>
      <c r="S90" s="377"/>
      <c r="T90" s="377"/>
      <c r="U90" s="377"/>
      <c r="V90" s="377"/>
      <c r="W90" s="377"/>
      <c r="X90" s="377"/>
      <c r="Y90" s="377"/>
      <c r="Z90" s="377"/>
      <c r="AA90" s="377"/>
      <c r="AB90" s="377"/>
      <c r="AC90" s="377"/>
      <c r="AD90" s="377"/>
      <c r="AE90" s="377"/>
      <c r="AF90" s="377"/>
      <c r="AG90" s="377"/>
      <c r="AH90" s="377"/>
      <c r="AI90" s="377"/>
      <c r="AJ90" s="377"/>
      <c r="AK90" s="377"/>
      <c r="AL90" s="377"/>
      <c r="AM90" s="377"/>
      <c r="AN90" s="377"/>
      <c r="AO90" s="377"/>
      <c r="AP90" s="377"/>
      <c r="AQ90" s="377"/>
      <c r="AR90" s="377"/>
      <c r="AS90" s="377"/>
      <c r="AT90" s="377"/>
      <c r="AU90" s="377"/>
      <c r="AV90" s="377"/>
      <c r="AW90" s="377"/>
      <c r="AX90" s="377"/>
      <c r="AY90" s="377"/>
      <c r="AZ90" s="377"/>
    </row>
    <row r="91" spans="1:52" s="352" customFormat="1" ht="24.75" customHeight="1" x14ac:dyDescent="0.3">
      <c r="A91" s="377"/>
      <c r="B91" s="429" t="s">
        <v>261</v>
      </c>
      <c r="C91" s="414"/>
      <c r="D91" s="363" t="e" vm="1">
        <f>+DCF!R4</f>
        <v>#VALUE!</v>
      </c>
      <c r="E91" s="364" t="e" vm="2">
        <v>#VALUE!</v>
      </c>
      <c r="F91" s="366" t="e" vm="3">
        <v>#VALUE!</v>
      </c>
      <c r="G91" s="643" t="e" vm="4">
        <v>#VALUE!</v>
      </c>
      <c r="H91" s="651" t="s">
        <v>262</v>
      </c>
      <c r="I91" s="651" t="s">
        <v>263</v>
      </c>
      <c r="J91" s="651" t="s">
        <v>264</v>
      </c>
      <c r="K91" s="651" t="s">
        <v>265</v>
      </c>
      <c r="L91" s="651" t="s">
        <v>266</v>
      </c>
      <c r="M91" s="651" t="s">
        <v>267</v>
      </c>
      <c r="N91" s="365" t="s">
        <v>268</v>
      </c>
      <c r="O91" s="790"/>
      <c r="P91" s="377"/>
      <c r="Q91" s="377"/>
      <c r="R91" s="424"/>
      <c r="S91" s="377"/>
      <c r="T91" s="377"/>
      <c r="U91" s="377"/>
      <c r="V91" s="377"/>
      <c r="W91" s="377"/>
      <c r="X91" s="377"/>
      <c r="Y91" s="377"/>
      <c r="Z91" s="377"/>
      <c r="AA91" s="377"/>
      <c r="AB91" s="377"/>
      <c r="AC91" s="377"/>
      <c r="AD91" s="377"/>
      <c r="AE91" s="377"/>
      <c r="AF91" s="377"/>
      <c r="AG91" s="377"/>
      <c r="AH91" s="377"/>
      <c r="AI91" s="377"/>
      <c r="AJ91" s="377"/>
      <c r="AK91" s="377"/>
      <c r="AL91" s="377"/>
      <c r="AM91" s="377"/>
      <c r="AN91" s="377"/>
      <c r="AO91" s="377"/>
      <c r="AP91" s="377"/>
      <c r="AQ91" s="377"/>
      <c r="AR91" s="377"/>
      <c r="AS91" s="377"/>
      <c r="AT91" s="377"/>
      <c r="AU91" s="377"/>
      <c r="AV91" s="377"/>
      <c r="AW91" s="377"/>
      <c r="AX91" s="377"/>
      <c r="AY91" s="377"/>
      <c r="AZ91" s="377"/>
    </row>
    <row r="92" spans="1:52" s="352" customFormat="1" ht="3.75" customHeight="1" x14ac:dyDescent="0.3">
      <c r="A92" s="377"/>
      <c r="B92" s="430"/>
      <c r="C92" s="418"/>
      <c r="D92" s="367"/>
      <c r="E92" s="368"/>
      <c r="F92" s="370"/>
      <c r="G92" s="644"/>
      <c r="H92" s="652"/>
      <c r="I92" s="652"/>
      <c r="J92" s="652"/>
      <c r="K92" s="652"/>
      <c r="L92" s="652"/>
      <c r="M92" s="652"/>
      <c r="N92" s="369"/>
      <c r="O92" s="377"/>
      <c r="P92" s="377"/>
      <c r="Q92" s="377"/>
      <c r="R92" s="424"/>
      <c r="S92" s="377"/>
      <c r="T92" s="377"/>
      <c r="U92" s="377"/>
      <c r="V92" s="377"/>
      <c r="W92" s="377"/>
      <c r="X92" s="377"/>
      <c r="Y92" s="377"/>
      <c r="Z92" s="377"/>
      <c r="AA92" s="377"/>
      <c r="AB92" s="377"/>
      <c r="AC92" s="377"/>
      <c r="AD92" s="377"/>
      <c r="AE92" s="377"/>
      <c r="AF92" s="377"/>
      <c r="AG92" s="377"/>
      <c r="AH92" s="377"/>
      <c r="AI92" s="377"/>
      <c r="AJ92" s="377"/>
      <c r="AK92" s="377"/>
      <c r="AL92" s="377"/>
      <c r="AM92" s="377"/>
      <c r="AN92" s="377"/>
      <c r="AO92" s="377"/>
      <c r="AP92" s="377"/>
      <c r="AQ92" s="377"/>
      <c r="AR92" s="377"/>
      <c r="AS92" s="377"/>
      <c r="AT92" s="377"/>
      <c r="AU92" s="377"/>
      <c r="AV92" s="377"/>
      <c r="AW92" s="377"/>
      <c r="AX92" s="377"/>
      <c r="AY92" s="377"/>
      <c r="AZ92" s="377"/>
    </row>
    <row r="93" spans="1:52" s="352" customFormat="1" ht="14.25" customHeight="1" x14ac:dyDescent="0.3">
      <c r="A93" s="377"/>
      <c r="B93" s="431" t="str">
        <f>+Inputs!$B$6&amp;" ("&amp;Inputs!O$4&amp;")"</f>
        <v>Revenue (Sales) (2022)</v>
      </c>
      <c r="C93" s="432"/>
      <c r="D93" s="433">
        <f>+_xlfn.XLOOKUP("Revenue (Sales)",Inputs!$B:$B,Inputs!O:O)*1000</f>
        <v>7173</v>
      </c>
      <c r="E93" s="434">
        <v>11131</v>
      </c>
      <c r="F93" s="435">
        <v>13102</v>
      </c>
      <c r="G93" s="645">
        <v>136</v>
      </c>
      <c r="H93" s="653"/>
      <c r="I93" s="653"/>
      <c r="J93" s="653"/>
      <c r="K93" s="653"/>
      <c r="L93" s="653"/>
      <c r="M93" s="653"/>
      <c r="N93" s="436"/>
      <c r="O93" s="377"/>
      <c r="P93" s="377"/>
      <c r="Q93" s="377"/>
      <c r="R93" s="424"/>
      <c r="S93" s="377"/>
      <c r="T93" s="377"/>
      <c r="U93" s="377"/>
      <c r="V93" s="377"/>
      <c r="W93" s="377"/>
      <c r="X93" s="377"/>
      <c r="Y93" s="377"/>
      <c r="Z93" s="377"/>
      <c r="AA93" s="377"/>
      <c r="AB93" s="377"/>
      <c r="AC93" s="377"/>
      <c r="AD93" s="377"/>
      <c r="AE93" s="377"/>
      <c r="AF93" s="377"/>
      <c r="AG93" s="377"/>
      <c r="AH93" s="377"/>
      <c r="AI93" s="377"/>
      <c r="AJ93" s="377"/>
      <c r="AK93" s="377"/>
      <c r="AL93" s="377"/>
      <c r="AM93" s="377"/>
      <c r="AN93" s="377"/>
      <c r="AO93" s="377"/>
      <c r="AP93" s="377"/>
      <c r="AQ93" s="377"/>
      <c r="AR93" s="377"/>
      <c r="AS93" s="377"/>
      <c r="AT93" s="377"/>
      <c r="AU93" s="377"/>
      <c r="AV93" s="377"/>
      <c r="AW93" s="377"/>
      <c r="AX93" s="377"/>
      <c r="AY93" s="377"/>
      <c r="AZ93" s="377"/>
    </row>
    <row r="94" spans="1:52" s="352" customFormat="1" ht="14.25" customHeight="1" x14ac:dyDescent="0.3">
      <c r="A94" s="377"/>
      <c r="B94" s="437" t="str">
        <f>+Inputs!$B$6&amp;" ("&amp;Inputs!P$4&amp;")"</f>
        <v>Revenue (Sales) (2023)</v>
      </c>
      <c r="C94" s="377"/>
      <c r="D94" s="438">
        <f>+_xlfn.XLOOKUP("Revenue (Sales)",Inputs!$B:$B,Inputs!P:P)*1000</f>
        <v>8758</v>
      </c>
      <c r="E94" s="439">
        <v>22042</v>
      </c>
      <c r="F94" s="440">
        <v>12008</v>
      </c>
      <c r="G94" s="646">
        <v>358</v>
      </c>
      <c r="H94" s="654"/>
      <c r="I94" s="654"/>
      <c r="J94" s="654"/>
      <c r="K94" s="654"/>
      <c r="L94" s="654"/>
      <c r="M94" s="654"/>
      <c r="N94" s="441"/>
      <c r="O94" s="377"/>
      <c r="P94" s="377"/>
      <c r="Q94" s="377"/>
      <c r="R94" s="424"/>
      <c r="S94" s="377"/>
      <c r="T94" s="377"/>
      <c r="U94" s="377"/>
      <c r="V94" s="377"/>
      <c r="W94" s="377"/>
      <c r="X94" s="377"/>
      <c r="Y94" s="377"/>
      <c r="Z94" s="377"/>
      <c r="AA94" s="377"/>
      <c r="AB94" s="377"/>
      <c r="AC94" s="377"/>
      <c r="AD94" s="377"/>
      <c r="AE94" s="377"/>
      <c r="AF94" s="377"/>
      <c r="AG94" s="377"/>
      <c r="AH94" s="377"/>
      <c r="AI94" s="377"/>
      <c r="AJ94" s="377"/>
      <c r="AK94" s="377"/>
      <c r="AL94" s="377"/>
      <c r="AM94" s="377"/>
      <c r="AN94" s="377"/>
      <c r="AO94" s="377"/>
      <c r="AP94" s="377"/>
      <c r="AQ94" s="377"/>
      <c r="AR94" s="377"/>
      <c r="AS94" s="377"/>
      <c r="AT94" s="377"/>
      <c r="AU94" s="377"/>
      <c r="AV94" s="377"/>
      <c r="AW94" s="377"/>
      <c r="AX94" s="377"/>
      <c r="AY94" s="377"/>
      <c r="AZ94" s="377"/>
    </row>
    <row r="95" spans="1:52" s="352" customFormat="1" ht="14.25" customHeight="1" x14ac:dyDescent="0.3">
      <c r="A95" s="377"/>
      <c r="B95" s="437" t="s">
        <v>269</v>
      </c>
      <c r="C95" s="377"/>
      <c r="D95" s="438">
        <f>+_xlfn.XLOOKUP("EBITDA",Inputs!$B:$B,Inputs!P:P)*1000</f>
        <v>-75423</v>
      </c>
      <c r="E95" s="439">
        <v>-147379</v>
      </c>
      <c r="F95" s="440">
        <v>-61902</v>
      </c>
      <c r="G95" s="646">
        <v>-25420</v>
      </c>
      <c r="H95" s="654"/>
      <c r="I95" s="654"/>
      <c r="J95" s="654"/>
      <c r="K95" s="654"/>
      <c r="L95" s="654"/>
      <c r="M95" s="654"/>
      <c r="N95" s="441"/>
      <c r="O95" s="377"/>
      <c r="P95" s="377"/>
      <c r="Q95" s="377"/>
      <c r="R95" s="424"/>
      <c r="S95" s="377"/>
      <c r="T95" s="377"/>
      <c r="U95" s="377"/>
      <c r="V95" s="377"/>
      <c r="W95" s="377"/>
      <c r="X95" s="377"/>
      <c r="Y95" s="377"/>
      <c r="Z95" s="377"/>
      <c r="AA95" s="377"/>
      <c r="AB95" s="377"/>
      <c r="AC95" s="377"/>
      <c r="AD95" s="377"/>
      <c r="AE95" s="377"/>
      <c r="AF95" s="377"/>
      <c r="AG95" s="377"/>
      <c r="AH95" s="377"/>
      <c r="AI95" s="377"/>
      <c r="AJ95" s="377"/>
      <c r="AK95" s="377"/>
      <c r="AL95" s="377"/>
      <c r="AM95" s="377"/>
      <c r="AN95" s="377"/>
      <c r="AO95" s="377"/>
      <c r="AP95" s="377"/>
      <c r="AQ95" s="377"/>
      <c r="AR95" s="377"/>
      <c r="AS95" s="377"/>
      <c r="AT95" s="377"/>
      <c r="AU95" s="377"/>
      <c r="AV95" s="377"/>
      <c r="AW95" s="377"/>
      <c r="AX95" s="377"/>
      <c r="AY95" s="377"/>
      <c r="AZ95" s="377"/>
    </row>
    <row r="96" spans="1:52" s="352" customFormat="1" ht="14.25" customHeight="1" x14ac:dyDescent="0.3">
      <c r="A96" s="377"/>
      <c r="B96" s="431" t="s">
        <v>270</v>
      </c>
      <c r="C96" s="432"/>
      <c r="D96" s="433">
        <f>+_xlfn.XLOOKUP("Net Income",Inputs!$B:$B,Inputs!P:P)*1000</f>
        <v>-82715</v>
      </c>
      <c r="E96" s="434">
        <v>-157771</v>
      </c>
      <c r="F96" s="435">
        <v>-75107</v>
      </c>
      <c r="G96" s="645">
        <v>-27022</v>
      </c>
      <c r="H96" s="653"/>
      <c r="I96" s="653"/>
      <c r="J96" s="653"/>
      <c r="K96" s="653"/>
      <c r="L96" s="653"/>
      <c r="M96" s="653"/>
      <c r="N96" s="436"/>
      <c r="O96" s="377"/>
      <c r="P96" s="377"/>
      <c r="Q96" s="377"/>
      <c r="R96" s="424"/>
      <c r="S96" s="377"/>
      <c r="T96" s="377"/>
      <c r="U96" s="377"/>
      <c r="V96" s="377"/>
      <c r="W96" s="377"/>
      <c r="X96" s="377"/>
      <c r="Y96" s="377"/>
      <c r="Z96" s="377"/>
      <c r="AA96" s="377"/>
      <c r="AB96" s="377"/>
      <c r="AC96" s="377"/>
      <c r="AD96" s="377"/>
      <c r="AE96" s="377"/>
      <c r="AF96" s="377"/>
      <c r="AG96" s="377"/>
      <c r="AH96" s="377"/>
      <c r="AI96" s="377"/>
      <c r="AJ96" s="377"/>
      <c r="AK96" s="377"/>
      <c r="AL96" s="377"/>
      <c r="AM96" s="377"/>
      <c r="AN96" s="377"/>
      <c r="AO96" s="377"/>
      <c r="AP96" s="377"/>
      <c r="AQ96" s="377"/>
      <c r="AR96" s="377"/>
      <c r="AS96" s="377"/>
      <c r="AT96" s="377"/>
      <c r="AU96" s="377"/>
      <c r="AV96" s="377"/>
      <c r="AW96" s="377"/>
      <c r="AX96" s="377"/>
      <c r="AY96" s="377"/>
      <c r="AZ96" s="377"/>
    </row>
    <row r="97" spans="1:52" s="352" customFormat="1" ht="14.25" customHeight="1" x14ac:dyDescent="0.3">
      <c r="A97" s="377"/>
      <c r="B97" s="437" t="str">
        <f>+Inputs!$B$6&amp;" ("&amp;Inputs!Q$4&amp;")"</f>
        <v>Revenue (Sales) (2024)</v>
      </c>
      <c r="C97" s="377"/>
      <c r="D97" s="438">
        <f>+_xlfn.XLOOKUP("Revenue (Sales)",Inputs!$B:$B,Inputs!Q:Q)*1000</f>
        <v>8827</v>
      </c>
      <c r="E97" s="442">
        <v>43073</v>
      </c>
      <c r="F97" s="440">
        <v>10790</v>
      </c>
      <c r="G97" s="647">
        <v>373</v>
      </c>
      <c r="H97" s="640"/>
      <c r="I97" s="654"/>
      <c r="J97" s="654"/>
      <c r="K97" s="654"/>
      <c r="L97" s="654"/>
      <c r="M97" s="654"/>
      <c r="N97" s="441"/>
      <c r="O97" s="377"/>
      <c r="P97" s="377"/>
      <c r="Q97" s="377"/>
      <c r="R97" s="424"/>
      <c r="S97" s="377"/>
      <c r="T97" s="377"/>
      <c r="U97" s="377"/>
      <c r="V97" s="377"/>
      <c r="W97" s="377"/>
      <c r="X97" s="377"/>
      <c r="Y97" s="377"/>
      <c r="Z97" s="377"/>
      <c r="AA97" s="377"/>
      <c r="AB97" s="377"/>
      <c r="AC97" s="377"/>
      <c r="AD97" s="377"/>
      <c r="AE97" s="377"/>
      <c r="AF97" s="377"/>
      <c r="AG97" s="377"/>
      <c r="AH97" s="377"/>
      <c r="AI97" s="377"/>
      <c r="AJ97" s="377"/>
      <c r="AK97" s="377"/>
      <c r="AL97" s="377"/>
      <c r="AM97" s="377"/>
      <c r="AN97" s="377"/>
      <c r="AO97" s="377"/>
      <c r="AP97" s="377"/>
      <c r="AQ97" s="377"/>
      <c r="AR97" s="377"/>
      <c r="AS97" s="377"/>
      <c r="AT97" s="377"/>
      <c r="AU97" s="377"/>
      <c r="AV97" s="377"/>
      <c r="AW97" s="377"/>
      <c r="AX97" s="377"/>
      <c r="AY97" s="377"/>
      <c r="AZ97" s="377"/>
    </row>
    <row r="98" spans="1:52" s="352" customFormat="1" ht="14.25" customHeight="1" x14ac:dyDescent="0.3">
      <c r="A98" s="377"/>
      <c r="B98" s="443" t="s">
        <v>271</v>
      </c>
      <c r="C98" s="377"/>
      <c r="D98" s="438">
        <f>+_xlfn.XLOOKUP($B98,Inputs!$B:$B,Inputs!Q:Q)*1000</f>
        <v>3264</v>
      </c>
      <c r="E98" s="439">
        <v>21000</v>
      </c>
      <c r="F98" s="440">
        <v>5100</v>
      </c>
      <c r="G98" s="646">
        <v>260</v>
      </c>
      <c r="H98" s="654"/>
      <c r="I98" s="654"/>
      <c r="J98" s="654"/>
      <c r="K98" s="654"/>
      <c r="L98" s="654"/>
      <c r="M98" s="654"/>
      <c r="N98" s="441"/>
      <c r="O98" s="377"/>
      <c r="P98" s="377"/>
      <c r="Q98" s="377"/>
      <c r="R98" s="424"/>
      <c r="S98" s="377"/>
      <c r="T98" s="377"/>
      <c r="U98" s="377"/>
      <c r="V98" s="377"/>
      <c r="W98" s="377"/>
      <c r="X98" s="377"/>
      <c r="Y98" s="377"/>
      <c r="Z98" s="377"/>
      <c r="AA98" s="377"/>
      <c r="AB98" s="377"/>
      <c r="AC98" s="377"/>
      <c r="AD98" s="377"/>
      <c r="AE98" s="377"/>
      <c r="AF98" s="377"/>
      <c r="AG98" s="377"/>
      <c r="AH98" s="377"/>
      <c r="AI98" s="377"/>
      <c r="AJ98" s="377"/>
      <c r="AK98" s="377"/>
      <c r="AL98" s="377"/>
      <c r="AM98" s="377"/>
      <c r="AN98" s="377"/>
      <c r="AO98" s="377"/>
      <c r="AP98" s="377"/>
      <c r="AQ98" s="377"/>
      <c r="AR98" s="377"/>
      <c r="AS98" s="377"/>
      <c r="AT98" s="377"/>
      <c r="AU98" s="377"/>
      <c r="AV98" s="377"/>
      <c r="AW98" s="377"/>
      <c r="AX98" s="377"/>
      <c r="AY98" s="377"/>
      <c r="AZ98" s="377"/>
    </row>
    <row r="99" spans="1:52" s="352" customFormat="1" ht="14.25" customHeight="1" x14ac:dyDescent="0.3">
      <c r="A99" s="377"/>
      <c r="B99" s="444" t="s">
        <v>272</v>
      </c>
      <c r="C99" s="377"/>
      <c r="D99" s="438">
        <f>+_xlfn.XLOOKUP($B99,Inputs!$B:$B,Inputs!Q:Q)*1000</f>
        <v>5563</v>
      </c>
      <c r="E99" s="445">
        <f>+E97-E98</f>
        <v>22073</v>
      </c>
      <c r="F99" s="446">
        <f>+F97-F98</f>
        <v>5690</v>
      </c>
      <c r="G99" s="787">
        <f>G97-G98</f>
        <v>113</v>
      </c>
      <c r="H99" s="654"/>
      <c r="I99" s="654"/>
      <c r="J99" s="654"/>
      <c r="K99" s="654"/>
      <c r="L99" s="654"/>
      <c r="M99" s="654"/>
      <c r="N99" s="441"/>
      <c r="O99" s="398"/>
      <c r="P99" s="398"/>
      <c r="Q99" s="398"/>
      <c r="R99" s="119"/>
      <c r="S99" s="377"/>
      <c r="T99" s="377"/>
      <c r="U99" s="377"/>
      <c r="V99" s="377"/>
      <c r="W99" s="377"/>
      <c r="X99" s="377"/>
      <c r="Y99" s="377"/>
      <c r="Z99" s="377"/>
      <c r="AA99" s="377"/>
      <c r="AB99" s="377"/>
      <c r="AC99" s="377"/>
      <c r="AD99" s="377"/>
      <c r="AE99" s="377"/>
      <c r="AF99" s="377"/>
      <c r="AG99" s="377"/>
      <c r="AH99" s="377"/>
      <c r="AI99" s="377"/>
      <c r="AJ99" s="377"/>
      <c r="AK99" s="377"/>
      <c r="AL99" s="377"/>
      <c r="AM99" s="377"/>
      <c r="AN99" s="377"/>
      <c r="AO99" s="377"/>
      <c r="AP99" s="377"/>
      <c r="AQ99" s="377"/>
      <c r="AR99" s="377"/>
      <c r="AS99" s="377"/>
      <c r="AT99" s="377"/>
      <c r="AU99" s="377"/>
      <c r="AV99" s="377"/>
      <c r="AW99" s="377"/>
      <c r="AX99" s="377"/>
      <c r="AY99" s="377"/>
      <c r="AZ99" s="377"/>
    </row>
    <row r="100" spans="1:52" s="352" customFormat="1" ht="14.25" customHeight="1" x14ac:dyDescent="0.3">
      <c r="A100" s="377"/>
      <c r="B100" s="443" t="s">
        <v>213</v>
      </c>
      <c r="C100" s="377"/>
      <c r="D100" s="438">
        <f>+_xlfn.XLOOKUP($B100,Inputs!$B:$B,Inputs!Q:Q)*1000</f>
        <v>-69294</v>
      </c>
      <c r="E100" s="442">
        <v>-213801</v>
      </c>
      <c r="F100" s="447">
        <v>-190827</v>
      </c>
      <c r="G100" s="647">
        <v>-62248</v>
      </c>
      <c r="H100" s="640"/>
      <c r="I100" s="640"/>
      <c r="J100" s="640"/>
      <c r="K100" s="640"/>
      <c r="L100" s="640"/>
      <c r="M100" s="640"/>
      <c r="N100" s="441"/>
      <c r="O100" s="377"/>
      <c r="P100" s="377"/>
      <c r="Q100" s="377"/>
      <c r="R100" s="377"/>
      <c r="S100" s="377"/>
      <c r="T100" s="377"/>
      <c r="U100" s="377"/>
      <c r="V100" s="377"/>
      <c r="W100" s="377"/>
      <c r="X100" s="377"/>
      <c r="Y100" s="377"/>
      <c r="Z100" s="377"/>
      <c r="AA100" s="377"/>
      <c r="AB100" s="377"/>
      <c r="AC100" s="377"/>
      <c r="AD100" s="377"/>
      <c r="AE100" s="377"/>
      <c r="AF100" s="377"/>
      <c r="AG100" s="377"/>
      <c r="AH100" s="377"/>
      <c r="AI100" s="377"/>
      <c r="AJ100" s="377"/>
      <c r="AK100" s="377"/>
      <c r="AL100" s="377"/>
      <c r="AM100" s="377"/>
      <c r="AN100" s="377"/>
      <c r="AO100" s="377"/>
      <c r="AP100" s="377"/>
      <c r="AQ100" s="377"/>
      <c r="AR100" s="377"/>
      <c r="AS100" s="377"/>
      <c r="AT100" s="377"/>
      <c r="AU100" s="377"/>
      <c r="AV100" s="377"/>
      <c r="AW100" s="377"/>
      <c r="AX100" s="377"/>
      <c r="AY100" s="377"/>
      <c r="AZ100" s="377"/>
    </row>
    <row r="101" spans="1:52" s="352" customFormat="1" ht="14.25" customHeight="1" x14ac:dyDescent="0.3">
      <c r="A101" s="377"/>
      <c r="B101" s="443" t="s">
        <v>273</v>
      </c>
      <c r="C101" s="377"/>
      <c r="D101" s="438">
        <f>+_xlfn.XLOOKUP($B101,Inputs!$B:$B,Inputs!Q:Q)*1000</f>
        <v>-72786</v>
      </c>
      <c r="E101" s="442">
        <v>-232455</v>
      </c>
      <c r="F101" s="447">
        <v>-197733</v>
      </c>
      <c r="G101" s="647">
        <v>-66046</v>
      </c>
      <c r="H101" s="640"/>
      <c r="I101" s="640"/>
      <c r="J101" s="640"/>
      <c r="K101" s="640"/>
      <c r="L101" s="640"/>
      <c r="M101" s="640"/>
      <c r="N101" s="441"/>
      <c r="O101" s="377"/>
      <c r="P101" s="377"/>
      <c r="Q101" s="377"/>
      <c r="R101" s="377"/>
      <c r="S101" s="377"/>
      <c r="T101" s="377"/>
      <c r="U101" s="377"/>
      <c r="V101" s="377"/>
      <c r="W101" s="377"/>
      <c r="X101" s="377"/>
      <c r="Y101" s="377"/>
      <c r="Z101" s="377"/>
      <c r="AA101" s="377"/>
      <c r="AB101" s="377"/>
      <c r="AC101" s="377"/>
      <c r="AD101" s="377"/>
      <c r="AE101" s="377"/>
      <c r="AF101" s="377"/>
      <c r="AG101" s="377"/>
      <c r="AH101" s="377"/>
      <c r="AI101" s="377"/>
      <c r="AJ101" s="377"/>
      <c r="AK101" s="377"/>
      <c r="AL101" s="377"/>
      <c r="AM101" s="377"/>
      <c r="AN101" s="377"/>
      <c r="AO101" s="377"/>
      <c r="AP101" s="377"/>
      <c r="AQ101" s="377"/>
      <c r="AR101" s="377"/>
      <c r="AS101" s="377"/>
      <c r="AT101" s="377"/>
      <c r="AU101" s="377"/>
      <c r="AV101" s="377"/>
      <c r="AW101" s="377"/>
      <c r="AX101" s="377"/>
      <c r="AY101" s="377"/>
      <c r="AZ101" s="377"/>
    </row>
    <row r="102" spans="1:52" s="352" customFormat="1" ht="14.25" customHeight="1" x14ac:dyDescent="0.3">
      <c r="A102" s="377"/>
      <c r="B102" s="443" t="s">
        <v>274</v>
      </c>
      <c r="C102" s="377"/>
      <c r="D102" s="438">
        <f>+_xlfn.XLOOKUP($B102,Inputs!$B:$B,Inputs!Q:Q)*1000</f>
        <v>3897</v>
      </c>
      <c r="E102" s="442">
        <v>18</v>
      </c>
      <c r="F102" s="447">
        <v>3255</v>
      </c>
      <c r="G102" s="647">
        <v>-2073</v>
      </c>
      <c r="H102" s="640"/>
      <c r="I102" s="640"/>
      <c r="J102" s="640"/>
      <c r="K102" s="640"/>
      <c r="L102" s="657"/>
      <c r="M102" s="657"/>
      <c r="N102" s="448"/>
      <c r="O102" s="377"/>
      <c r="P102" s="377"/>
      <c r="Q102" s="377"/>
      <c r="R102" s="377"/>
      <c r="S102" s="377"/>
      <c r="T102" s="377"/>
      <c r="U102" s="377"/>
      <c r="V102" s="377"/>
      <c r="W102" s="377"/>
      <c r="X102" s="377"/>
      <c r="Y102" s="377"/>
      <c r="Z102" s="377"/>
      <c r="AA102" s="377"/>
      <c r="AB102" s="377"/>
      <c r="AC102" s="377"/>
      <c r="AD102" s="377"/>
      <c r="AE102" s="377"/>
      <c r="AF102" s="377"/>
      <c r="AG102" s="377"/>
      <c r="AH102" s="377"/>
      <c r="AI102" s="377"/>
      <c r="AJ102" s="377"/>
      <c r="AK102" s="377"/>
      <c r="AL102" s="377"/>
      <c r="AM102" s="377"/>
      <c r="AN102" s="377"/>
      <c r="AO102" s="377"/>
      <c r="AP102" s="377"/>
      <c r="AQ102" s="377"/>
      <c r="AR102" s="377"/>
      <c r="AS102" s="377"/>
      <c r="AT102" s="377"/>
      <c r="AU102" s="377"/>
      <c r="AV102" s="377"/>
      <c r="AW102" s="377"/>
      <c r="AX102" s="377"/>
      <c r="AY102" s="377"/>
      <c r="AZ102" s="377"/>
    </row>
    <row r="103" spans="1:52" s="352" customFormat="1" ht="14.25" customHeight="1" x14ac:dyDescent="0.3">
      <c r="A103" s="377"/>
      <c r="B103" s="443" t="s">
        <v>275</v>
      </c>
      <c r="C103" s="377"/>
      <c r="D103" s="438">
        <f>+_xlfn.XLOOKUP($B103,Inputs!$B:$B,Inputs!Q:Q)*1000</f>
        <v>-143879</v>
      </c>
      <c r="E103" s="442">
        <v>-331588</v>
      </c>
      <c r="F103" s="447">
        <v>-200988</v>
      </c>
      <c r="G103" s="647">
        <v>-68500</v>
      </c>
      <c r="H103" s="640"/>
      <c r="I103" s="640"/>
      <c r="J103" s="640"/>
      <c r="K103" s="640"/>
      <c r="L103" s="640"/>
      <c r="M103" s="640"/>
      <c r="N103" s="441"/>
      <c r="O103" s="377"/>
      <c r="P103" s="377"/>
      <c r="Q103" s="377"/>
      <c r="R103" s="377"/>
      <c r="S103" s="377"/>
      <c r="T103" s="377"/>
      <c r="U103" s="377"/>
      <c r="V103" s="377"/>
      <c r="W103" s="377"/>
      <c r="X103" s="377"/>
      <c r="Y103" s="377"/>
      <c r="Z103" s="377"/>
      <c r="AA103" s="377"/>
      <c r="AB103" s="377"/>
      <c r="AC103" s="377"/>
      <c r="AD103" s="377"/>
      <c r="AE103" s="377"/>
      <c r="AF103" s="377"/>
      <c r="AG103" s="377"/>
      <c r="AH103" s="377"/>
      <c r="AI103" s="377"/>
      <c r="AJ103" s="377"/>
      <c r="AK103" s="377"/>
      <c r="AL103" s="377"/>
      <c r="AM103" s="377"/>
      <c r="AN103" s="377"/>
      <c r="AO103" s="377"/>
      <c r="AP103" s="377"/>
      <c r="AQ103" s="377"/>
      <c r="AR103" s="377"/>
      <c r="AS103" s="377"/>
      <c r="AT103" s="377"/>
      <c r="AU103" s="377"/>
      <c r="AV103" s="377"/>
      <c r="AW103" s="377"/>
      <c r="AX103" s="377"/>
      <c r="AY103" s="377"/>
      <c r="AZ103" s="377"/>
    </row>
    <row r="104" spans="1:52" s="352" customFormat="1" ht="14.25" customHeight="1" x14ac:dyDescent="0.3">
      <c r="A104" s="377"/>
      <c r="B104" s="443" t="s">
        <v>276</v>
      </c>
      <c r="C104" s="377"/>
      <c r="D104" s="438">
        <f>+_xlfn.XLOOKUP($B104,Inputs!$B:$B,Inputs!Q:Q)*1000</f>
        <v>0</v>
      </c>
      <c r="E104" s="442" t="s">
        <v>277</v>
      </c>
      <c r="F104" s="447" t="s">
        <v>278</v>
      </c>
      <c r="G104" s="647" t="s">
        <v>278</v>
      </c>
      <c r="H104" s="640"/>
      <c r="I104" s="640"/>
      <c r="J104" s="640"/>
      <c r="K104" s="640"/>
      <c r="L104" s="640"/>
      <c r="M104" s="640"/>
      <c r="N104" s="441"/>
      <c r="O104" s="377"/>
      <c r="P104" s="377"/>
      <c r="Q104" s="377"/>
      <c r="R104" s="377"/>
      <c r="S104" s="377"/>
      <c r="T104" s="377"/>
      <c r="U104" s="377"/>
      <c r="V104" s="377"/>
      <c r="W104" s="377"/>
      <c r="X104" s="377"/>
      <c r="Y104" s="377"/>
      <c r="Z104" s="377"/>
      <c r="AA104" s="377"/>
      <c r="AB104" s="377"/>
      <c r="AC104" s="377"/>
      <c r="AD104" s="377"/>
      <c r="AE104" s="377"/>
      <c r="AF104" s="377"/>
      <c r="AG104" s="377"/>
      <c r="AH104" s="377"/>
      <c r="AI104" s="377"/>
      <c r="AJ104" s="377"/>
      <c r="AK104" s="377"/>
      <c r="AL104" s="377"/>
      <c r="AM104" s="377"/>
      <c r="AN104" s="377"/>
      <c r="AO104" s="377"/>
      <c r="AP104" s="377"/>
      <c r="AQ104" s="377"/>
      <c r="AR104" s="377"/>
      <c r="AS104" s="377"/>
      <c r="AT104" s="377"/>
      <c r="AU104" s="377"/>
      <c r="AV104" s="377"/>
      <c r="AW104" s="377"/>
      <c r="AX104" s="377"/>
      <c r="AY104" s="377"/>
      <c r="AZ104" s="377"/>
    </row>
    <row r="105" spans="1:52" s="352" customFormat="1" ht="14.25" customHeight="1" x14ac:dyDescent="0.3">
      <c r="A105" s="377"/>
      <c r="B105" s="443" t="s">
        <v>279</v>
      </c>
      <c r="C105" s="377"/>
      <c r="D105" s="438">
        <f>+_xlfn.XLOOKUP($B105,Inputs!$B:$B,Inputs!Q:Q)*1000</f>
        <v>-143879</v>
      </c>
      <c r="E105" s="442">
        <v>-331647</v>
      </c>
      <c r="F105" s="447">
        <v>-200988</v>
      </c>
      <c r="G105" s="647">
        <v>-68542</v>
      </c>
      <c r="H105" s="640"/>
      <c r="I105" s="640"/>
      <c r="J105" s="640"/>
      <c r="K105" s="640"/>
      <c r="L105" s="640"/>
      <c r="M105" s="640"/>
      <c r="N105" s="441"/>
      <c r="O105" s="377"/>
      <c r="P105" s="377"/>
      <c r="Q105" s="377"/>
      <c r="R105" s="377"/>
      <c r="S105" s="377"/>
      <c r="T105" s="377"/>
      <c r="U105" s="377"/>
      <c r="V105" s="377"/>
      <c r="W105" s="377"/>
      <c r="X105" s="377"/>
      <c r="Y105" s="377"/>
      <c r="Z105" s="377"/>
      <c r="AA105" s="377"/>
      <c r="AB105" s="377"/>
      <c r="AC105" s="377"/>
      <c r="AD105" s="377"/>
      <c r="AE105" s="377"/>
      <c r="AF105" s="377"/>
      <c r="AG105" s="377"/>
      <c r="AH105" s="377"/>
      <c r="AI105" s="377"/>
      <c r="AJ105" s="377"/>
      <c r="AK105" s="377"/>
      <c r="AL105" s="377"/>
      <c r="AM105" s="377"/>
      <c r="AN105" s="377"/>
      <c r="AO105" s="377"/>
      <c r="AP105" s="377"/>
      <c r="AQ105" s="377"/>
      <c r="AR105" s="377"/>
      <c r="AS105" s="377"/>
      <c r="AT105" s="377"/>
      <c r="AU105" s="377"/>
      <c r="AV105" s="377"/>
      <c r="AW105" s="377"/>
      <c r="AX105" s="377"/>
      <c r="AY105" s="377"/>
      <c r="AZ105" s="377"/>
    </row>
    <row r="106" spans="1:52" s="352" customFormat="1" ht="14.25" customHeight="1" x14ac:dyDescent="0.3">
      <c r="A106" s="377"/>
      <c r="B106" s="443" t="s">
        <v>280</v>
      </c>
      <c r="C106" s="377"/>
      <c r="D106" s="438">
        <f>+_xlfn.XLOOKUP($B106,Inputs!$B:$B,Inputs!Q:Q)*1000</f>
        <v>-750</v>
      </c>
      <c r="E106" s="449" t="s">
        <v>281</v>
      </c>
      <c r="F106" s="450" t="s">
        <v>282</v>
      </c>
      <c r="G106" s="648" t="s">
        <v>283</v>
      </c>
      <c r="H106" s="655"/>
      <c r="I106" s="655"/>
      <c r="J106" s="655"/>
      <c r="K106" s="655"/>
      <c r="L106" s="655"/>
      <c r="M106" s="655"/>
      <c r="N106" s="451"/>
      <c r="O106" s="377"/>
      <c r="P106" s="377"/>
      <c r="Q106" s="377"/>
      <c r="R106" s="377"/>
      <c r="S106" s="377"/>
      <c r="T106" s="377"/>
      <c r="U106" s="377"/>
      <c r="V106" s="377"/>
      <c r="W106" s="377"/>
      <c r="X106" s="377"/>
      <c r="Y106" s="377"/>
      <c r="Z106" s="377"/>
      <c r="AA106" s="377"/>
      <c r="AB106" s="377"/>
      <c r="AC106" s="377"/>
      <c r="AD106" s="377"/>
      <c r="AE106" s="377"/>
      <c r="AF106" s="377"/>
      <c r="AG106" s="377"/>
      <c r="AH106" s="377"/>
      <c r="AI106" s="377"/>
      <c r="AJ106" s="377"/>
      <c r="AK106" s="377"/>
      <c r="AL106" s="377"/>
      <c r="AM106" s="377"/>
      <c r="AN106" s="377"/>
      <c r="AO106" s="377"/>
      <c r="AP106" s="377"/>
      <c r="AQ106" s="377"/>
      <c r="AR106" s="377"/>
      <c r="AS106" s="377"/>
      <c r="AT106" s="377"/>
      <c r="AU106" s="377"/>
      <c r="AV106" s="377"/>
      <c r="AW106" s="377"/>
      <c r="AX106" s="377"/>
      <c r="AY106" s="377"/>
      <c r="AZ106" s="377"/>
    </row>
    <row r="107" spans="1:52" s="352" customFormat="1" ht="14.25" customHeight="1" x14ac:dyDescent="0.3">
      <c r="A107" s="377"/>
      <c r="B107" s="443" t="s">
        <v>284</v>
      </c>
      <c r="C107" s="377"/>
      <c r="D107" s="438">
        <f>+_xlfn.XLOOKUP($B107,Inputs!$B:$B,Inputs!Q:Q)*1000</f>
        <v>35300</v>
      </c>
      <c r="E107" s="442">
        <v>136827</v>
      </c>
      <c r="F107" s="447">
        <v>49750</v>
      </c>
      <c r="G107" s="647">
        <v>11318</v>
      </c>
      <c r="H107" s="640"/>
      <c r="I107" s="640"/>
      <c r="J107" s="640"/>
      <c r="K107" s="640"/>
      <c r="L107" s="640"/>
      <c r="M107" s="640"/>
      <c r="N107" s="441"/>
      <c r="O107" s="377"/>
      <c r="P107" s="377"/>
      <c r="Q107" s="377"/>
      <c r="R107" s="377"/>
      <c r="S107" s="377"/>
      <c r="T107" s="377"/>
      <c r="U107" s="377"/>
      <c r="V107" s="377"/>
      <c r="W107" s="377"/>
      <c r="X107" s="377"/>
      <c r="Y107" s="377"/>
      <c r="Z107" s="377"/>
      <c r="AA107" s="377"/>
      <c r="AB107" s="377"/>
      <c r="AC107" s="377"/>
      <c r="AD107" s="377"/>
      <c r="AE107" s="377"/>
      <c r="AF107" s="377"/>
      <c r="AG107" s="377"/>
      <c r="AH107" s="377"/>
      <c r="AI107" s="377"/>
      <c r="AJ107" s="377"/>
      <c r="AK107" s="377"/>
      <c r="AL107" s="377"/>
      <c r="AM107" s="377"/>
      <c r="AN107" s="377"/>
      <c r="AO107" s="377"/>
      <c r="AP107" s="377"/>
      <c r="AQ107" s="377"/>
      <c r="AR107" s="377"/>
      <c r="AS107" s="377"/>
      <c r="AT107" s="377"/>
      <c r="AU107" s="377"/>
      <c r="AV107" s="377"/>
      <c r="AW107" s="377"/>
      <c r="AX107" s="377"/>
      <c r="AY107" s="377"/>
      <c r="AZ107" s="377"/>
    </row>
    <row r="108" spans="1:52" s="352" customFormat="1" ht="3.75" customHeight="1" x14ac:dyDescent="0.3">
      <c r="A108" s="377"/>
      <c r="B108" s="443"/>
      <c r="C108" s="377"/>
      <c r="D108" s="452"/>
      <c r="E108" s="453"/>
      <c r="F108" s="454"/>
      <c r="G108" s="649"/>
      <c r="H108" s="656"/>
      <c r="I108" s="656"/>
      <c r="J108" s="656"/>
      <c r="K108" s="656"/>
      <c r="L108" s="656"/>
      <c r="M108" s="656"/>
      <c r="N108" s="421"/>
      <c r="O108" s="377"/>
      <c r="P108" s="377"/>
      <c r="Q108" s="377"/>
      <c r="R108" s="377"/>
      <c r="S108" s="377"/>
      <c r="T108" s="377"/>
      <c r="U108" s="377"/>
      <c r="V108" s="377"/>
      <c r="W108" s="377"/>
      <c r="X108" s="377"/>
      <c r="Y108" s="377"/>
      <c r="Z108" s="377"/>
      <c r="AA108" s="377"/>
      <c r="AB108" s="377"/>
      <c r="AC108" s="377"/>
      <c r="AD108" s="377"/>
      <c r="AE108" s="377"/>
      <c r="AF108" s="377"/>
      <c r="AG108" s="377"/>
      <c r="AH108" s="377"/>
      <c r="AI108" s="377"/>
      <c r="AJ108" s="377"/>
      <c r="AK108" s="377"/>
      <c r="AL108" s="377"/>
      <c r="AM108" s="377"/>
      <c r="AN108" s="377"/>
      <c r="AO108" s="377"/>
      <c r="AP108" s="377"/>
      <c r="AQ108" s="377"/>
      <c r="AR108" s="377"/>
      <c r="AS108" s="377"/>
      <c r="AT108" s="377"/>
      <c r="AU108" s="377"/>
      <c r="AV108" s="377"/>
      <c r="AW108" s="377"/>
      <c r="AX108" s="377"/>
      <c r="AY108" s="377"/>
      <c r="AZ108" s="377"/>
    </row>
    <row r="109" spans="1:52" s="352" customFormat="1" ht="14.25" customHeight="1" x14ac:dyDescent="0.3">
      <c r="A109" s="377"/>
      <c r="B109" s="429" t="s">
        <v>285</v>
      </c>
      <c r="C109" s="414"/>
      <c r="D109" s="455"/>
      <c r="E109" s="456"/>
      <c r="F109" s="457"/>
      <c r="G109" s="650"/>
      <c r="H109" s="641"/>
      <c r="I109" s="641"/>
      <c r="J109" s="641"/>
      <c r="K109" s="641"/>
      <c r="L109" s="641"/>
      <c r="M109" s="641"/>
      <c r="N109" s="458"/>
      <c r="O109" s="377"/>
      <c r="P109" s="377"/>
      <c r="Q109" s="377"/>
      <c r="R109" s="377"/>
      <c r="S109" s="377"/>
      <c r="T109" s="377"/>
      <c r="U109" s="377"/>
      <c r="V109" s="377"/>
      <c r="W109" s="377"/>
      <c r="X109" s="377"/>
      <c r="Y109" s="377"/>
      <c r="Z109" s="377"/>
      <c r="AA109" s="377"/>
      <c r="AB109" s="377"/>
      <c r="AC109" s="377"/>
      <c r="AD109" s="377"/>
      <c r="AE109" s="377"/>
      <c r="AF109" s="377"/>
      <c r="AG109" s="377"/>
      <c r="AH109" s="377"/>
      <c r="AI109" s="377"/>
      <c r="AJ109" s="377"/>
      <c r="AK109" s="377"/>
      <c r="AL109" s="377"/>
      <c r="AM109" s="377"/>
      <c r="AN109" s="377"/>
      <c r="AO109" s="377"/>
      <c r="AP109" s="377"/>
      <c r="AQ109" s="377"/>
      <c r="AR109" s="377"/>
      <c r="AS109" s="377"/>
      <c r="AT109" s="377"/>
      <c r="AU109" s="377"/>
      <c r="AV109" s="377"/>
      <c r="AW109" s="377"/>
      <c r="AX109" s="377"/>
      <c r="AY109" s="377"/>
      <c r="AZ109" s="377"/>
    </row>
    <row r="110" spans="1:52" s="352" customFormat="1" ht="3.75" customHeight="1" x14ac:dyDescent="0.3">
      <c r="A110" s="377"/>
      <c r="B110" s="430"/>
      <c r="C110" s="418"/>
      <c r="D110" s="459"/>
      <c r="E110" s="460"/>
      <c r="F110" s="461"/>
      <c r="G110" s="639"/>
      <c r="H110" s="642"/>
      <c r="I110" s="642"/>
      <c r="J110" s="642"/>
      <c r="K110" s="642"/>
      <c r="L110" s="642"/>
      <c r="M110" s="642"/>
      <c r="N110" s="423"/>
      <c r="O110" s="377"/>
      <c r="P110" s="377"/>
      <c r="Q110" s="377"/>
      <c r="R110" s="377"/>
      <c r="S110" s="377"/>
      <c r="T110" s="377"/>
      <c r="U110" s="377"/>
      <c r="V110" s="377"/>
      <c r="W110" s="377"/>
      <c r="X110" s="377"/>
      <c r="Y110" s="377"/>
      <c r="Z110" s="377"/>
      <c r="AA110" s="377"/>
      <c r="AB110" s="377"/>
      <c r="AC110" s="377"/>
      <c r="AD110" s="377"/>
      <c r="AE110" s="377"/>
      <c r="AF110" s="377"/>
      <c r="AG110" s="377"/>
      <c r="AH110" s="377"/>
      <c r="AI110" s="377"/>
      <c r="AJ110" s="377"/>
      <c r="AK110" s="377"/>
      <c r="AL110" s="377"/>
      <c r="AM110" s="377"/>
      <c r="AN110" s="377"/>
      <c r="AO110" s="377"/>
      <c r="AP110" s="377"/>
      <c r="AQ110" s="377"/>
      <c r="AR110" s="377"/>
      <c r="AS110" s="377"/>
      <c r="AT110" s="377"/>
      <c r="AU110" s="377"/>
      <c r="AV110" s="377"/>
      <c r="AW110" s="377"/>
      <c r="AX110" s="377"/>
      <c r="AY110" s="377"/>
      <c r="AZ110" s="377"/>
    </row>
    <row r="111" spans="1:52" s="352" customFormat="1" ht="14.25" customHeight="1" x14ac:dyDescent="0.3">
      <c r="A111" s="377"/>
      <c r="B111" s="443" t="s">
        <v>286</v>
      </c>
      <c r="C111" s="377"/>
      <c r="D111" s="438">
        <f>+_xlfn.XLOOKUP($B111,Inputs!$B:$B,Inputs!Q:Q)*1000</f>
        <v>177980</v>
      </c>
      <c r="E111" s="442">
        <v>54393</v>
      </c>
      <c r="F111" s="447">
        <v>67674</v>
      </c>
      <c r="G111" s="647">
        <v>78945</v>
      </c>
      <c r="H111" s="640"/>
      <c r="I111" s="640"/>
      <c r="J111" s="640"/>
      <c r="K111" s="640"/>
      <c r="L111" s="640"/>
      <c r="M111" s="640"/>
      <c r="N111" s="441"/>
      <c r="O111" s="377"/>
      <c r="P111" s="377"/>
      <c r="Q111" s="377"/>
      <c r="R111" s="377"/>
      <c r="S111" s="377"/>
      <c r="T111" s="377"/>
      <c r="U111" s="377"/>
      <c r="V111" s="377"/>
      <c r="W111" s="377"/>
      <c r="X111" s="377"/>
      <c r="Y111" s="377"/>
      <c r="Z111" s="377"/>
      <c r="AA111" s="377"/>
      <c r="AB111" s="377"/>
      <c r="AC111" s="377"/>
      <c r="AD111" s="377"/>
      <c r="AE111" s="377"/>
      <c r="AF111" s="377"/>
      <c r="AG111" s="377"/>
      <c r="AH111" s="377"/>
      <c r="AI111" s="377"/>
      <c r="AJ111" s="377"/>
      <c r="AK111" s="377"/>
      <c r="AL111" s="377"/>
      <c r="AM111" s="377"/>
      <c r="AN111" s="377"/>
      <c r="AO111" s="377"/>
      <c r="AP111" s="377"/>
      <c r="AQ111" s="377"/>
      <c r="AR111" s="377"/>
      <c r="AS111" s="377"/>
      <c r="AT111" s="377"/>
      <c r="AU111" s="377"/>
      <c r="AV111" s="377"/>
      <c r="AW111" s="377"/>
      <c r="AX111" s="377"/>
      <c r="AY111" s="377"/>
      <c r="AZ111" s="377"/>
    </row>
    <row r="112" spans="1:52" s="352" customFormat="1" ht="14.25" customHeight="1" x14ac:dyDescent="0.3">
      <c r="A112" s="377"/>
      <c r="B112" s="443" t="s">
        <v>287</v>
      </c>
      <c r="C112" s="377"/>
      <c r="D112" s="438">
        <f>+_xlfn.XLOOKUP($B112,Inputs!$B:$B,Inputs!Q:Q)*1000</f>
        <v>1420</v>
      </c>
      <c r="E112" s="442">
        <v>6516</v>
      </c>
      <c r="F112" s="447">
        <v>2427</v>
      </c>
      <c r="G112" s="788">
        <v>27</v>
      </c>
      <c r="H112" s="640"/>
      <c r="I112" s="640"/>
      <c r="J112" s="640"/>
      <c r="K112" s="640"/>
      <c r="L112" s="640"/>
      <c r="M112" s="640"/>
      <c r="N112" s="441"/>
      <c r="O112" s="377"/>
      <c r="P112" s="377"/>
      <c r="Q112" s="377"/>
      <c r="R112" s="377"/>
      <c r="S112" s="377"/>
      <c r="T112" s="377"/>
      <c r="U112" s="377"/>
      <c r="V112" s="377"/>
      <c r="W112" s="377"/>
      <c r="X112" s="377"/>
      <c r="Y112" s="377"/>
      <c r="Z112" s="377"/>
      <c r="AA112" s="377"/>
      <c r="AB112" s="377"/>
      <c r="AC112" s="377"/>
      <c r="AD112" s="377"/>
      <c r="AE112" s="377"/>
      <c r="AF112" s="377"/>
      <c r="AG112" s="377"/>
      <c r="AH112" s="377"/>
      <c r="AI112" s="377"/>
      <c r="AJ112" s="377"/>
      <c r="AK112" s="377"/>
      <c r="AL112" s="377"/>
      <c r="AM112" s="377"/>
      <c r="AN112" s="377"/>
      <c r="AO112" s="377"/>
      <c r="AP112" s="377"/>
      <c r="AQ112" s="377"/>
      <c r="AR112" s="377"/>
      <c r="AS112" s="377"/>
      <c r="AT112" s="377"/>
      <c r="AU112" s="377"/>
      <c r="AV112" s="377"/>
      <c r="AW112" s="377"/>
      <c r="AX112" s="377"/>
      <c r="AY112" s="377"/>
      <c r="AZ112" s="377"/>
    </row>
    <row r="113" spans="1:52" s="352" customFormat="1" ht="14.25" customHeight="1" x14ac:dyDescent="0.3">
      <c r="A113" s="377"/>
      <c r="B113" s="443" t="s">
        <v>288</v>
      </c>
      <c r="C113" s="377"/>
      <c r="D113" s="438">
        <f>+_xlfn.XLOOKUP("Inventory",Inputs!$B:$B,Inputs!P:P)*1000</f>
        <v>2078</v>
      </c>
      <c r="E113" s="442">
        <v>12476</v>
      </c>
      <c r="F113" s="447">
        <v>0</v>
      </c>
      <c r="G113" s="788">
        <v>73</v>
      </c>
      <c r="H113" s="640"/>
      <c r="I113" s="640"/>
      <c r="J113" s="640"/>
      <c r="K113" s="640"/>
      <c r="L113" s="640"/>
      <c r="M113" s="640"/>
      <c r="N113" s="441"/>
      <c r="O113" s="377"/>
      <c r="P113" s="377"/>
      <c r="Q113" s="377"/>
      <c r="R113" s="377"/>
      <c r="S113" s="377"/>
      <c r="T113" s="377"/>
      <c r="U113" s="377"/>
      <c r="V113" s="377"/>
      <c r="W113" s="377"/>
      <c r="X113" s="377"/>
      <c r="Y113" s="377"/>
      <c r="Z113" s="377"/>
      <c r="AA113" s="377"/>
      <c r="AB113" s="377"/>
      <c r="AC113" s="377"/>
      <c r="AD113" s="377"/>
      <c r="AE113" s="377"/>
      <c r="AF113" s="377"/>
      <c r="AG113" s="377"/>
      <c r="AH113" s="377"/>
      <c r="AI113" s="377"/>
      <c r="AJ113" s="377"/>
      <c r="AK113" s="377"/>
      <c r="AL113" s="377"/>
      <c r="AM113" s="377"/>
      <c r="AN113" s="377"/>
      <c r="AO113" s="377"/>
      <c r="AP113" s="377"/>
      <c r="AQ113" s="377"/>
      <c r="AR113" s="377"/>
      <c r="AS113" s="377"/>
      <c r="AT113" s="377"/>
      <c r="AU113" s="377"/>
      <c r="AV113" s="377"/>
      <c r="AW113" s="377"/>
      <c r="AX113" s="377"/>
      <c r="AY113" s="377"/>
      <c r="AZ113" s="377"/>
    </row>
    <row r="114" spans="1:52" s="352" customFormat="1" ht="14.25" customHeight="1" x14ac:dyDescent="0.3">
      <c r="A114" s="377"/>
      <c r="B114" s="443" t="s">
        <v>289</v>
      </c>
      <c r="C114" s="377"/>
      <c r="D114" s="438">
        <f>+_xlfn.XLOOKUP("Inventory",Inputs!$B:$B,Inputs!Q:Q)*1000</f>
        <v>1686</v>
      </c>
      <c r="E114" s="442">
        <v>18658</v>
      </c>
      <c r="F114" s="447">
        <v>0</v>
      </c>
      <c r="G114" s="788">
        <v>18</v>
      </c>
      <c r="H114" s="640"/>
      <c r="I114" s="640"/>
      <c r="J114" s="640"/>
      <c r="K114" s="640"/>
      <c r="L114" s="640"/>
      <c r="M114" s="640"/>
      <c r="N114" s="441"/>
      <c r="O114" s="377"/>
      <c r="P114" s="377"/>
      <c r="Q114" s="377"/>
      <c r="R114" s="377"/>
      <c r="S114" s="377"/>
      <c r="T114" s="377"/>
      <c r="U114" s="377"/>
      <c r="V114" s="377"/>
      <c r="W114" s="377"/>
      <c r="X114" s="377"/>
      <c r="Y114" s="377"/>
      <c r="Z114" s="377"/>
      <c r="AA114" s="377"/>
      <c r="AB114" s="377"/>
      <c r="AC114" s="377"/>
      <c r="AD114" s="377"/>
      <c r="AE114" s="377"/>
      <c r="AF114" s="377"/>
      <c r="AG114" s="377"/>
      <c r="AH114" s="377"/>
      <c r="AI114" s="377"/>
      <c r="AJ114" s="377"/>
      <c r="AK114" s="377"/>
      <c r="AL114" s="377"/>
      <c r="AM114" s="377"/>
      <c r="AN114" s="377"/>
      <c r="AO114" s="377"/>
      <c r="AP114" s="377"/>
      <c r="AQ114" s="377"/>
      <c r="AR114" s="377"/>
      <c r="AS114" s="377"/>
      <c r="AT114" s="377"/>
      <c r="AU114" s="377"/>
      <c r="AV114" s="377"/>
      <c r="AW114" s="377"/>
      <c r="AX114" s="377"/>
      <c r="AY114" s="377"/>
      <c r="AZ114" s="377"/>
    </row>
    <row r="115" spans="1:52" s="352" customFormat="1" ht="14.25" customHeight="1" x14ac:dyDescent="0.3">
      <c r="A115" s="377"/>
      <c r="B115" s="443" t="s">
        <v>290</v>
      </c>
      <c r="C115" s="377"/>
      <c r="D115" s="438">
        <f>+_xlfn.XLOOKUP($B115,Inputs!$B:$B,Inputs!Q:Q)*1000</f>
        <v>185040</v>
      </c>
      <c r="E115" s="442">
        <v>378802</v>
      </c>
      <c r="F115" s="447">
        <v>206758</v>
      </c>
      <c r="G115" s="647">
        <v>79151</v>
      </c>
      <c r="H115" s="640"/>
      <c r="I115" s="640"/>
      <c r="J115" s="640"/>
      <c r="K115" s="640"/>
      <c r="L115" s="640"/>
      <c r="M115" s="640"/>
      <c r="N115" s="441"/>
      <c r="O115" s="377"/>
      <c r="P115" s="377"/>
      <c r="Q115" s="377"/>
      <c r="R115" s="377"/>
      <c r="S115" s="377"/>
      <c r="T115" s="377"/>
      <c r="U115" s="377"/>
      <c r="V115" s="377"/>
      <c r="W115" s="377"/>
      <c r="X115" s="377"/>
      <c r="Y115" s="377"/>
      <c r="Z115" s="377"/>
      <c r="AA115" s="377"/>
      <c r="AB115" s="377"/>
      <c r="AC115" s="377"/>
      <c r="AD115" s="377"/>
      <c r="AE115" s="377"/>
      <c r="AF115" s="377"/>
      <c r="AG115" s="377"/>
      <c r="AH115" s="377"/>
      <c r="AI115" s="377"/>
      <c r="AJ115" s="377"/>
      <c r="AK115" s="377"/>
      <c r="AL115" s="377"/>
      <c r="AM115" s="377"/>
      <c r="AN115" s="377"/>
      <c r="AO115" s="377"/>
      <c r="AP115" s="377"/>
      <c r="AQ115" s="377"/>
      <c r="AR115" s="377"/>
      <c r="AS115" s="377"/>
      <c r="AT115" s="377"/>
      <c r="AU115" s="377"/>
      <c r="AV115" s="377"/>
      <c r="AW115" s="377"/>
      <c r="AX115" s="377"/>
      <c r="AY115" s="377"/>
      <c r="AZ115" s="377"/>
    </row>
    <row r="116" spans="1:52" s="352" customFormat="1" ht="14.25" customHeight="1" x14ac:dyDescent="0.3">
      <c r="A116" s="377"/>
      <c r="B116" s="443" t="s">
        <v>291</v>
      </c>
      <c r="C116" s="377"/>
      <c r="D116" s="438">
        <f>+_xlfn.XLOOKUP($B116,Inputs!$B:$B,Inputs!Q:Q)*1000</f>
        <v>11394</v>
      </c>
      <c r="E116" s="442">
        <v>62.231000000000002</v>
      </c>
      <c r="F116" s="447">
        <v>52.636000000000003</v>
      </c>
      <c r="G116" s="647">
        <v>9.734</v>
      </c>
      <c r="H116" s="640"/>
      <c r="I116" s="640"/>
      <c r="J116" s="640"/>
      <c r="K116" s="640"/>
      <c r="L116" s="640"/>
      <c r="M116" s="640"/>
      <c r="N116" s="441"/>
      <c r="O116" s="377"/>
      <c r="P116" s="377"/>
      <c r="Q116" s="377"/>
      <c r="R116" s="377"/>
      <c r="S116" s="377"/>
      <c r="T116" s="377"/>
      <c r="U116" s="377"/>
      <c r="V116" s="377"/>
      <c r="W116" s="377"/>
      <c r="X116" s="377"/>
      <c r="Y116" s="377"/>
      <c r="Z116" s="377"/>
      <c r="AA116" s="377"/>
      <c r="AB116" s="377"/>
      <c r="AC116" s="377"/>
      <c r="AD116" s="377"/>
      <c r="AE116" s="377"/>
      <c r="AF116" s="377"/>
      <c r="AG116" s="377"/>
      <c r="AH116" s="377"/>
      <c r="AI116" s="377"/>
      <c r="AJ116" s="377"/>
      <c r="AK116" s="377"/>
      <c r="AL116" s="377"/>
      <c r="AM116" s="377"/>
      <c r="AN116" s="377"/>
      <c r="AO116" s="377"/>
      <c r="AP116" s="377"/>
      <c r="AQ116" s="377"/>
      <c r="AR116" s="377"/>
      <c r="AS116" s="377"/>
      <c r="AT116" s="377"/>
      <c r="AU116" s="377"/>
      <c r="AV116" s="377"/>
      <c r="AW116" s="377"/>
      <c r="AX116" s="377"/>
      <c r="AY116" s="377"/>
      <c r="AZ116" s="377"/>
    </row>
    <row r="117" spans="1:52" s="352" customFormat="1" ht="14.25" customHeight="1" x14ac:dyDescent="0.3">
      <c r="A117" s="377"/>
      <c r="B117" s="443" t="s">
        <v>292</v>
      </c>
      <c r="C117" s="462"/>
      <c r="D117" s="463">
        <f>+_xlfn.XLOOKUP($B117,Inputs!$B:$B,Inputs!Q:Q)*1000</f>
        <v>199853</v>
      </c>
      <c r="E117" s="442">
        <v>508388</v>
      </c>
      <c r="F117" s="442">
        <v>284787</v>
      </c>
      <c r="G117" s="647">
        <v>153559</v>
      </c>
      <c r="H117" s="640"/>
      <c r="I117" s="640"/>
      <c r="J117" s="640"/>
      <c r="K117" s="640"/>
      <c r="L117" s="640"/>
      <c r="M117" s="640"/>
      <c r="N117" s="441"/>
      <c r="O117" s="377"/>
      <c r="P117" s="377"/>
      <c r="Q117" s="377"/>
      <c r="R117" s="377"/>
      <c r="S117" s="377"/>
      <c r="T117" s="377"/>
      <c r="U117" s="377"/>
      <c r="V117" s="377"/>
      <c r="W117" s="377"/>
      <c r="X117" s="377"/>
      <c r="Y117" s="377"/>
      <c r="Z117" s="377"/>
      <c r="AA117" s="377"/>
      <c r="AB117" s="377"/>
      <c r="AC117" s="377"/>
      <c r="AD117" s="377"/>
      <c r="AE117" s="377"/>
      <c r="AF117" s="377"/>
      <c r="AG117" s="377"/>
      <c r="AH117" s="377"/>
      <c r="AI117" s="377"/>
      <c r="AJ117" s="377"/>
      <c r="AK117" s="377"/>
      <c r="AL117" s="377"/>
      <c r="AM117" s="377"/>
      <c r="AN117" s="377"/>
      <c r="AO117" s="377"/>
      <c r="AP117" s="377"/>
      <c r="AQ117" s="377"/>
      <c r="AR117" s="377"/>
      <c r="AS117" s="377"/>
      <c r="AT117" s="377"/>
      <c r="AU117" s="377"/>
      <c r="AV117" s="377"/>
      <c r="AW117" s="377"/>
      <c r="AX117" s="377"/>
      <c r="AY117" s="377"/>
      <c r="AZ117" s="377"/>
    </row>
    <row r="118" spans="1:52" s="352" customFormat="1" ht="14.25" customHeight="1" x14ac:dyDescent="0.3">
      <c r="A118" s="377"/>
      <c r="B118" s="443" t="s">
        <v>293</v>
      </c>
      <c r="C118" s="377"/>
      <c r="D118" s="438">
        <f>+_xlfn.XLOOKUP($B118,Inputs!$B:$B,Inputs!Q:Q)*1000</f>
        <v>815</v>
      </c>
      <c r="E118" s="442">
        <v>5.23</v>
      </c>
      <c r="F118" s="447">
        <v>1.9810000000000001</v>
      </c>
      <c r="G118" s="647">
        <v>1.3720000000000001</v>
      </c>
      <c r="H118" s="640"/>
      <c r="I118" s="640"/>
      <c r="J118" s="640"/>
      <c r="K118" s="640"/>
      <c r="L118" s="640"/>
      <c r="M118" s="640"/>
      <c r="N118" s="441"/>
      <c r="O118" s="377"/>
      <c r="P118" s="377"/>
      <c r="Q118" s="377"/>
      <c r="R118" s="377"/>
      <c r="S118" s="377"/>
      <c r="T118" s="377"/>
      <c r="U118" s="377"/>
      <c r="V118" s="377"/>
      <c r="W118" s="377"/>
      <c r="X118" s="377"/>
      <c r="Y118" s="377"/>
      <c r="Z118" s="377"/>
      <c r="AA118" s="377"/>
      <c r="AB118" s="377"/>
      <c r="AC118" s="377"/>
      <c r="AD118" s="377"/>
      <c r="AE118" s="377"/>
      <c r="AF118" s="377"/>
      <c r="AG118" s="377"/>
      <c r="AH118" s="377"/>
      <c r="AI118" s="377"/>
      <c r="AJ118" s="377"/>
      <c r="AK118" s="377"/>
      <c r="AL118" s="377"/>
      <c r="AM118" s="377"/>
      <c r="AN118" s="377"/>
      <c r="AO118" s="377"/>
      <c r="AP118" s="377"/>
      <c r="AQ118" s="377"/>
      <c r="AR118" s="377"/>
      <c r="AS118" s="377"/>
      <c r="AT118" s="377"/>
      <c r="AU118" s="377"/>
      <c r="AV118" s="377"/>
      <c r="AW118" s="377"/>
      <c r="AX118" s="377"/>
      <c r="AY118" s="377"/>
      <c r="AZ118" s="377"/>
    </row>
    <row r="119" spans="1:52" s="352" customFormat="1" ht="14.25" customHeight="1" x14ac:dyDescent="0.3">
      <c r="A119" s="377"/>
      <c r="B119" s="443" t="s">
        <v>294</v>
      </c>
      <c r="C119" s="377"/>
      <c r="D119" s="438">
        <f>+_xlfn.XLOOKUP($B119,Inputs!$B:$B,Inputs!Q:Q)*1000</f>
        <v>30145</v>
      </c>
      <c r="E119" s="442">
        <v>36.085000000000001</v>
      </c>
      <c r="F119" s="447">
        <v>11.867000000000001</v>
      </c>
      <c r="G119" s="647">
        <v>4.5590000000000002</v>
      </c>
      <c r="H119" s="640"/>
      <c r="I119" s="640"/>
      <c r="J119" s="640"/>
      <c r="K119" s="640"/>
      <c r="L119" s="640"/>
      <c r="M119" s="640"/>
      <c r="N119" s="441"/>
      <c r="O119" s="377"/>
      <c r="P119" s="377"/>
      <c r="Q119" s="377"/>
      <c r="R119" s="377"/>
      <c r="S119" s="377"/>
      <c r="T119" s="377"/>
      <c r="U119" s="377"/>
      <c r="V119" s="377"/>
      <c r="W119" s="377"/>
      <c r="X119" s="377"/>
      <c r="Y119" s="377"/>
      <c r="Z119" s="377"/>
      <c r="AA119" s="377"/>
      <c r="AB119" s="377"/>
      <c r="AC119" s="377"/>
      <c r="AD119" s="377"/>
      <c r="AE119" s="377"/>
      <c r="AF119" s="377"/>
      <c r="AG119" s="377"/>
      <c r="AH119" s="377"/>
      <c r="AI119" s="377"/>
      <c r="AJ119" s="377"/>
      <c r="AK119" s="377"/>
      <c r="AL119" s="377"/>
      <c r="AM119" s="377"/>
      <c r="AN119" s="377"/>
      <c r="AO119" s="377"/>
      <c r="AP119" s="377"/>
      <c r="AQ119" s="377"/>
      <c r="AR119" s="377"/>
      <c r="AS119" s="377"/>
      <c r="AT119" s="377"/>
      <c r="AU119" s="377"/>
      <c r="AV119" s="377"/>
      <c r="AW119" s="377"/>
      <c r="AX119" s="377"/>
      <c r="AY119" s="377"/>
      <c r="AZ119" s="377"/>
    </row>
    <row r="120" spans="1:52" s="352" customFormat="1" ht="14.25" customHeight="1" x14ac:dyDescent="0.3">
      <c r="A120" s="377"/>
      <c r="B120" s="443" t="s">
        <v>295</v>
      </c>
      <c r="C120" s="377"/>
      <c r="D120" s="438">
        <f>+_xlfn.XLOOKUP($B120,Inputs!$B:$B,Inputs!Q:Q)*1000</f>
        <v>36517</v>
      </c>
      <c r="E120" s="442">
        <v>0</v>
      </c>
      <c r="F120" s="447">
        <v>0</v>
      </c>
      <c r="G120" s="647">
        <v>0</v>
      </c>
      <c r="H120" s="640"/>
      <c r="I120" s="640"/>
      <c r="J120" s="640"/>
      <c r="K120" s="640"/>
      <c r="L120" s="640"/>
      <c r="M120" s="640"/>
      <c r="N120" s="441"/>
      <c r="O120" s="377"/>
      <c r="P120" s="377"/>
      <c r="Q120" s="377"/>
      <c r="R120" s="377"/>
      <c r="S120" s="377"/>
      <c r="T120" s="377"/>
      <c r="U120" s="377"/>
      <c r="V120" s="377"/>
      <c r="W120" s="377"/>
      <c r="X120" s="377"/>
      <c r="Y120" s="377"/>
      <c r="Z120" s="377"/>
      <c r="AA120" s="377"/>
      <c r="AB120" s="377"/>
      <c r="AC120" s="377"/>
      <c r="AD120" s="377"/>
      <c r="AE120" s="377"/>
      <c r="AF120" s="377"/>
      <c r="AG120" s="377"/>
      <c r="AH120" s="377"/>
      <c r="AI120" s="377"/>
      <c r="AJ120" s="377"/>
      <c r="AK120" s="377"/>
      <c r="AL120" s="377"/>
      <c r="AM120" s="377"/>
      <c r="AN120" s="377"/>
      <c r="AO120" s="377"/>
      <c r="AP120" s="377"/>
      <c r="AQ120" s="377"/>
      <c r="AR120" s="377"/>
      <c r="AS120" s="377"/>
      <c r="AT120" s="377"/>
      <c r="AU120" s="377"/>
      <c r="AV120" s="377"/>
      <c r="AW120" s="377"/>
      <c r="AX120" s="377"/>
      <c r="AY120" s="377"/>
      <c r="AZ120" s="377"/>
    </row>
    <row r="121" spans="1:52" s="352" customFormat="1" ht="14.25" customHeight="1" x14ac:dyDescent="0.3">
      <c r="A121" s="377"/>
      <c r="B121" s="443" t="s">
        <v>296</v>
      </c>
      <c r="C121" s="377"/>
      <c r="D121" s="438">
        <f>+_xlfn.XLOOKUP($B121,Inputs!$B:$B,Inputs!Q:Q,,,-1)*1000</f>
        <v>38377</v>
      </c>
      <c r="E121" s="442">
        <v>17725</v>
      </c>
      <c r="F121" s="447">
        <v>8800</v>
      </c>
      <c r="G121" s="647">
        <v>1181</v>
      </c>
      <c r="H121" s="640"/>
      <c r="I121" s="640"/>
      <c r="J121" s="640"/>
      <c r="K121" s="640"/>
      <c r="L121" s="640"/>
      <c r="M121" s="640"/>
      <c r="N121" s="441"/>
      <c r="O121" s="377"/>
      <c r="P121" s="377"/>
      <c r="Q121" s="377"/>
      <c r="R121" s="377"/>
      <c r="S121" s="377"/>
      <c r="T121" s="377"/>
      <c r="U121" s="377"/>
      <c r="V121" s="377"/>
      <c r="W121" s="377"/>
      <c r="X121" s="377"/>
      <c r="Y121" s="377"/>
      <c r="Z121" s="377"/>
      <c r="AA121" s="377"/>
      <c r="AB121" s="377"/>
      <c r="AC121" s="377"/>
      <c r="AD121" s="377"/>
      <c r="AE121" s="377"/>
      <c r="AF121" s="377"/>
      <c r="AG121" s="377"/>
      <c r="AH121" s="377"/>
      <c r="AI121" s="377"/>
      <c r="AJ121" s="377"/>
      <c r="AK121" s="377"/>
      <c r="AL121" s="377"/>
      <c r="AM121" s="377"/>
      <c r="AN121" s="377"/>
      <c r="AO121" s="377"/>
      <c r="AP121" s="377"/>
      <c r="AQ121" s="377"/>
      <c r="AR121" s="377"/>
      <c r="AS121" s="377"/>
      <c r="AT121" s="377"/>
      <c r="AU121" s="377"/>
      <c r="AV121" s="377"/>
      <c r="AW121" s="377"/>
      <c r="AX121" s="377"/>
      <c r="AY121" s="377"/>
      <c r="AZ121" s="377"/>
    </row>
    <row r="122" spans="1:52" s="352" customFormat="1" ht="14.25" customHeight="1" x14ac:dyDescent="0.3">
      <c r="A122" s="377"/>
      <c r="B122" s="443" t="s">
        <v>297</v>
      </c>
      <c r="C122" s="377"/>
      <c r="D122" s="438">
        <f>+_xlfn.XLOOKUP($B122,Inputs!$B:$B,Inputs!Q:Q)*1000</f>
        <v>62646</v>
      </c>
      <c r="E122" s="442">
        <v>383862</v>
      </c>
      <c r="F122" s="447">
        <v>126589</v>
      </c>
      <c r="G122" s="647">
        <v>107287</v>
      </c>
      <c r="H122" s="640"/>
      <c r="I122" s="640"/>
      <c r="J122" s="640"/>
      <c r="K122" s="640"/>
      <c r="L122" s="640"/>
      <c r="M122" s="640"/>
      <c r="N122" s="441"/>
      <c r="O122" s="377"/>
      <c r="P122" s="377"/>
      <c r="Q122" s="377"/>
      <c r="R122" s="377"/>
      <c r="S122" s="377"/>
      <c r="T122" s="377"/>
      <c r="U122" s="377"/>
      <c r="V122" s="377"/>
      <c r="W122" s="377"/>
      <c r="X122" s="377"/>
      <c r="Y122" s="377"/>
      <c r="Z122" s="377"/>
      <c r="AA122" s="377"/>
      <c r="AB122" s="377"/>
      <c r="AC122" s="377"/>
      <c r="AD122" s="377"/>
      <c r="AE122" s="377"/>
      <c r="AF122" s="377"/>
      <c r="AG122" s="377"/>
      <c r="AH122" s="377"/>
      <c r="AI122" s="377"/>
      <c r="AJ122" s="377"/>
      <c r="AK122" s="377"/>
      <c r="AL122" s="377"/>
      <c r="AM122" s="377"/>
      <c r="AN122" s="377"/>
      <c r="AO122" s="377"/>
      <c r="AP122" s="377"/>
      <c r="AQ122" s="377"/>
      <c r="AR122" s="377"/>
      <c r="AS122" s="377"/>
      <c r="AT122" s="377"/>
      <c r="AU122" s="377"/>
      <c r="AV122" s="377"/>
      <c r="AW122" s="377"/>
      <c r="AX122" s="377"/>
      <c r="AY122" s="377"/>
      <c r="AZ122" s="377"/>
    </row>
    <row r="123" spans="1:52" s="352" customFormat="1" ht="4.4000000000000004" customHeight="1" x14ac:dyDescent="0.3">
      <c r="A123" s="377"/>
      <c r="B123" s="443"/>
      <c r="C123" s="377"/>
      <c r="D123" s="637"/>
      <c r="E123" s="640"/>
      <c r="F123" s="640"/>
      <c r="G123" s="647"/>
      <c r="H123" s="640"/>
      <c r="I123" s="640"/>
      <c r="J123" s="640"/>
      <c r="K123" s="640"/>
      <c r="L123" s="640"/>
      <c r="M123" s="640"/>
      <c r="N123" s="441"/>
      <c r="O123" s="377"/>
      <c r="P123" s="377"/>
      <c r="Q123" s="377"/>
      <c r="R123" s="377"/>
      <c r="S123" s="377"/>
      <c r="T123" s="377"/>
      <c r="U123" s="377"/>
      <c r="V123" s="377"/>
      <c r="W123" s="377"/>
      <c r="X123" s="377"/>
      <c r="Y123" s="377"/>
      <c r="Z123" s="377"/>
      <c r="AA123" s="377"/>
      <c r="AB123" s="377"/>
      <c r="AC123" s="377"/>
      <c r="AD123" s="377"/>
      <c r="AE123" s="377"/>
      <c r="AF123" s="377"/>
      <c r="AG123" s="377"/>
      <c r="AH123" s="377"/>
      <c r="AI123" s="377"/>
      <c r="AJ123" s="377"/>
      <c r="AK123" s="377"/>
      <c r="AL123" s="377"/>
      <c r="AM123" s="377"/>
      <c r="AN123" s="377"/>
      <c r="AO123" s="377"/>
      <c r="AP123" s="377"/>
      <c r="AQ123" s="377"/>
      <c r="AR123" s="377"/>
      <c r="AS123" s="377"/>
      <c r="AT123" s="377"/>
      <c r="AU123" s="377"/>
      <c r="AV123" s="377"/>
      <c r="AW123" s="377"/>
      <c r="AX123" s="377"/>
      <c r="AY123" s="377"/>
      <c r="AZ123" s="377"/>
    </row>
    <row r="124" spans="1:52" s="352" customFormat="1" ht="14.25" customHeight="1" x14ac:dyDescent="0.3">
      <c r="A124" s="377"/>
      <c r="B124" s="429" t="s">
        <v>298</v>
      </c>
      <c r="C124" s="414"/>
      <c r="D124" s="638"/>
      <c r="E124" s="641"/>
      <c r="F124" s="641"/>
      <c r="G124" s="650"/>
      <c r="H124" s="641"/>
      <c r="I124" s="641"/>
      <c r="J124" s="641"/>
      <c r="K124" s="641"/>
      <c r="L124" s="641"/>
      <c r="M124" s="641"/>
      <c r="N124" s="458"/>
      <c r="O124" s="377"/>
      <c r="P124" s="377"/>
      <c r="Q124" s="377"/>
      <c r="R124" s="377"/>
      <c r="S124" s="377"/>
      <c r="T124" s="377"/>
      <c r="U124" s="377"/>
      <c r="V124" s="377"/>
      <c r="W124" s="377"/>
      <c r="X124" s="377"/>
      <c r="Y124" s="377"/>
      <c r="Z124" s="377"/>
      <c r="AA124" s="377"/>
      <c r="AB124" s="377"/>
      <c r="AC124" s="377"/>
      <c r="AD124" s="377"/>
      <c r="AE124" s="377"/>
      <c r="AF124" s="377"/>
      <c r="AG124" s="377"/>
      <c r="AH124" s="377"/>
      <c r="AI124" s="377"/>
      <c r="AJ124" s="377"/>
      <c r="AK124" s="377"/>
      <c r="AL124" s="377"/>
      <c r="AM124" s="377"/>
      <c r="AN124" s="377"/>
      <c r="AO124" s="377"/>
      <c r="AP124" s="377"/>
      <c r="AQ124" s="377"/>
      <c r="AR124" s="377"/>
      <c r="AS124" s="377"/>
      <c r="AT124" s="377"/>
      <c r="AU124" s="377"/>
      <c r="AV124" s="377"/>
      <c r="AW124" s="377"/>
      <c r="AX124" s="377"/>
      <c r="AY124" s="377"/>
      <c r="AZ124" s="377"/>
    </row>
    <row r="125" spans="1:52" s="352" customFormat="1" ht="4.4000000000000004" customHeight="1" x14ac:dyDescent="0.3">
      <c r="A125" s="377"/>
      <c r="B125" s="430"/>
      <c r="C125" s="418"/>
      <c r="D125" s="639"/>
      <c r="E125" s="639"/>
      <c r="F125" s="642"/>
      <c r="G125" s="639"/>
      <c r="H125" s="642"/>
      <c r="I125" s="642"/>
      <c r="J125" s="642"/>
      <c r="K125" s="642"/>
      <c r="L125" s="642"/>
      <c r="M125" s="642"/>
      <c r="N125" s="423"/>
      <c r="O125" s="377"/>
      <c r="P125" s="377"/>
      <c r="Q125" s="377"/>
      <c r="R125" s="377"/>
      <c r="S125" s="377"/>
      <c r="T125" s="377"/>
      <c r="U125" s="377"/>
      <c r="V125" s="377"/>
      <c r="W125" s="377"/>
      <c r="X125" s="377"/>
      <c r="Y125" s="377"/>
      <c r="Z125" s="377"/>
      <c r="AA125" s="377"/>
      <c r="AB125" s="377"/>
      <c r="AC125" s="377"/>
      <c r="AD125" s="377"/>
      <c r="AE125" s="377"/>
      <c r="AF125" s="377"/>
      <c r="AG125" s="377"/>
      <c r="AH125" s="377"/>
      <c r="AI125" s="377"/>
      <c r="AJ125" s="377"/>
      <c r="AK125" s="377"/>
      <c r="AL125" s="377"/>
      <c r="AM125" s="377"/>
      <c r="AN125" s="377"/>
      <c r="AO125" s="377"/>
      <c r="AP125" s="377"/>
      <c r="AQ125" s="377"/>
      <c r="AR125" s="377"/>
      <c r="AS125" s="377"/>
      <c r="AT125" s="377"/>
      <c r="AU125" s="377"/>
      <c r="AV125" s="377"/>
      <c r="AW125" s="377"/>
      <c r="AX125" s="377"/>
      <c r="AY125" s="377"/>
      <c r="AZ125" s="377"/>
    </row>
    <row r="126" spans="1:52" s="352" customFormat="1" ht="14.25" customHeight="1" x14ac:dyDescent="0.3">
      <c r="A126" s="377"/>
      <c r="B126" s="443" t="s">
        <v>299</v>
      </c>
      <c r="C126" s="377"/>
      <c r="D126" s="438">
        <f>+_xlfn.XLOOKUP($B126,Inputs!$B:$B,Inputs!Q:Q)*1000</f>
        <v>-42643</v>
      </c>
      <c r="E126" s="640">
        <v>-105863</v>
      </c>
      <c r="F126" s="640">
        <v>-50627</v>
      </c>
      <c r="G126" s="647">
        <v>-16213</v>
      </c>
      <c r="H126" s="640"/>
      <c r="I126" s="640"/>
      <c r="J126" s="640"/>
      <c r="K126" s="640"/>
      <c r="L126" s="640"/>
      <c r="M126" s="640"/>
      <c r="N126" s="441"/>
      <c r="O126" s="377"/>
      <c r="P126" s="377"/>
      <c r="Q126" s="377"/>
      <c r="R126" s="377"/>
      <c r="S126" s="377"/>
      <c r="T126" s="377"/>
      <c r="U126" s="377"/>
      <c r="V126" s="377"/>
      <c r="W126" s="377"/>
      <c r="X126" s="377"/>
      <c r="Y126" s="377"/>
      <c r="Z126" s="377"/>
      <c r="AA126" s="377"/>
      <c r="AB126" s="377"/>
      <c r="AC126" s="377"/>
      <c r="AD126" s="377"/>
      <c r="AE126" s="377"/>
      <c r="AF126" s="377"/>
      <c r="AG126" s="377"/>
      <c r="AH126" s="377"/>
      <c r="AI126" s="377"/>
      <c r="AJ126" s="377"/>
      <c r="AK126" s="377"/>
      <c r="AL126" s="377"/>
      <c r="AM126" s="377"/>
      <c r="AN126" s="377"/>
      <c r="AO126" s="377"/>
      <c r="AP126" s="377"/>
      <c r="AQ126" s="377"/>
      <c r="AR126" s="377"/>
      <c r="AS126" s="377"/>
      <c r="AT126" s="377"/>
      <c r="AU126" s="377"/>
      <c r="AV126" s="377"/>
      <c r="AW126" s="377"/>
      <c r="AX126" s="377"/>
      <c r="AY126" s="377"/>
      <c r="AZ126" s="377"/>
    </row>
    <row r="127" spans="1:52" s="352" customFormat="1" ht="14.25" customHeight="1" x14ac:dyDescent="0.3">
      <c r="A127" s="377"/>
      <c r="B127" s="443" t="s">
        <v>23</v>
      </c>
      <c r="C127" s="377"/>
      <c r="D127" s="438">
        <f>+_xlfn.XLOOKUP($B127,Inputs!$B:$B,Inputs!Q:Q)*1000</f>
        <v>-2395</v>
      </c>
      <c r="E127" s="640">
        <v>-18000</v>
      </c>
      <c r="F127" s="640">
        <v>-11100</v>
      </c>
      <c r="G127" s="647">
        <v>-6000</v>
      </c>
      <c r="H127" s="640"/>
      <c r="I127" s="640"/>
      <c r="J127" s="640"/>
      <c r="K127" s="640"/>
      <c r="L127" s="640"/>
      <c r="M127" s="640"/>
      <c r="N127" s="441"/>
      <c r="O127" s="377"/>
      <c r="P127" s="377"/>
      <c r="Q127" s="377"/>
      <c r="R127" s="377"/>
      <c r="S127" s="377"/>
      <c r="T127" s="377"/>
      <c r="U127" s="377"/>
      <c r="V127" s="377"/>
      <c r="W127" s="377"/>
      <c r="X127" s="377"/>
      <c r="Y127" s="377"/>
      <c r="Z127" s="377"/>
      <c r="AA127" s="377"/>
      <c r="AB127" s="377"/>
      <c r="AC127" s="377"/>
      <c r="AD127" s="377"/>
      <c r="AE127" s="377"/>
      <c r="AF127" s="377"/>
      <c r="AG127" s="377"/>
      <c r="AH127" s="377"/>
      <c r="AI127" s="377"/>
      <c r="AJ127" s="377"/>
      <c r="AK127" s="377"/>
      <c r="AL127" s="377"/>
      <c r="AM127" s="377"/>
      <c r="AN127" s="377"/>
      <c r="AO127" s="377"/>
      <c r="AP127" s="377"/>
      <c r="AQ127" s="377"/>
      <c r="AR127" s="377"/>
      <c r="AS127" s="377"/>
      <c r="AT127" s="377"/>
      <c r="AU127" s="377"/>
      <c r="AV127" s="377"/>
      <c r="AW127" s="377"/>
      <c r="AX127" s="377"/>
      <c r="AY127" s="377"/>
      <c r="AZ127" s="377"/>
    </row>
    <row r="128" spans="1:52" s="352" customFormat="1" ht="14.25" customHeight="1" x14ac:dyDescent="0.3">
      <c r="A128" s="377"/>
      <c r="B128" s="443" t="s">
        <v>300</v>
      </c>
      <c r="C128" s="377"/>
      <c r="D128" s="438">
        <f>+_xlfn.XLOOKUP($B128,Inputs!$B:$B,Inputs!Q:Q)*1000</f>
        <v>-3141</v>
      </c>
      <c r="E128" s="640">
        <v>82730</v>
      </c>
      <c r="F128" s="640">
        <v>-78362</v>
      </c>
      <c r="G128" s="647">
        <v>-6360</v>
      </c>
      <c r="H128" s="640"/>
      <c r="I128" s="640"/>
      <c r="J128" s="640"/>
      <c r="K128" s="640"/>
      <c r="L128" s="640"/>
      <c r="M128" s="640"/>
      <c r="N128" s="441"/>
      <c r="O128" s="377"/>
      <c r="P128" s="377"/>
      <c r="Q128" s="377"/>
      <c r="R128" s="377"/>
      <c r="S128" s="377"/>
      <c r="T128" s="377"/>
      <c r="U128" s="377"/>
      <c r="V128" s="377"/>
      <c r="W128" s="377"/>
      <c r="X128" s="377"/>
      <c r="Y128" s="377"/>
      <c r="Z128" s="377"/>
      <c r="AA128" s="377"/>
      <c r="AB128" s="377"/>
      <c r="AC128" s="377"/>
      <c r="AD128" s="377"/>
      <c r="AE128" s="377"/>
      <c r="AF128" s="377"/>
      <c r="AG128" s="377"/>
      <c r="AH128" s="377"/>
      <c r="AI128" s="377"/>
      <c r="AJ128" s="377"/>
      <c r="AK128" s="377"/>
      <c r="AL128" s="377"/>
      <c r="AM128" s="377"/>
      <c r="AN128" s="377"/>
      <c r="AO128" s="377"/>
      <c r="AP128" s="377"/>
      <c r="AQ128" s="377"/>
      <c r="AR128" s="377"/>
      <c r="AS128" s="377"/>
      <c r="AT128" s="377"/>
      <c r="AU128" s="377"/>
      <c r="AV128" s="377"/>
      <c r="AW128" s="377"/>
      <c r="AX128" s="377"/>
      <c r="AY128" s="377"/>
      <c r="AZ128" s="377"/>
    </row>
    <row r="129" spans="1:52" s="352" customFormat="1" ht="14.25" customHeight="1" x14ac:dyDescent="0.3">
      <c r="A129" s="377"/>
      <c r="B129" s="443" t="s">
        <v>301</v>
      </c>
      <c r="C129" s="377"/>
      <c r="D129" s="438">
        <f>+_xlfn.XLOOKUP($B129,Inputs!$B:$B,Inputs!Q:Q)*1000</f>
        <v>0</v>
      </c>
      <c r="E129" s="640">
        <v>0</v>
      </c>
      <c r="F129" s="640">
        <v>0</v>
      </c>
      <c r="G129" s="640">
        <v>0</v>
      </c>
      <c r="H129" s="640"/>
      <c r="I129" s="640"/>
      <c r="J129" s="640"/>
      <c r="K129" s="640"/>
      <c r="L129" s="640"/>
      <c r="M129" s="640"/>
      <c r="N129" s="441"/>
      <c r="O129" s="377"/>
      <c r="P129" s="377"/>
      <c r="Q129" s="377"/>
      <c r="R129" s="377"/>
      <c r="S129" s="377"/>
      <c r="T129" s="377"/>
      <c r="U129" s="377"/>
      <c r="V129" s="377"/>
      <c r="W129" s="377"/>
      <c r="X129" s="377"/>
      <c r="Y129" s="377"/>
      <c r="Z129" s="377"/>
      <c r="AA129" s="377"/>
      <c r="AB129" s="377"/>
      <c r="AC129" s="377"/>
      <c r="AD129" s="377"/>
      <c r="AE129" s="377"/>
      <c r="AF129" s="377"/>
      <c r="AG129" s="377"/>
      <c r="AH129" s="377"/>
      <c r="AI129" s="377"/>
      <c r="AJ129" s="377"/>
      <c r="AK129" s="377"/>
      <c r="AL129" s="377"/>
      <c r="AM129" s="377"/>
      <c r="AN129" s="377"/>
      <c r="AO129" s="377"/>
      <c r="AP129" s="377"/>
      <c r="AQ129" s="377"/>
      <c r="AR129" s="377"/>
      <c r="AS129" s="377"/>
      <c r="AT129" s="377"/>
      <c r="AU129" s="377"/>
      <c r="AV129" s="377"/>
      <c r="AW129" s="377"/>
      <c r="AX129" s="377"/>
      <c r="AY129" s="377"/>
      <c r="AZ129" s="377"/>
    </row>
    <row r="130" spans="1:52" s="352" customFormat="1" ht="14.25" customHeight="1" x14ac:dyDescent="0.3">
      <c r="A130" s="377"/>
      <c r="B130" s="443" t="s">
        <v>302</v>
      </c>
      <c r="C130" s="377"/>
      <c r="D130" s="438">
        <f>+_xlfn.XLOOKUP($B130,Inputs!$B:$B,Inputs!Q:Q)*1000</f>
        <v>-30370</v>
      </c>
      <c r="E130" s="640">
        <v>0</v>
      </c>
      <c r="F130" s="640">
        <v>-23328</v>
      </c>
      <c r="G130" s="647">
        <v>0</v>
      </c>
      <c r="H130" s="640"/>
      <c r="I130" s="640"/>
      <c r="J130" s="640"/>
      <c r="K130" s="640"/>
      <c r="L130" s="640"/>
      <c r="M130" s="640"/>
      <c r="N130" s="441"/>
      <c r="O130" s="377"/>
      <c r="P130" s="377"/>
      <c r="Q130" s="377"/>
      <c r="R130" s="377"/>
      <c r="S130" s="377"/>
      <c r="T130" s="377"/>
      <c r="U130" s="377"/>
      <c r="V130" s="377"/>
      <c r="W130" s="377"/>
      <c r="X130" s="377"/>
      <c r="Y130" s="377"/>
      <c r="Z130" s="377"/>
      <c r="AA130" s="377"/>
      <c r="AB130" s="377"/>
      <c r="AC130" s="377"/>
      <c r="AD130" s="377"/>
      <c r="AE130" s="377"/>
      <c r="AF130" s="377"/>
      <c r="AG130" s="377"/>
      <c r="AH130" s="377"/>
      <c r="AI130" s="377"/>
      <c r="AJ130" s="377"/>
      <c r="AK130" s="377"/>
      <c r="AL130" s="377"/>
      <c r="AM130" s="377"/>
      <c r="AN130" s="377"/>
      <c r="AO130" s="377"/>
      <c r="AP130" s="377"/>
      <c r="AQ130" s="377"/>
      <c r="AR130" s="377"/>
      <c r="AS130" s="377"/>
      <c r="AT130" s="377"/>
      <c r="AU130" s="377"/>
      <c r="AV130" s="377"/>
      <c r="AW130" s="377"/>
      <c r="AX130" s="377"/>
      <c r="AY130" s="377"/>
      <c r="AZ130" s="377"/>
    </row>
    <row r="131" spans="1:52" s="352" customFormat="1" ht="14.25" customHeight="1" x14ac:dyDescent="0.3">
      <c r="A131" s="377"/>
      <c r="B131" s="443" t="s">
        <v>303</v>
      </c>
      <c r="C131" s="377"/>
      <c r="D131" s="438">
        <f>+_xlfn.XLOOKUP($B131,Inputs!$B:$B,Inputs!Q:Q)*1000</f>
        <v>182450</v>
      </c>
      <c r="E131" s="640">
        <v>41687</v>
      </c>
      <c r="F131" s="640">
        <v>175459</v>
      </c>
      <c r="G131" s="647">
        <v>99135</v>
      </c>
      <c r="H131" s="640"/>
      <c r="I131" s="640"/>
      <c r="J131" s="640"/>
      <c r="K131" s="640"/>
      <c r="L131" s="640"/>
      <c r="M131" s="640"/>
      <c r="N131" s="441"/>
      <c r="O131" s="377"/>
      <c r="P131" s="377"/>
      <c r="Q131" s="377"/>
      <c r="R131" s="377"/>
      <c r="S131" s="377"/>
      <c r="T131" s="377"/>
      <c r="U131" s="377"/>
      <c r="V131" s="377"/>
      <c r="W131" s="377"/>
      <c r="X131" s="377"/>
      <c r="Y131" s="377"/>
      <c r="Z131" s="377"/>
      <c r="AA131" s="377"/>
      <c r="AB131" s="377"/>
      <c r="AC131" s="377"/>
      <c r="AD131" s="377"/>
      <c r="AE131" s="377"/>
      <c r="AF131" s="377"/>
      <c r="AG131" s="377"/>
      <c r="AH131" s="377"/>
      <c r="AI131" s="377"/>
      <c r="AJ131" s="377"/>
      <c r="AK131" s="377"/>
      <c r="AL131" s="377"/>
      <c r="AM131" s="377"/>
      <c r="AN131" s="377"/>
      <c r="AO131" s="377"/>
      <c r="AP131" s="377"/>
      <c r="AQ131" s="377"/>
      <c r="AR131" s="377"/>
      <c r="AS131" s="377"/>
      <c r="AT131" s="377"/>
      <c r="AU131" s="377"/>
      <c r="AV131" s="377"/>
      <c r="AW131" s="377"/>
      <c r="AX131" s="377"/>
      <c r="AY131" s="377"/>
      <c r="AZ131" s="377"/>
    </row>
    <row r="132" spans="1:52" s="352" customFormat="1" ht="14.25" customHeight="1" x14ac:dyDescent="0.3">
      <c r="A132" s="377"/>
      <c r="B132" s="443" t="s">
        <v>304</v>
      </c>
      <c r="C132" s="377"/>
      <c r="D132" s="438">
        <f>+_xlfn.XLOOKUP($B132,Inputs!$B:$B,Inputs!Q:Q)*1000</f>
        <v>136673</v>
      </c>
      <c r="E132" s="640">
        <v>18734</v>
      </c>
      <c r="F132" s="640">
        <v>46470</v>
      </c>
      <c r="G132" s="647">
        <v>76886</v>
      </c>
      <c r="H132" s="640"/>
      <c r="I132" s="640"/>
      <c r="J132" s="640"/>
      <c r="K132" s="640"/>
      <c r="L132" s="640"/>
      <c r="M132" s="640"/>
      <c r="N132" s="441"/>
      <c r="O132" s="377"/>
      <c r="P132" s="377"/>
      <c r="Q132" s="377"/>
      <c r="R132" s="377"/>
      <c r="S132" s="377"/>
      <c r="T132" s="377"/>
      <c r="U132" s="377"/>
      <c r="V132" s="377"/>
      <c r="W132" s="377"/>
      <c r="X132" s="377"/>
      <c r="Y132" s="377"/>
      <c r="Z132" s="377"/>
      <c r="AA132" s="377"/>
      <c r="AB132" s="377"/>
      <c r="AC132" s="377"/>
      <c r="AD132" s="377"/>
      <c r="AE132" s="377"/>
      <c r="AF132" s="377"/>
      <c r="AG132" s="377"/>
      <c r="AH132" s="377"/>
      <c r="AI132" s="377"/>
      <c r="AJ132" s="377"/>
      <c r="AK132" s="377"/>
      <c r="AL132" s="377"/>
      <c r="AM132" s="377"/>
      <c r="AN132" s="377"/>
      <c r="AO132" s="377"/>
      <c r="AP132" s="377"/>
      <c r="AQ132" s="377"/>
      <c r="AR132" s="377"/>
      <c r="AS132" s="377"/>
      <c r="AT132" s="377"/>
      <c r="AU132" s="377"/>
      <c r="AV132" s="377"/>
      <c r="AW132" s="377"/>
      <c r="AX132" s="377"/>
      <c r="AY132" s="377"/>
      <c r="AZ132" s="377"/>
    </row>
    <row r="133" spans="1:52" s="352" customFormat="1" ht="4.4000000000000004" customHeight="1" x14ac:dyDescent="0.3">
      <c r="A133" s="377"/>
      <c r="B133" s="444"/>
      <c r="C133" s="377"/>
      <c r="D133" s="634"/>
      <c r="E133" s="635"/>
      <c r="F133" s="635"/>
      <c r="G133" s="635"/>
      <c r="H133" s="635"/>
      <c r="I133" s="635"/>
      <c r="J133" s="635"/>
      <c r="K133" s="635"/>
      <c r="L133" s="635"/>
      <c r="M133" s="635"/>
      <c r="N133" s="636"/>
      <c r="O133" s="377"/>
      <c r="P133" s="377"/>
      <c r="Q133" s="377"/>
      <c r="R133" s="377"/>
      <c r="S133" s="377"/>
      <c r="T133" s="377"/>
      <c r="U133" s="377"/>
      <c r="V133" s="377"/>
      <c r="W133" s="377"/>
      <c r="X133" s="377"/>
      <c r="Y133" s="377"/>
      <c r="Z133" s="377"/>
      <c r="AA133" s="377"/>
      <c r="AB133" s="377"/>
      <c r="AC133" s="377"/>
      <c r="AD133" s="377"/>
      <c r="AE133" s="377"/>
      <c r="AF133" s="377"/>
      <c r="AG133" s="377"/>
      <c r="AH133" s="377"/>
      <c r="AI133" s="377"/>
      <c r="AJ133" s="377"/>
      <c r="AK133" s="377"/>
      <c r="AL133" s="377"/>
      <c r="AM133" s="377"/>
      <c r="AN133" s="377"/>
      <c r="AO133" s="377"/>
      <c r="AP133" s="377"/>
      <c r="AQ133" s="377"/>
      <c r="AR133" s="377"/>
      <c r="AS133" s="377"/>
      <c r="AT133" s="377"/>
      <c r="AU133" s="377"/>
      <c r="AV133" s="377"/>
      <c r="AW133" s="377"/>
      <c r="AX133" s="377"/>
      <c r="AY133" s="377"/>
      <c r="AZ133" s="377"/>
    </row>
    <row r="134" spans="1:52" ht="14.25" customHeight="1" x14ac:dyDescent="0.35">
      <c r="B134" s="66" t="s">
        <v>99</v>
      </c>
      <c r="C134" s="67"/>
      <c r="D134" s="66"/>
      <c r="E134" s="67"/>
      <c r="F134" s="67"/>
      <c r="G134" s="67"/>
      <c r="H134" s="67"/>
      <c r="I134" s="67"/>
      <c r="J134" s="95"/>
      <c r="K134" s="96"/>
      <c r="L134" s="96"/>
      <c r="M134" s="96"/>
      <c r="N134" s="96"/>
      <c r="O134" s="96"/>
    </row>
    <row r="135" spans="1:52" ht="3.75" customHeight="1" x14ac:dyDescent="0.35">
      <c r="B135" s="68"/>
      <c r="C135" s="68"/>
      <c r="D135" s="68"/>
      <c r="E135" s="68"/>
      <c r="F135" s="68"/>
      <c r="G135" s="68"/>
      <c r="H135" s="68"/>
      <c r="I135" s="68"/>
      <c r="J135" s="97"/>
      <c r="K135" s="97"/>
      <c r="L135" s="97"/>
      <c r="M135" s="97"/>
      <c r="N135" s="97"/>
      <c r="O135" s="97"/>
    </row>
    <row r="136" spans="1:52" ht="14.25" customHeight="1" x14ac:dyDescent="0.3">
      <c r="D136" s="961" t="s">
        <v>305</v>
      </c>
      <c r="E136" s="961"/>
      <c r="F136" s="961"/>
      <c r="G136" s="961"/>
      <c r="H136" s="961"/>
      <c r="I136" s="961"/>
      <c r="J136" s="961"/>
      <c r="K136" s="961"/>
      <c r="L136" s="961"/>
      <c r="M136" s="961"/>
      <c r="N136" s="961"/>
      <c r="O136" s="961"/>
    </row>
    <row r="137" spans="1:52" ht="14.25" customHeight="1" x14ac:dyDescent="0.3">
      <c r="D137" s="961"/>
      <c r="E137" s="961"/>
      <c r="F137" s="961"/>
      <c r="G137" s="961"/>
      <c r="H137" s="961"/>
      <c r="I137" s="961"/>
      <c r="J137" s="961"/>
      <c r="K137" s="961"/>
      <c r="L137" s="961"/>
      <c r="M137" s="961"/>
      <c r="N137" s="961"/>
      <c r="O137" s="961"/>
    </row>
    <row r="138" spans="1:52" ht="14.25" customHeight="1" x14ac:dyDescent="0.3">
      <c r="D138" s="961"/>
      <c r="E138" s="961"/>
      <c r="F138" s="961"/>
      <c r="G138" s="961"/>
      <c r="H138" s="961"/>
      <c r="I138" s="961"/>
      <c r="J138" s="961"/>
      <c r="K138" s="961"/>
      <c r="L138" s="961"/>
      <c r="M138" s="961"/>
      <c r="N138" s="961"/>
      <c r="O138" s="961"/>
    </row>
    <row r="139" spans="1:52" ht="14.25" customHeight="1" x14ac:dyDescent="0.3">
      <c r="D139" s="961"/>
      <c r="E139" s="961"/>
      <c r="F139" s="961"/>
      <c r="G139" s="961"/>
      <c r="H139" s="961"/>
      <c r="I139" s="961"/>
      <c r="J139" s="961"/>
      <c r="K139" s="961"/>
      <c r="L139" s="961"/>
      <c r="M139" s="961"/>
      <c r="N139" s="961"/>
      <c r="O139" s="961"/>
    </row>
    <row r="140" spans="1:52" ht="14.25" customHeight="1" x14ac:dyDescent="0.3">
      <c r="D140" s="961"/>
      <c r="E140" s="961"/>
      <c r="F140" s="961"/>
      <c r="G140" s="961"/>
      <c r="H140" s="961"/>
      <c r="I140" s="961"/>
      <c r="J140" s="961"/>
      <c r="K140" s="961"/>
      <c r="L140" s="961"/>
      <c r="M140" s="961"/>
      <c r="N140" s="961"/>
      <c r="O140" s="961"/>
    </row>
    <row r="141" spans="1:52" ht="14.25" customHeight="1" x14ac:dyDescent="0.3">
      <c r="D141" s="961"/>
      <c r="E141" s="961"/>
      <c r="F141" s="961"/>
      <c r="G141" s="961"/>
      <c r="H141" s="961"/>
      <c r="I141" s="961"/>
      <c r="J141" s="961"/>
      <c r="K141" s="961"/>
      <c r="L141" s="961"/>
      <c r="M141" s="961"/>
      <c r="N141" s="961"/>
      <c r="O141" s="961"/>
    </row>
    <row r="142" spans="1:52" ht="14.25" customHeight="1" x14ac:dyDescent="0.35">
      <c r="B142" s="66" t="s">
        <v>116</v>
      </c>
      <c r="C142" s="67"/>
      <c r="D142" s="66"/>
      <c r="E142" s="67"/>
      <c r="F142" s="67"/>
      <c r="G142" s="67"/>
      <c r="H142" s="67"/>
      <c r="I142" s="67"/>
      <c r="J142" s="95"/>
      <c r="K142" s="96"/>
      <c r="L142" s="96"/>
      <c r="M142" s="96"/>
      <c r="N142" s="96"/>
      <c r="O142" s="96"/>
    </row>
    <row r="143" spans="1:52" ht="4.4000000000000004" customHeight="1" x14ac:dyDescent="0.3">
      <c r="B143" s="693"/>
      <c r="C143" s="693"/>
      <c r="D143" s="693"/>
      <c r="E143" s="693"/>
      <c r="F143" s="693"/>
      <c r="G143" s="693"/>
      <c r="H143" s="693"/>
      <c r="I143" s="693"/>
      <c r="J143" s="693"/>
      <c r="K143" s="693"/>
      <c r="L143" s="693"/>
      <c r="M143" s="693"/>
      <c r="N143" s="693"/>
      <c r="O143" s="693"/>
    </row>
  </sheetData>
  <mergeCells count="11">
    <mergeCell ref="D136:O141"/>
    <mergeCell ref="D21:F21"/>
    <mergeCell ref="J21:L21"/>
    <mergeCell ref="M21:O21"/>
    <mergeCell ref="D2:E2"/>
    <mergeCell ref="H3:I3"/>
    <mergeCell ref="J3:K3"/>
    <mergeCell ref="F3:G3"/>
    <mergeCell ref="N3:O3"/>
    <mergeCell ref="D3:E3"/>
    <mergeCell ref="L3:M3"/>
  </mergeCells>
  <conditionalFormatting sqref="D8:D17 D6">
    <cfRule type="colorScale" priority="25">
      <colorScale>
        <cfvo type="min"/>
        <cfvo type="percentile" val="50"/>
        <cfvo type="max"/>
        <color rgb="FFF8696B"/>
        <color rgb="FFFFEB84"/>
        <color rgb="FF63BE7B"/>
      </colorScale>
    </cfRule>
  </conditionalFormatting>
  <conditionalFormatting sqref="E8:E17 E6">
    <cfRule type="colorScale" priority="24">
      <colorScale>
        <cfvo type="min"/>
        <cfvo type="percentile" val="50"/>
        <cfvo type="max"/>
        <color rgb="FFF8696B"/>
        <color rgb="FFFFEB84"/>
        <color rgb="FF63BE7B"/>
      </colorScale>
    </cfRule>
  </conditionalFormatting>
  <conditionalFormatting sqref="F8:G17 F6:G6">
    <cfRule type="colorScale" priority="22">
      <colorScale>
        <cfvo type="min"/>
        <cfvo type="percentile" val="50"/>
        <cfvo type="max"/>
        <color rgb="FFF8696B"/>
        <color rgb="FFFFEB84"/>
        <color rgb="FF63BE7B"/>
      </colorScale>
    </cfRule>
  </conditionalFormatting>
  <conditionalFormatting sqref="H6:H12">
    <cfRule type="colorScale" priority="34">
      <colorScale>
        <cfvo type="min"/>
        <cfvo type="percentile" val="50"/>
        <cfvo type="max"/>
        <color rgb="FF63BE7B"/>
        <color rgb="FFFFEB84"/>
        <color rgb="FFF8696B"/>
      </colorScale>
    </cfRule>
    <cfRule type="colorScale" priority="28">
      <colorScale>
        <cfvo type="min"/>
        <cfvo type="percentile" val="50"/>
        <cfvo type="max"/>
        <color rgb="FF63BE7B"/>
        <color rgb="FFFFEB84"/>
        <color rgb="FFF8696B"/>
      </colorScale>
    </cfRule>
  </conditionalFormatting>
  <conditionalFormatting sqref="H8:H17 H6">
    <cfRule type="colorScale" priority="21">
      <colorScale>
        <cfvo type="min"/>
        <cfvo type="percentile" val="50"/>
        <cfvo type="max"/>
        <color rgb="FFF8696B"/>
        <color rgb="FFFFEB84"/>
        <color rgb="FF63BE7B"/>
      </colorScale>
    </cfRule>
  </conditionalFormatting>
  <conditionalFormatting sqref="H13:H17">
    <cfRule type="colorScale" priority="58">
      <colorScale>
        <cfvo type="min"/>
        <cfvo type="percentile" val="50"/>
        <cfvo type="max"/>
        <color rgb="FFF8696B"/>
        <color rgb="FFFFEB84"/>
        <color rgb="FF63BE7B"/>
      </colorScale>
    </cfRule>
  </conditionalFormatting>
  <conditionalFormatting sqref="I7">
    <cfRule type="colorScale" priority="20">
      <colorScale>
        <cfvo type="min"/>
        <cfvo type="percentile" val="50"/>
        <cfvo type="max"/>
        <color rgb="FF63BE7B"/>
        <color rgb="FFFFEB84"/>
        <color rgb="FFF8696B"/>
      </colorScale>
    </cfRule>
    <cfRule type="colorScale" priority="19">
      <colorScale>
        <cfvo type="min"/>
        <cfvo type="percentile" val="50"/>
        <cfvo type="max"/>
        <color rgb="FF63BE7B"/>
        <color rgb="FFFFEB84"/>
        <color rgb="FFF8696B"/>
      </colorScale>
    </cfRule>
  </conditionalFormatting>
  <conditionalFormatting sqref="I8:I17 I6">
    <cfRule type="colorScale" priority="18">
      <colorScale>
        <cfvo type="min"/>
        <cfvo type="percentile" val="50"/>
        <cfvo type="max"/>
        <color rgb="FFF8696B"/>
        <color rgb="FFFFEB84"/>
        <color rgb="FF63BE7B"/>
      </colorScale>
    </cfRule>
    <cfRule type="colorScale" priority="75">
      <colorScale>
        <cfvo type="min"/>
        <cfvo type="percentile" val="50"/>
        <cfvo type="max"/>
        <color rgb="FF63BE7B"/>
        <color rgb="FFFFEB84"/>
        <color rgb="FFF8696B"/>
      </colorScale>
    </cfRule>
    <cfRule type="colorScale" priority="76">
      <colorScale>
        <cfvo type="min"/>
        <cfvo type="percentile" val="50"/>
        <cfvo type="max"/>
        <color rgb="FF63BE7B"/>
        <color rgb="FFFFEB84"/>
        <color rgb="FFF8696B"/>
      </colorScale>
    </cfRule>
  </conditionalFormatting>
  <conditionalFormatting sqref="J6:J17">
    <cfRule type="colorScale" priority="26">
      <colorScale>
        <cfvo type="min"/>
        <cfvo type="percentile" val="50"/>
        <cfvo type="max"/>
        <color rgb="FF63BE7B"/>
        <color rgb="FFFFEB84"/>
        <color rgb="FFF8696B"/>
      </colorScale>
    </cfRule>
    <cfRule type="colorScale" priority="32">
      <colorScale>
        <cfvo type="min"/>
        <cfvo type="percentile" val="50"/>
        <cfvo type="max"/>
        <color rgb="FF63BE7B"/>
        <color rgb="FFFFEB84"/>
        <color rgb="FFF8696B"/>
      </colorScale>
    </cfRule>
  </conditionalFormatting>
  <conditionalFormatting sqref="J13:J17">
    <cfRule type="colorScale" priority="56">
      <colorScale>
        <cfvo type="min"/>
        <cfvo type="percentile" val="50"/>
        <cfvo type="max"/>
        <color rgb="FFF8696B"/>
        <color rgb="FFFFEB84"/>
        <color rgb="FF63BE7B"/>
      </colorScale>
    </cfRule>
  </conditionalFormatting>
  <conditionalFormatting sqref="J6:K6 J8:K17">
    <cfRule type="colorScale" priority="17">
      <colorScale>
        <cfvo type="min"/>
        <cfvo type="percentile" val="50"/>
        <cfvo type="max"/>
        <color rgb="FF63BE7B"/>
        <color rgb="FFFFEB84"/>
        <color rgb="FFF8696B"/>
      </colorScale>
    </cfRule>
  </conditionalFormatting>
  <conditionalFormatting sqref="K6:K17">
    <cfRule type="colorScale" priority="10">
      <colorScale>
        <cfvo type="min"/>
        <cfvo type="percentile" val="50"/>
        <cfvo type="max"/>
        <color rgb="FF63BE7B"/>
        <color rgb="FFFFEB84"/>
        <color rgb="FFF8696B"/>
      </colorScale>
    </cfRule>
    <cfRule type="colorScale" priority="11">
      <colorScale>
        <cfvo type="min"/>
        <cfvo type="percentile" val="50"/>
        <cfvo type="max"/>
        <color rgb="FF63BE7B"/>
        <color rgb="FFFFEB84"/>
        <color rgb="FFF8696B"/>
      </colorScale>
    </cfRule>
  </conditionalFormatting>
  <conditionalFormatting sqref="K8:K17 K6">
    <cfRule type="colorScale" priority="9">
      <colorScale>
        <cfvo type="min"/>
        <cfvo type="percentile" val="50"/>
        <cfvo type="max"/>
        <color rgb="FF63BE7B"/>
        <color rgb="FFFFEB84"/>
        <color rgb="FFF8696B"/>
      </colorScale>
    </cfRule>
  </conditionalFormatting>
  <conditionalFormatting sqref="K13:K17">
    <cfRule type="colorScale" priority="12">
      <colorScale>
        <cfvo type="min"/>
        <cfvo type="percentile" val="50"/>
        <cfvo type="max"/>
        <color rgb="FFF8696B"/>
        <color rgb="FFFFEB84"/>
        <color rgb="FF63BE7B"/>
      </colorScale>
    </cfRule>
  </conditionalFormatting>
  <conditionalFormatting sqref="L8:L17 L6">
    <cfRule type="colorScale" priority="8">
      <colorScale>
        <cfvo type="min"/>
        <cfvo type="percentile" val="50"/>
        <cfvo type="max"/>
        <color rgb="FF63BE7B"/>
        <color rgb="FFFFEB84"/>
        <color rgb="FFF8696B"/>
      </colorScale>
    </cfRule>
  </conditionalFormatting>
  <conditionalFormatting sqref="L13:L17">
    <cfRule type="colorScale" priority="74">
      <colorScale>
        <cfvo type="min"/>
        <cfvo type="percentile" val="50"/>
        <cfvo type="max"/>
        <color rgb="FFF8696B"/>
        <color rgb="FFFFEB84"/>
        <color rgb="FF63BE7B"/>
      </colorScale>
    </cfRule>
  </conditionalFormatting>
  <conditionalFormatting sqref="M8:M17 M6">
    <cfRule type="colorScale" priority="7">
      <colorScale>
        <cfvo type="min"/>
        <cfvo type="percentile" val="50"/>
        <cfvo type="max"/>
        <color rgb="FF63BE7B"/>
        <color rgb="FFFFEB84"/>
        <color rgb="FFF8696B"/>
      </colorScale>
    </cfRule>
  </conditionalFormatting>
  <conditionalFormatting sqref="M13:M17">
    <cfRule type="colorScale" priority="73">
      <colorScale>
        <cfvo type="min"/>
        <cfvo type="percentile" val="50"/>
        <cfvo type="max"/>
        <color rgb="FFF8696B"/>
        <color rgb="FFFFEB84"/>
        <color rgb="FF63BE7B"/>
      </colorScale>
    </cfRule>
  </conditionalFormatting>
  <conditionalFormatting sqref="M24:O27">
    <cfRule type="colorScale" priority="1">
      <colorScale>
        <cfvo type="min"/>
        <cfvo type="num" val="0"/>
        <cfvo type="max"/>
        <color rgb="FFF8696B"/>
        <color rgb="FFFCFCFF"/>
        <color rgb="FF63BE7B"/>
      </colorScale>
    </cfRule>
  </conditionalFormatting>
  <conditionalFormatting sqref="N8:N17 N6">
    <cfRule type="colorScale" priority="6">
      <colorScale>
        <cfvo type="min"/>
        <cfvo type="percentile" val="50"/>
        <cfvo type="max"/>
        <color rgb="FF63BE7B"/>
        <color rgb="FFFFEB84"/>
        <color rgb="FFF8696B"/>
      </colorScale>
    </cfRule>
  </conditionalFormatting>
  <conditionalFormatting sqref="O8:O17 O6">
    <cfRule type="colorScale" priority="5">
      <colorScale>
        <cfvo type="min"/>
        <cfvo type="percentile" val="50"/>
        <cfvo type="max"/>
        <color rgb="FF63BE7B"/>
        <color rgb="FFFFEB84"/>
        <color rgb="FFF8696B"/>
      </colorScale>
    </cfRule>
  </conditionalFormatting>
  <conditionalFormatting sqref="P13:P17">
    <cfRule type="colorScale" priority="51">
      <colorScale>
        <cfvo type="min"/>
        <cfvo type="percentile" val="50"/>
        <cfvo type="max"/>
        <color rgb="FF63BE7B"/>
        <color rgb="FFFFEB84"/>
        <color rgb="FFF8696B"/>
      </colorScale>
    </cfRule>
  </conditionalFormatting>
  <conditionalFormatting sqref="Q13:Q17">
    <cfRule type="colorScale" priority="50">
      <colorScale>
        <cfvo type="min"/>
        <cfvo type="percentile" val="50"/>
        <cfvo type="max"/>
        <color rgb="FF63BE7B"/>
        <color rgb="FFFFEB84"/>
        <color rgb="FFF8696B"/>
      </colorScale>
    </cfRule>
  </conditionalFormatting>
  <conditionalFormatting sqref="R13:R17">
    <cfRule type="colorScale" priority="49">
      <colorScale>
        <cfvo type="min"/>
        <cfvo type="percentile" val="50"/>
        <cfvo type="max"/>
        <color rgb="FFF8696B"/>
        <color rgb="FFFFEB84"/>
        <color rgb="FF63BE7B"/>
      </colorScale>
    </cfRule>
  </conditionalFormatting>
  <conditionalFormatting sqref="T13:T17">
    <cfRule type="colorScale" priority="48">
      <colorScale>
        <cfvo type="min"/>
        <cfvo type="percentile" val="50"/>
        <cfvo type="max"/>
        <color rgb="FFF8696B"/>
        <color rgb="FFFFEB84"/>
        <color rgb="FF63BE7B"/>
      </colorScale>
    </cfRule>
    <cfRule type="colorScale" priority="68">
      <colorScale>
        <cfvo type="min"/>
        <cfvo type="percentile" val="50"/>
        <cfvo type="max"/>
        <color rgb="FFF8696B"/>
        <color rgb="FFFFEB84"/>
        <color rgb="FF63BE7B"/>
      </colorScale>
    </cfRule>
  </conditionalFormatting>
  <conditionalFormatting sqref="U13:U17">
    <cfRule type="colorScale" priority="47">
      <colorScale>
        <cfvo type="min"/>
        <cfvo type="percentile" val="50"/>
        <cfvo type="max"/>
        <color rgb="FFF8696B"/>
        <color rgb="FFFFEB84"/>
        <color rgb="FF63BE7B"/>
      </colorScale>
    </cfRule>
    <cfRule type="colorScale" priority="67">
      <colorScale>
        <cfvo type="min"/>
        <cfvo type="percentile" val="50"/>
        <cfvo type="max"/>
        <color rgb="FFF8696B"/>
        <color rgb="FFFFEB84"/>
        <color rgb="FF63BE7B"/>
      </colorScale>
    </cfRule>
  </conditionalFormatting>
  <conditionalFormatting sqref="W13:W17">
    <cfRule type="colorScale" priority="46">
      <colorScale>
        <cfvo type="min"/>
        <cfvo type="percentile" val="50"/>
        <cfvo type="max"/>
        <color rgb="FFF8696B"/>
        <color rgb="FFFFEB84"/>
        <color rgb="FF63BE7B"/>
      </colorScale>
    </cfRule>
    <cfRule type="colorScale" priority="66">
      <colorScale>
        <cfvo type="min"/>
        <cfvo type="percentile" val="50"/>
        <cfvo type="max"/>
        <color rgb="FFF8696B"/>
        <color rgb="FFFFEB84"/>
        <color rgb="FF63BE7B"/>
      </colorScale>
    </cfRule>
  </conditionalFormatting>
  <conditionalFormatting sqref="X13:X17">
    <cfRule type="colorScale" priority="45">
      <colorScale>
        <cfvo type="min"/>
        <cfvo type="percentile" val="50"/>
        <cfvo type="max"/>
        <color rgb="FFF8696B"/>
        <color rgb="FFFFEB84"/>
        <color rgb="FF63BE7B"/>
      </colorScale>
    </cfRule>
    <cfRule type="colorScale" priority="65">
      <colorScale>
        <cfvo type="min"/>
        <cfvo type="percentile" val="50"/>
        <cfvo type="max"/>
        <color rgb="FFF8696B"/>
        <color rgb="FFFFEB84"/>
        <color rgb="FF63BE7B"/>
      </colorScale>
    </cfRule>
  </conditionalFormatting>
  <conditionalFormatting sqref="Y13:Y17">
    <cfRule type="colorScale" priority="64">
      <colorScale>
        <cfvo type="min"/>
        <cfvo type="percentile" val="50"/>
        <cfvo type="max"/>
        <color rgb="FF63BE7B"/>
        <color rgb="FFFFEB84"/>
        <color rgb="FFF8696B"/>
      </colorScale>
    </cfRule>
  </conditionalFormatting>
  <conditionalFormatting sqref="Z13:Z17">
    <cfRule type="colorScale" priority="63">
      <colorScale>
        <cfvo type="min"/>
        <cfvo type="percentile" val="50"/>
        <cfvo type="max"/>
        <color rgb="FFF8696B"/>
        <color rgb="FFFFEB84"/>
        <color rgb="FF63BE7B"/>
      </colorScale>
    </cfRule>
    <cfRule type="colorScale" priority="44">
      <colorScale>
        <cfvo type="min"/>
        <cfvo type="percentile" val="50"/>
        <cfvo type="max"/>
        <color rgb="FFF8696B"/>
        <color rgb="FFFFEB84"/>
        <color rgb="FF63BE7B"/>
      </colorScale>
    </cfRule>
  </conditionalFormatting>
  <conditionalFormatting sqref="AA13:AA17">
    <cfRule type="colorScale" priority="62">
      <colorScale>
        <cfvo type="min"/>
        <cfvo type="percentile" val="50"/>
        <cfvo type="max"/>
        <color rgb="FFF8696B"/>
        <color rgb="FFFFEB84"/>
        <color rgb="FF63BE7B"/>
      </colorScale>
    </cfRule>
    <cfRule type="colorScale" priority="43">
      <colorScale>
        <cfvo type="min"/>
        <cfvo type="percentile" val="50"/>
        <cfvo type="max"/>
        <color rgb="FFF8696B"/>
        <color rgb="FFFFEB84"/>
        <color rgb="FF63BE7B"/>
      </colorScale>
    </cfRule>
  </conditionalFormatting>
  <conditionalFormatting sqref="AB13:AB17">
    <cfRule type="colorScale" priority="42">
      <colorScale>
        <cfvo type="min"/>
        <cfvo type="percentile" val="50"/>
        <cfvo type="max"/>
        <color rgb="FF63BE7B"/>
        <color rgb="FFFFEB84"/>
        <color rgb="FFF8696B"/>
      </colorScale>
    </cfRule>
  </conditionalFormatting>
  <conditionalFormatting sqref="AD6:AD17">
    <cfRule type="colorScale" priority="61">
      <colorScale>
        <cfvo type="min"/>
        <cfvo type="percentile" val="50"/>
        <cfvo type="max"/>
        <color rgb="FF63BE7B"/>
        <color rgb="FFFFEB84"/>
        <color rgb="FFF8696B"/>
      </colorScale>
    </cfRule>
    <cfRule type="colorScale" priority="41">
      <colorScale>
        <cfvo type="min"/>
        <cfvo type="percentile" val="50"/>
        <cfvo type="max"/>
        <color rgb="FF63BE7B"/>
        <color rgb="FFFFEB84"/>
        <color rgb="FFF8696B"/>
      </colorScale>
    </cfRule>
  </conditionalFormatting>
  <conditionalFormatting sqref="AE6:AE17">
    <cfRule type="colorScale" priority="40">
      <colorScale>
        <cfvo type="min"/>
        <cfvo type="percentile" val="50"/>
        <cfvo type="max"/>
        <color rgb="FF63BE7B"/>
        <color rgb="FFFFEB84"/>
        <color rgb="FFF8696B"/>
      </colorScale>
    </cfRule>
    <cfRule type="colorScale" priority="72">
      <colorScale>
        <cfvo type="min"/>
        <cfvo type="percentile" val="50"/>
        <cfvo type="max"/>
        <color rgb="FF63BE7B"/>
        <color rgb="FFFFEB84"/>
        <color rgb="FFF8696B"/>
      </colorScale>
    </cfRule>
  </conditionalFormatting>
  <conditionalFormatting sqref="AF6:AF17">
    <cfRule type="colorScale" priority="39">
      <colorScale>
        <cfvo type="min"/>
        <cfvo type="percentile" val="50"/>
        <cfvo type="max"/>
        <color rgb="FF63BE7B"/>
        <color rgb="FFFFEB84"/>
        <color rgb="FFF8696B"/>
      </colorScale>
    </cfRule>
    <cfRule type="colorScale" priority="71">
      <colorScale>
        <cfvo type="min"/>
        <cfvo type="percentile" val="50"/>
        <cfvo type="max"/>
        <color rgb="FF63BE7B"/>
        <color rgb="FFFFEB84"/>
        <color rgb="FFF8696B"/>
      </colorScale>
    </cfRule>
  </conditionalFormatting>
  <conditionalFormatting sqref="AG6:AG17">
    <cfRule type="colorScale" priority="38">
      <colorScale>
        <cfvo type="min"/>
        <cfvo type="percentile" val="50"/>
        <cfvo type="max"/>
        <color rgb="FF63BE7B"/>
        <color rgb="FFFFEB84"/>
        <color rgb="FFF8696B"/>
      </colorScale>
    </cfRule>
    <cfRule type="colorScale" priority="70">
      <colorScale>
        <cfvo type="min"/>
        <cfvo type="percentile" val="50"/>
        <cfvo type="max"/>
        <color rgb="FF63BE7B"/>
        <color rgb="FFFFEB84"/>
        <color rgb="FFF8696B"/>
      </colorScale>
    </cfRule>
  </conditionalFormatting>
  <conditionalFormatting sqref="AH6:AH17">
    <cfRule type="colorScale" priority="37">
      <colorScale>
        <cfvo type="min"/>
        <cfvo type="percentile" val="50"/>
        <cfvo type="max"/>
        <color rgb="FF63BE7B"/>
        <color rgb="FFFFEB84"/>
        <color rgb="FFF8696B"/>
      </colorScale>
    </cfRule>
    <cfRule type="colorScale" priority="69">
      <colorScale>
        <cfvo type="min"/>
        <cfvo type="percentile" val="50"/>
        <cfvo type="max"/>
        <color rgb="FF63BE7B"/>
        <color rgb="FFFFEB84"/>
        <color rgb="FFF8696B"/>
      </colorScale>
    </cfRule>
  </conditionalFormatting>
  <conditionalFormatting sqref="AN6:AN17">
    <cfRule type="colorScale" priority="36">
      <colorScale>
        <cfvo type="min"/>
        <cfvo type="percentile" val="50"/>
        <cfvo type="max"/>
        <color rgb="FFF8696B"/>
        <color rgb="FFFFEB84"/>
        <color rgb="FF63BE7B"/>
      </colorScale>
    </cfRule>
  </conditionalFormatting>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B1:AD95"/>
  <sheetViews>
    <sheetView showGridLines="0" tabSelected="1" topLeftCell="A45" zoomScale="68" zoomScaleNormal="60" workbookViewId="0">
      <selection activeCell="B57" sqref="B57"/>
    </sheetView>
  </sheetViews>
  <sheetFormatPr defaultColWidth="7.58203125" defaultRowHeight="12.75" customHeight="1" x14ac:dyDescent="0.3"/>
  <cols>
    <col min="1" max="1" width="2" style="44" customWidth="1"/>
    <col min="2" max="2" width="26.08203125" style="44" customWidth="1"/>
    <col min="3" max="3" width="21.08203125" style="43" customWidth="1"/>
    <col min="4" max="4" width="4.08203125" style="44" customWidth="1"/>
    <col min="5" max="5" width="44.5" style="44" customWidth="1"/>
    <col min="6" max="6" width="3.08203125" style="44" customWidth="1"/>
    <col min="7" max="12" width="11.08203125" style="44" customWidth="1"/>
    <col min="13" max="13" width="4.08203125" style="44" customWidth="1"/>
    <col min="14" max="21" width="11.08203125" style="44" customWidth="1"/>
    <col min="22" max="22" width="12.5" style="44" customWidth="1"/>
    <col min="23" max="23" width="9.58203125" style="44" customWidth="1"/>
    <col min="24" max="24" width="14" style="44" customWidth="1"/>
    <col min="25" max="25" width="11.08203125" style="44" customWidth="1"/>
    <col min="26" max="26" width="14.08203125" style="44" customWidth="1"/>
    <col min="27" max="27" width="8" style="44" customWidth="1"/>
    <col min="28" max="28" width="8.58203125" style="44" bestFit="1" customWidth="1"/>
    <col min="29" max="29" width="6.08203125" style="44" customWidth="1"/>
    <col min="30" max="30" width="7.08203125" style="44" customWidth="1"/>
    <col min="31" max="31" width="8.58203125" style="44" customWidth="1"/>
    <col min="32" max="32" width="8.5" style="44" customWidth="1"/>
    <col min="33" max="33" width="9.58203125" style="44" customWidth="1"/>
    <col min="34" max="34" width="8.58203125" style="44" customWidth="1"/>
    <col min="35" max="35" width="7.58203125" style="44" customWidth="1"/>
    <col min="36" max="37" width="7.08203125" style="44" customWidth="1"/>
    <col min="38" max="38" width="8.08203125" style="44" customWidth="1"/>
    <col min="39" max="39" width="7.58203125" style="44" customWidth="1"/>
    <col min="40" max="16384" width="7.58203125" style="44"/>
  </cols>
  <sheetData>
    <row r="1" spans="2:30" customFormat="1" ht="14" x14ac:dyDescent="0.3">
      <c r="Q1" s="6"/>
    </row>
    <row r="2" spans="2:30" s="41" customFormat="1" ht="20.149999999999999" customHeight="1" x14ac:dyDescent="0.4">
      <c r="B2" s="40" t="s">
        <v>306</v>
      </c>
      <c r="Q2" s="42"/>
    </row>
    <row r="3" spans="2:30" customFormat="1" ht="14" x14ac:dyDescent="0.3">
      <c r="Q3" s="6"/>
      <c r="Z3" s="44"/>
      <c r="AA3" s="44"/>
      <c r="AB3" s="44"/>
      <c r="AC3" s="44"/>
      <c r="AD3" s="44"/>
    </row>
    <row r="4" spans="2:30" ht="14.5" thickBot="1" x14ac:dyDescent="0.35">
      <c r="B4" s="1" t="s">
        <v>307</v>
      </c>
      <c r="E4" s="1" t="s">
        <v>308</v>
      </c>
      <c r="F4" s="1"/>
      <c r="G4" s="1"/>
      <c r="H4" s="1"/>
      <c r="I4" s="1"/>
      <c r="J4" s="1"/>
      <c r="N4" s="1" t="s">
        <v>309</v>
      </c>
      <c r="O4" s="1"/>
      <c r="P4" s="1"/>
      <c r="Q4" s="1"/>
      <c r="R4" s="1"/>
      <c r="S4" s="1"/>
    </row>
    <row r="5" spans="2:30" ht="14.5" thickTop="1" x14ac:dyDescent="0.3">
      <c r="B5" s="45"/>
      <c r="C5" s="46"/>
      <c r="E5" s="47"/>
      <c r="F5" s="47"/>
      <c r="G5" s="791"/>
      <c r="H5" s="791"/>
      <c r="I5" s="791"/>
      <c r="J5" s="791"/>
      <c r="K5" s="791"/>
      <c r="L5" s="791"/>
      <c r="N5" s="970" t="s">
        <v>310</v>
      </c>
      <c r="O5" s="970"/>
      <c r="P5" s="970"/>
      <c r="Q5" s="970"/>
      <c r="R5" s="970"/>
      <c r="S5" s="970"/>
      <c r="T5" s="970"/>
      <c r="U5" s="970"/>
    </row>
    <row r="6" spans="2:30" ht="14.5" thickBot="1" x14ac:dyDescent="0.35">
      <c r="B6" s="1" t="s">
        <v>311</v>
      </c>
      <c r="C6" s="44"/>
      <c r="D6" s="44" t="s">
        <v>312</v>
      </c>
      <c r="E6" s="44" t="s">
        <v>313</v>
      </c>
      <c r="G6" s="789"/>
      <c r="H6" s="789"/>
      <c r="I6" s="789"/>
      <c r="J6" s="789"/>
      <c r="K6" s="789"/>
      <c r="L6" s="789"/>
      <c r="N6" s="971"/>
      <c r="O6" s="971"/>
      <c r="P6" s="971"/>
      <c r="Q6" s="971"/>
      <c r="R6" s="971"/>
      <c r="S6" s="971"/>
      <c r="T6" s="971"/>
      <c r="U6" s="971"/>
    </row>
    <row r="7" spans="2:30" ht="14.5" thickTop="1" x14ac:dyDescent="0.3">
      <c r="B7" s="45" t="s">
        <v>314</v>
      </c>
      <c r="C7" s="48"/>
      <c r="D7" s="44" t="s">
        <v>312</v>
      </c>
      <c r="E7" s="44" t="s">
        <v>315</v>
      </c>
      <c r="G7" s="789"/>
      <c r="H7" s="789"/>
      <c r="I7" s="789"/>
      <c r="J7" s="789"/>
      <c r="K7" s="789"/>
      <c r="L7" s="789"/>
      <c r="N7" s="971"/>
      <c r="O7" s="971"/>
      <c r="P7" s="971"/>
      <c r="Q7" s="971"/>
      <c r="R7" s="971"/>
      <c r="S7" s="971"/>
      <c r="T7" s="971"/>
      <c r="U7" s="971"/>
    </row>
    <row r="8" spans="2:30" ht="14" x14ac:dyDescent="0.3">
      <c r="B8" s="25" t="s">
        <v>316</v>
      </c>
      <c r="C8" s="39"/>
      <c r="E8" s="44" t="s">
        <v>317</v>
      </c>
      <c r="G8" s="789"/>
      <c r="H8" s="789"/>
      <c r="I8" s="789"/>
      <c r="J8" s="789"/>
      <c r="K8" s="789"/>
      <c r="L8" s="789"/>
      <c r="N8" s="971"/>
      <c r="O8" s="971"/>
      <c r="P8" s="971"/>
      <c r="Q8" s="971"/>
      <c r="R8" s="971"/>
      <c r="S8" s="971"/>
      <c r="T8" s="971"/>
      <c r="U8" s="971"/>
    </row>
    <row r="9" spans="2:30" ht="15" customHeight="1" x14ac:dyDescent="0.3">
      <c r="B9" s="25" t="s">
        <v>318</v>
      </c>
      <c r="C9" s="26"/>
      <c r="G9" s="969"/>
      <c r="H9" s="969"/>
      <c r="I9" s="969"/>
      <c r="J9" s="969"/>
      <c r="K9" s="969"/>
      <c r="L9" s="969"/>
      <c r="N9" s="971"/>
      <c r="O9" s="971"/>
      <c r="P9" s="971"/>
      <c r="Q9" s="971"/>
      <c r="R9" s="971"/>
      <c r="S9" s="971"/>
      <c r="T9" s="971"/>
      <c r="U9" s="971"/>
    </row>
    <row r="10" spans="2:30" ht="14.15" customHeight="1" x14ac:dyDescent="0.3">
      <c r="B10" s="25" t="s">
        <v>319</v>
      </c>
      <c r="C10" s="26"/>
      <c r="G10" s="969"/>
      <c r="H10" s="969"/>
      <c r="I10" s="969"/>
      <c r="J10" s="969"/>
      <c r="K10" s="969"/>
      <c r="L10" s="969"/>
      <c r="N10" s="971"/>
      <c r="O10" s="971"/>
      <c r="P10" s="971"/>
      <c r="Q10" s="971"/>
      <c r="R10" s="971"/>
      <c r="S10" s="971"/>
      <c r="T10" s="971"/>
      <c r="U10" s="971"/>
    </row>
    <row r="11" spans="2:30" ht="15" customHeight="1" x14ac:dyDescent="0.3">
      <c r="B11" s="23" t="s">
        <v>320</v>
      </c>
      <c r="C11" s="786"/>
      <c r="G11" s="969"/>
      <c r="H11" s="969"/>
      <c r="I11" s="969"/>
      <c r="J11" s="969"/>
      <c r="K11" s="969"/>
      <c r="L11" s="969"/>
      <c r="N11" s="971"/>
      <c r="O11" s="971"/>
      <c r="P11" s="971"/>
      <c r="Q11" s="971"/>
      <c r="R11" s="971"/>
      <c r="S11" s="971"/>
      <c r="T11" s="971"/>
      <c r="U11" s="971"/>
    </row>
    <row r="12" spans="2:30" ht="14.15" customHeight="1" x14ac:dyDescent="0.3">
      <c r="B12" s="25"/>
      <c r="G12" s="969"/>
      <c r="H12" s="969"/>
      <c r="I12" s="969"/>
      <c r="J12" s="969"/>
      <c r="K12" s="969"/>
      <c r="L12" s="969"/>
      <c r="N12" s="971"/>
      <c r="O12" s="971"/>
      <c r="P12" s="971"/>
      <c r="Q12" s="971"/>
      <c r="R12" s="971"/>
      <c r="S12" s="971"/>
      <c r="T12" s="971"/>
      <c r="U12" s="971"/>
    </row>
    <row r="13" spans="2:30" ht="14" x14ac:dyDescent="0.3">
      <c r="B13" s="1" t="s">
        <v>321</v>
      </c>
      <c r="C13" s="44"/>
      <c r="E13" s="23"/>
      <c r="G13" s="969"/>
      <c r="H13" s="969"/>
      <c r="I13" s="969"/>
      <c r="J13" s="969"/>
      <c r="K13" s="969"/>
      <c r="L13" s="969"/>
      <c r="N13" s="971"/>
      <c r="O13" s="971"/>
      <c r="P13" s="971"/>
      <c r="Q13" s="971"/>
      <c r="R13" s="971"/>
      <c r="S13" s="971"/>
      <c r="T13" s="971"/>
      <c r="U13" s="971"/>
    </row>
    <row r="14" spans="2:30" ht="14" x14ac:dyDescent="0.3">
      <c r="B14" s="47" t="s">
        <v>85</v>
      </c>
      <c r="C14" s="773"/>
      <c r="G14" s="969"/>
      <c r="H14" s="969"/>
      <c r="I14" s="969"/>
      <c r="J14" s="969"/>
      <c r="K14" s="969"/>
      <c r="L14" s="969"/>
      <c r="N14" s="971"/>
      <c r="O14" s="971"/>
      <c r="P14" s="971"/>
      <c r="Q14" s="971"/>
      <c r="R14" s="971"/>
      <c r="S14" s="971"/>
      <c r="T14" s="971"/>
      <c r="U14" s="971"/>
    </row>
    <row r="15" spans="2:30" ht="14" x14ac:dyDescent="0.3">
      <c r="B15" s="25" t="s">
        <v>86</v>
      </c>
      <c r="C15" s="774"/>
    </row>
    <row r="16" spans="2:30" ht="14" x14ac:dyDescent="0.3">
      <c r="B16" s="25" t="s">
        <v>87</v>
      </c>
      <c r="C16" s="774"/>
      <c r="E16" s="1" t="s">
        <v>322</v>
      </c>
      <c r="F16" s="1"/>
      <c r="G16" s="1"/>
      <c r="H16" s="1"/>
      <c r="I16" s="1"/>
      <c r="J16" s="1"/>
      <c r="N16" s="1" t="s">
        <v>323</v>
      </c>
      <c r="O16" s="1"/>
      <c r="P16" s="1"/>
      <c r="Q16" s="1"/>
      <c r="R16" s="1"/>
      <c r="S16" s="1"/>
    </row>
    <row r="17" spans="2:22" ht="14" x14ac:dyDescent="0.3">
      <c r="B17" s="25" t="s">
        <v>88</v>
      </c>
      <c r="C17" s="774"/>
      <c r="E17" s="47"/>
      <c r="F17" s="47"/>
      <c r="G17" s="968"/>
      <c r="H17" s="968"/>
      <c r="I17" s="968"/>
      <c r="J17" s="968"/>
      <c r="K17" s="968"/>
      <c r="L17" s="968"/>
      <c r="N17" s="47"/>
      <c r="O17" s="47"/>
      <c r="P17" s="47"/>
      <c r="Q17" s="47"/>
      <c r="R17" s="47"/>
      <c r="S17" s="47"/>
      <c r="T17" s="47"/>
      <c r="U17" s="47"/>
      <c r="V17" s="47"/>
    </row>
    <row r="18" spans="2:22" ht="14" x14ac:dyDescent="0.3">
      <c r="B18" s="23" t="s">
        <v>89</v>
      </c>
      <c r="C18" s="775"/>
      <c r="G18" s="969"/>
      <c r="H18" s="969"/>
      <c r="I18" s="969"/>
      <c r="J18" s="969"/>
      <c r="K18" s="969"/>
      <c r="L18" s="969"/>
      <c r="O18" s="623"/>
      <c r="P18" s="623"/>
      <c r="Q18" s="623"/>
      <c r="R18" s="623"/>
      <c r="S18" s="623"/>
      <c r="T18" s="623"/>
      <c r="U18" s="623"/>
      <c r="V18" s="623"/>
    </row>
    <row r="19" spans="2:22" ht="14" x14ac:dyDescent="0.3">
      <c r="B19" s="25" t="s">
        <v>90</v>
      </c>
      <c r="C19" s="776"/>
      <c r="E19" s="23"/>
      <c r="G19" s="969"/>
      <c r="H19" s="969"/>
      <c r="I19" s="969"/>
      <c r="J19" s="969"/>
      <c r="K19" s="969"/>
      <c r="L19" s="969"/>
      <c r="N19" s="23"/>
      <c r="P19" s="623"/>
      <c r="Q19" s="623"/>
      <c r="R19" s="623"/>
      <c r="S19" s="623"/>
      <c r="T19" s="623"/>
      <c r="U19" s="623"/>
      <c r="V19" s="623"/>
    </row>
    <row r="20" spans="2:22" ht="14" x14ac:dyDescent="0.3">
      <c r="B20" s="25" t="s">
        <v>91</v>
      </c>
      <c r="C20" s="776"/>
      <c r="G20" s="969"/>
      <c r="H20" s="969"/>
      <c r="I20" s="969"/>
      <c r="J20" s="969"/>
      <c r="K20" s="969"/>
      <c r="L20" s="969"/>
      <c r="P20" s="623"/>
      <c r="Q20" s="623"/>
      <c r="R20" s="623"/>
      <c r="S20" s="623"/>
      <c r="T20" s="623"/>
      <c r="U20" s="623"/>
    </row>
    <row r="21" spans="2:22" ht="14" x14ac:dyDescent="0.3">
      <c r="B21" s="25" t="s">
        <v>92</v>
      </c>
      <c r="C21" s="776"/>
      <c r="E21" s="23"/>
      <c r="G21" s="969"/>
      <c r="H21" s="969"/>
      <c r="I21" s="969"/>
      <c r="J21" s="969"/>
      <c r="K21" s="969"/>
      <c r="L21" s="969"/>
      <c r="N21" s="23"/>
      <c r="P21" s="969"/>
      <c r="Q21" s="969"/>
      <c r="R21" s="969"/>
      <c r="S21" s="969"/>
      <c r="T21" s="969"/>
      <c r="U21" s="969"/>
    </row>
    <row r="22" spans="2:22" ht="14" x14ac:dyDescent="0.3">
      <c r="B22" s="23" t="s">
        <v>93</v>
      </c>
      <c r="C22" s="777"/>
      <c r="G22" s="969"/>
      <c r="H22" s="969"/>
      <c r="I22" s="969"/>
      <c r="J22" s="969"/>
      <c r="K22" s="969"/>
      <c r="L22" s="969"/>
      <c r="P22" s="969"/>
      <c r="Q22" s="969"/>
      <c r="R22" s="969"/>
      <c r="S22" s="969"/>
      <c r="T22" s="969"/>
      <c r="U22" s="969"/>
    </row>
    <row r="23" spans="2:22" ht="14" x14ac:dyDescent="0.3">
      <c r="B23" s="23" t="s">
        <v>94</v>
      </c>
      <c r="C23" s="778"/>
      <c r="E23" s="23"/>
      <c r="G23" s="969"/>
      <c r="H23" s="969"/>
      <c r="I23" s="969"/>
      <c r="J23" s="969"/>
      <c r="K23" s="969"/>
      <c r="L23" s="969"/>
      <c r="N23" s="23"/>
      <c r="P23" s="969"/>
      <c r="Q23" s="969"/>
      <c r="R23" s="969"/>
      <c r="S23" s="969"/>
      <c r="T23" s="969"/>
      <c r="U23" s="969"/>
    </row>
    <row r="24" spans="2:22" ht="14" x14ac:dyDescent="0.3">
      <c r="B24" s="25" t="s">
        <v>95</v>
      </c>
      <c r="C24" s="776"/>
    </row>
    <row r="25" spans="2:22" ht="14" x14ac:dyDescent="0.3">
      <c r="B25" s="25" t="s">
        <v>96</v>
      </c>
      <c r="C25" s="779"/>
    </row>
    <row r="26" spans="2:22" ht="14" x14ac:dyDescent="0.3">
      <c r="B26" s="23" t="s">
        <v>97</v>
      </c>
      <c r="C26" s="780"/>
    </row>
    <row r="29" spans="2:22" ht="14.5" thickBot="1" x14ac:dyDescent="0.35">
      <c r="B29" s="1" t="s">
        <v>324</v>
      </c>
    </row>
    <row r="30" spans="2:22" ht="14.9" customHeight="1" x14ac:dyDescent="0.3">
      <c r="B30" s="972"/>
      <c r="C30" s="972"/>
    </row>
    <row r="31" spans="2:22" ht="12.5" x14ac:dyDescent="0.3">
      <c r="B31" s="957"/>
      <c r="C31" s="957"/>
    </row>
    <row r="32" spans="2:22" ht="12.5" x14ac:dyDescent="0.3">
      <c r="B32" s="957"/>
      <c r="C32" s="957"/>
    </row>
    <row r="33" spans="2:22" ht="15.5" x14ac:dyDescent="0.35">
      <c r="B33" s="957"/>
      <c r="C33" s="957"/>
      <c r="E33" s="49" t="s">
        <v>325</v>
      </c>
      <c r="F33" s="49"/>
      <c r="G33" s="49"/>
      <c r="H33" s="49"/>
      <c r="I33" s="49"/>
      <c r="J33" s="49"/>
      <c r="K33" s="49"/>
      <c r="L33" s="49"/>
      <c r="M33" s="49"/>
      <c r="N33" s="49"/>
      <c r="O33" s="49"/>
      <c r="P33" s="49"/>
      <c r="Q33" s="49"/>
      <c r="R33" s="49"/>
      <c r="S33" s="49"/>
      <c r="T33" s="49"/>
      <c r="U33" s="49"/>
      <c r="V33" s="49"/>
    </row>
    <row r="34" spans="2:22" customFormat="1" ht="4.4000000000000004" customHeight="1" x14ac:dyDescent="0.35">
      <c r="B34" s="957"/>
      <c r="C34" s="957"/>
      <c r="D34" s="44"/>
      <c r="E34" s="50"/>
      <c r="F34" s="50"/>
      <c r="G34" s="50"/>
      <c r="H34" s="50"/>
      <c r="I34" s="50"/>
      <c r="J34" s="50"/>
      <c r="K34" s="50"/>
      <c r="L34" s="50"/>
      <c r="M34" s="50"/>
      <c r="N34" s="50"/>
      <c r="O34" s="50"/>
      <c r="P34" s="50"/>
      <c r="Q34" s="50"/>
      <c r="R34" s="50"/>
      <c r="S34" s="50"/>
      <c r="T34" s="50"/>
      <c r="U34" s="50"/>
      <c r="V34" s="50"/>
    </row>
    <row r="35" spans="2:22" ht="13" x14ac:dyDescent="0.3">
      <c r="B35" s="957"/>
      <c r="C35" s="957"/>
      <c r="E35" s="51"/>
      <c r="F35" s="51"/>
      <c r="G35" s="52" t="s">
        <v>311</v>
      </c>
      <c r="H35" s="52" t="s">
        <v>326</v>
      </c>
      <c r="I35" s="52"/>
      <c r="J35" s="52"/>
      <c r="K35" s="52" t="s">
        <v>327</v>
      </c>
      <c r="L35" s="52"/>
      <c r="M35" s="52"/>
      <c r="N35" s="52"/>
      <c r="O35" s="52" t="s">
        <v>328</v>
      </c>
      <c r="P35" s="51"/>
      <c r="Q35" s="51"/>
      <c r="R35" s="51"/>
      <c r="S35" s="51"/>
      <c r="T35" s="51"/>
      <c r="U35" s="51"/>
      <c r="V35" s="51"/>
    </row>
    <row r="36" spans="2:22" ht="20.25" customHeight="1" x14ac:dyDescent="0.3">
      <c r="B36" s="957"/>
      <c r="C36" s="957"/>
      <c r="E36" s="23" t="s">
        <v>329</v>
      </c>
      <c r="G36" s="973"/>
      <c r="H36" s="974"/>
      <c r="I36" s="974"/>
      <c r="J36" s="974"/>
      <c r="K36" s="974"/>
      <c r="L36" s="974"/>
      <c r="M36" s="974"/>
      <c r="N36" s="974"/>
      <c r="O36" s="973"/>
      <c r="P36" s="973"/>
      <c r="Q36" s="973"/>
      <c r="R36" s="973"/>
      <c r="S36" s="973"/>
      <c r="T36" s="973"/>
      <c r="U36" s="973"/>
      <c r="V36" s="973"/>
    </row>
    <row r="37" spans="2:22" ht="20.25" customHeight="1" x14ac:dyDescent="0.3">
      <c r="B37" s="957"/>
      <c r="C37" s="957"/>
      <c r="G37" s="973"/>
      <c r="H37" s="974"/>
      <c r="I37" s="974"/>
      <c r="J37" s="974"/>
      <c r="K37" s="974"/>
      <c r="L37" s="974"/>
      <c r="M37" s="974"/>
      <c r="N37" s="974"/>
      <c r="O37" s="973"/>
      <c r="P37" s="973"/>
      <c r="Q37" s="973"/>
      <c r="R37" s="973"/>
      <c r="S37" s="973"/>
      <c r="T37" s="973"/>
      <c r="U37" s="973"/>
      <c r="V37" s="973"/>
    </row>
    <row r="38" spans="2:22" ht="22.5" customHeight="1" x14ac:dyDescent="0.3">
      <c r="B38" s="957"/>
      <c r="C38" s="957"/>
      <c r="E38" s="23" t="s">
        <v>330</v>
      </c>
      <c r="G38" s="973"/>
      <c r="H38" s="974"/>
      <c r="I38" s="974"/>
      <c r="J38" s="974"/>
      <c r="K38" s="974"/>
      <c r="L38" s="974"/>
      <c r="M38" s="974"/>
      <c r="N38" s="974"/>
      <c r="O38" s="973"/>
      <c r="P38" s="973"/>
      <c r="Q38" s="973"/>
      <c r="R38" s="973"/>
      <c r="S38" s="973"/>
      <c r="T38" s="973"/>
      <c r="U38" s="973"/>
      <c r="V38" s="973"/>
    </row>
    <row r="39" spans="2:22" ht="19.5" customHeight="1" x14ac:dyDescent="0.3">
      <c r="B39" s="957"/>
      <c r="C39" s="957"/>
      <c r="G39" s="973"/>
      <c r="H39" s="974"/>
      <c r="I39" s="974"/>
      <c r="J39" s="974"/>
      <c r="K39" s="974"/>
      <c r="L39" s="974"/>
      <c r="M39" s="974"/>
      <c r="N39" s="974"/>
      <c r="O39" s="973"/>
      <c r="P39" s="973"/>
      <c r="Q39" s="973"/>
      <c r="R39" s="973"/>
      <c r="S39" s="973"/>
      <c r="T39" s="973"/>
      <c r="U39" s="973"/>
      <c r="V39" s="973"/>
    </row>
    <row r="40" spans="2:22" ht="14" x14ac:dyDescent="0.3">
      <c r="B40" s="957"/>
      <c r="C40" s="957"/>
      <c r="E40" s="23" t="s">
        <v>331</v>
      </c>
      <c r="G40" s="973"/>
      <c r="H40" s="974"/>
      <c r="I40" s="974"/>
      <c r="J40" s="974"/>
      <c r="K40" s="974"/>
      <c r="L40" s="974"/>
      <c r="M40" s="974"/>
      <c r="N40" s="974"/>
      <c r="O40" s="973"/>
      <c r="P40" s="973"/>
      <c r="Q40" s="973"/>
      <c r="R40" s="973"/>
      <c r="S40" s="973"/>
      <c r="T40" s="973"/>
      <c r="U40" s="973"/>
      <c r="V40" s="973"/>
    </row>
    <row r="41" spans="2:22" ht="12.5" x14ac:dyDescent="0.3">
      <c r="B41" s="957"/>
      <c r="C41" s="957"/>
      <c r="G41" s="973"/>
      <c r="H41" s="974"/>
      <c r="I41" s="974"/>
      <c r="J41" s="974"/>
      <c r="K41" s="974"/>
      <c r="L41" s="974"/>
      <c r="M41" s="974"/>
      <c r="N41" s="974"/>
      <c r="O41" s="973"/>
      <c r="P41" s="973"/>
      <c r="Q41" s="973"/>
      <c r="R41" s="973"/>
      <c r="S41" s="973"/>
      <c r="T41" s="973"/>
      <c r="U41" s="973"/>
      <c r="V41" s="973"/>
    </row>
    <row r="42" spans="2:22" ht="14" x14ac:dyDescent="0.3">
      <c r="B42" s="957"/>
      <c r="C42" s="957"/>
      <c r="E42" s="23" t="s">
        <v>332</v>
      </c>
      <c r="G42" s="973"/>
      <c r="H42" s="974"/>
      <c r="I42" s="974"/>
      <c r="J42" s="974"/>
      <c r="K42" s="974"/>
      <c r="L42" s="974"/>
      <c r="M42" s="974"/>
      <c r="N42" s="974"/>
      <c r="O42" s="973"/>
      <c r="P42" s="973"/>
      <c r="Q42" s="973"/>
      <c r="R42" s="973"/>
      <c r="S42" s="973"/>
      <c r="T42" s="973"/>
      <c r="U42" s="973"/>
      <c r="V42" s="973"/>
    </row>
    <row r="43" spans="2:22" ht="12.5" x14ac:dyDescent="0.3">
      <c r="B43" s="957"/>
      <c r="C43" s="957"/>
      <c r="G43" s="973"/>
      <c r="H43" s="974"/>
      <c r="I43" s="974"/>
      <c r="J43" s="974"/>
      <c r="K43" s="974"/>
      <c r="L43" s="974"/>
      <c r="M43" s="974"/>
      <c r="N43" s="974"/>
      <c r="O43" s="973"/>
      <c r="P43" s="973"/>
      <c r="Q43" s="973"/>
      <c r="R43" s="973"/>
      <c r="S43" s="973"/>
      <c r="T43" s="973"/>
      <c r="U43" s="973"/>
      <c r="V43" s="973"/>
    </row>
    <row r="44" spans="2:22" ht="14" x14ac:dyDescent="0.3">
      <c r="B44" s="957"/>
      <c r="C44" s="957"/>
      <c r="E44" s="23" t="s">
        <v>109</v>
      </c>
      <c r="G44" s="973"/>
      <c r="H44" s="974"/>
      <c r="I44" s="974"/>
      <c r="J44" s="974"/>
      <c r="K44" s="974"/>
      <c r="L44" s="974"/>
      <c r="M44" s="974"/>
      <c r="N44" s="974"/>
      <c r="O44" s="974"/>
      <c r="P44" s="974"/>
      <c r="Q44" s="974"/>
      <c r="R44" s="974"/>
      <c r="S44" s="974"/>
      <c r="T44" s="974"/>
      <c r="U44" s="974"/>
      <c r="V44" s="974"/>
    </row>
    <row r="45" spans="2:22" ht="12.5" x14ac:dyDescent="0.3">
      <c r="B45" s="957"/>
      <c r="C45" s="957"/>
      <c r="G45" s="973"/>
      <c r="H45" s="974"/>
      <c r="I45" s="974"/>
      <c r="J45" s="974"/>
      <c r="K45" s="974"/>
      <c r="L45" s="974"/>
      <c r="M45" s="974"/>
      <c r="N45" s="974"/>
      <c r="O45" s="974"/>
      <c r="P45" s="974"/>
      <c r="Q45" s="974"/>
      <c r="R45" s="974"/>
      <c r="S45" s="974"/>
      <c r="T45" s="974"/>
      <c r="U45" s="974"/>
      <c r="V45" s="974"/>
    </row>
    <row r="46" spans="2:22" ht="15.5" x14ac:dyDescent="0.35">
      <c r="E46" s="49" t="s">
        <v>333</v>
      </c>
      <c r="F46" s="49"/>
      <c r="G46" s="49"/>
      <c r="H46" s="49"/>
      <c r="I46" s="49"/>
      <c r="J46" s="49"/>
      <c r="K46" s="49"/>
      <c r="L46" s="49"/>
      <c r="M46" s="49"/>
      <c r="N46" s="49"/>
      <c r="O46" s="49"/>
      <c r="P46" s="49"/>
      <c r="Q46" s="49"/>
      <c r="R46" s="49"/>
      <c r="S46" s="49"/>
      <c r="T46" s="49"/>
      <c r="U46" s="49"/>
      <c r="V46" s="49"/>
    </row>
    <row r="47" spans="2:22" customFormat="1" ht="4.4000000000000004" customHeight="1" x14ac:dyDescent="0.35">
      <c r="B47" s="44"/>
      <c r="C47" s="43"/>
      <c r="D47" s="44"/>
      <c r="E47" s="50"/>
      <c r="F47" s="50"/>
      <c r="G47" s="50"/>
      <c r="H47" s="50"/>
      <c r="I47" s="50"/>
      <c r="J47" s="50"/>
      <c r="K47" s="50"/>
      <c r="L47" s="50"/>
      <c r="M47" s="50"/>
      <c r="N47" s="50"/>
      <c r="O47" s="50"/>
      <c r="P47" s="50"/>
      <c r="Q47" s="50"/>
      <c r="R47" s="50"/>
      <c r="S47" s="50"/>
      <c r="T47" s="50"/>
      <c r="U47" s="50"/>
      <c r="V47" s="50"/>
    </row>
    <row r="48" spans="2:22" ht="14.5" thickBot="1" x14ac:dyDescent="0.35">
      <c r="B48" s="1" t="s">
        <v>334</v>
      </c>
      <c r="C48" s="44"/>
      <c r="E48" s="51"/>
      <c r="F48" s="51"/>
      <c r="G48" s="52" t="s">
        <v>311</v>
      </c>
      <c r="H48" s="52" t="s">
        <v>326</v>
      </c>
      <c r="I48" s="52"/>
      <c r="J48" s="52"/>
      <c r="K48" s="52" t="s">
        <v>327</v>
      </c>
      <c r="L48" s="52"/>
      <c r="M48" s="52"/>
      <c r="N48" s="52"/>
      <c r="O48" s="52" t="s">
        <v>328</v>
      </c>
      <c r="P48" s="51"/>
      <c r="Q48" s="51"/>
      <c r="R48" s="51"/>
      <c r="S48" s="51"/>
      <c r="T48" s="51"/>
      <c r="U48" s="51"/>
      <c r="V48" s="51"/>
    </row>
    <row r="49" spans="2:22" ht="14" x14ac:dyDescent="0.3">
      <c r="B49" s="45" t="s">
        <v>335</v>
      </c>
      <c r="C49" s="46"/>
      <c r="E49" s="23" t="s">
        <v>336</v>
      </c>
      <c r="G49" s="976"/>
      <c r="H49" s="978" t="s">
        <v>337</v>
      </c>
      <c r="I49" s="978"/>
      <c r="J49" s="978"/>
      <c r="K49" s="978" t="s">
        <v>338</v>
      </c>
      <c r="L49" s="978"/>
      <c r="M49" s="978"/>
      <c r="N49" s="978"/>
      <c r="O49" s="978" t="s">
        <v>339</v>
      </c>
      <c r="P49" s="978"/>
      <c r="Q49" s="978"/>
      <c r="R49" s="978"/>
      <c r="S49" s="978"/>
      <c r="T49" s="978"/>
      <c r="U49" s="978"/>
      <c r="V49" s="978"/>
    </row>
    <row r="50" spans="2:22" ht="18" customHeight="1" x14ac:dyDescent="0.3">
      <c r="B50" s="25" t="s">
        <v>340</v>
      </c>
      <c r="C50" s="58"/>
      <c r="D50" s="44" t="s">
        <v>312</v>
      </c>
      <c r="G50" s="977"/>
      <c r="H50" s="974"/>
      <c r="I50" s="974"/>
      <c r="J50" s="974"/>
      <c r="K50" s="974"/>
      <c r="L50" s="974"/>
      <c r="M50" s="974"/>
      <c r="N50" s="974"/>
      <c r="O50" s="974"/>
      <c r="P50" s="974"/>
      <c r="Q50" s="974"/>
      <c r="R50" s="974"/>
      <c r="S50" s="974"/>
      <c r="T50" s="974"/>
      <c r="U50" s="974"/>
      <c r="V50" s="974"/>
    </row>
    <row r="51" spans="2:22" ht="14" x14ac:dyDescent="0.3">
      <c r="B51" s="25" t="s">
        <v>341</v>
      </c>
      <c r="C51" s="58"/>
      <c r="D51" s="44" t="s">
        <v>312</v>
      </c>
      <c r="E51" s="23" t="s">
        <v>342</v>
      </c>
      <c r="G51" s="975"/>
      <c r="H51" s="974" t="s">
        <v>343</v>
      </c>
      <c r="I51" s="974"/>
      <c r="J51" s="974"/>
      <c r="K51" s="974" t="s">
        <v>344</v>
      </c>
      <c r="L51" s="974"/>
      <c r="M51" s="974"/>
      <c r="N51" s="974"/>
      <c r="O51" s="974" t="s">
        <v>345</v>
      </c>
      <c r="P51" s="974"/>
      <c r="Q51" s="974"/>
      <c r="R51" s="974"/>
      <c r="S51" s="974"/>
      <c r="T51" s="974"/>
      <c r="U51" s="974"/>
      <c r="V51" s="974"/>
    </row>
    <row r="52" spans="2:22" ht="28.5" customHeight="1" x14ac:dyDescent="0.3">
      <c r="B52" t="s">
        <v>346</v>
      </c>
      <c r="G52" s="975"/>
      <c r="H52" s="974"/>
      <c r="I52" s="974"/>
      <c r="J52" s="974"/>
      <c r="K52" s="974"/>
      <c r="L52" s="974"/>
      <c r="M52" s="974"/>
      <c r="N52" s="974"/>
      <c r="O52" s="974"/>
      <c r="P52" s="974"/>
      <c r="Q52" s="974"/>
      <c r="R52" s="974"/>
      <c r="S52" s="974"/>
      <c r="T52" s="974"/>
      <c r="U52" s="974"/>
      <c r="V52" s="974"/>
    </row>
    <row r="53" spans="2:22" ht="14" x14ac:dyDescent="0.3">
      <c r="B53" s="44" t="s">
        <v>347</v>
      </c>
      <c r="E53" s="23" t="s">
        <v>348</v>
      </c>
      <c r="G53" s="975"/>
      <c r="H53" s="974" t="s">
        <v>349</v>
      </c>
      <c r="I53" s="974"/>
      <c r="J53" s="974"/>
      <c r="K53" s="974" t="s">
        <v>350</v>
      </c>
      <c r="L53" s="974"/>
      <c r="M53" s="974"/>
      <c r="N53" s="974"/>
      <c r="O53" s="974" t="s">
        <v>351</v>
      </c>
      <c r="P53" s="974"/>
      <c r="Q53" s="974"/>
      <c r="R53" s="974"/>
      <c r="S53" s="974"/>
      <c r="T53" s="974"/>
      <c r="U53" s="974"/>
      <c r="V53" s="974"/>
    </row>
    <row r="54" spans="2:22" ht="32.15" customHeight="1" x14ac:dyDescent="0.3">
      <c r="B54" s="44" t="s">
        <v>352</v>
      </c>
      <c r="G54" s="975"/>
      <c r="H54" s="974"/>
      <c r="I54" s="974"/>
      <c r="J54" s="974"/>
      <c r="K54" s="974"/>
      <c r="L54" s="974"/>
      <c r="M54" s="974"/>
      <c r="N54" s="974"/>
      <c r="O54" s="974"/>
      <c r="P54" s="974"/>
      <c r="Q54" s="974"/>
      <c r="R54" s="974"/>
      <c r="S54" s="974"/>
      <c r="T54" s="974"/>
      <c r="U54" s="974"/>
      <c r="V54" s="974"/>
    </row>
    <row r="55" spans="2:22" ht="14" x14ac:dyDescent="0.3">
      <c r="B55" s="44" t="s">
        <v>353</v>
      </c>
      <c r="E55" s="23" t="s">
        <v>354</v>
      </c>
      <c r="G55" s="977"/>
      <c r="H55" s="974" t="s">
        <v>355</v>
      </c>
      <c r="I55" s="974"/>
      <c r="J55" s="974"/>
      <c r="K55" s="974" t="s">
        <v>356</v>
      </c>
      <c r="L55" s="974"/>
      <c r="M55" s="974"/>
      <c r="N55" s="974"/>
      <c r="O55" s="974" t="s">
        <v>357</v>
      </c>
      <c r="P55" s="974"/>
      <c r="Q55" s="974"/>
      <c r="R55" s="974"/>
      <c r="S55" s="974"/>
      <c r="T55" s="974"/>
      <c r="U55" s="974"/>
      <c r="V55" s="974"/>
    </row>
    <row r="56" spans="2:22" ht="24.65" customHeight="1" x14ac:dyDescent="0.4">
      <c r="B56" s="860" t="s">
        <v>358</v>
      </c>
      <c r="G56" s="977"/>
      <c r="H56" s="974"/>
      <c r="I56" s="974"/>
      <c r="J56" s="974"/>
      <c r="K56" s="974"/>
      <c r="L56" s="974"/>
      <c r="M56" s="974"/>
      <c r="N56" s="974"/>
      <c r="O56" s="974"/>
      <c r="P56" s="974"/>
      <c r="Q56" s="974"/>
      <c r="R56" s="974"/>
      <c r="S56" s="974"/>
      <c r="T56" s="974"/>
      <c r="U56" s="974"/>
      <c r="V56" s="974"/>
    </row>
    <row r="57" spans="2:22" ht="32.25" customHeight="1" x14ac:dyDescent="0.3">
      <c r="E57" s="23" t="s">
        <v>359</v>
      </c>
      <c r="G57" s="975"/>
      <c r="H57" s="974" t="s">
        <v>360</v>
      </c>
      <c r="I57" s="974"/>
      <c r="J57" s="974"/>
      <c r="K57" s="974" t="s">
        <v>361</v>
      </c>
      <c r="L57" s="974"/>
      <c r="M57" s="974"/>
      <c r="N57" s="974"/>
      <c r="O57" s="974" t="s">
        <v>362</v>
      </c>
      <c r="P57" s="974"/>
      <c r="Q57" s="974"/>
      <c r="R57" s="974"/>
      <c r="S57" s="974"/>
      <c r="T57" s="974"/>
      <c r="U57" s="974"/>
      <c r="V57" s="974"/>
    </row>
    <row r="58" spans="2:22" ht="13" x14ac:dyDescent="0.3">
      <c r="G58" s="975"/>
      <c r="H58" s="974"/>
      <c r="I58" s="974"/>
      <c r="J58" s="974"/>
      <c r="K58" s="974"/>
      <c r="L58" s="974"/>
      <c r="M58" s="974"/>
      <c r="N58" s="974"/>
      <c r="O58" s="974"/>
      <c r="P58" s="974"/>
      <c r="Q58" s="974"/>
      <c r="R58" s="974"/>
      <c r="S58" s="974"/>
      <c r="T58" s="974"/>
      <c r="U58" s="974"/>
      <c r="V58" s="974"/>
    </row>
    <row r="59" spans="2:22" ht="20.25" customHeight="1" x14ac:dyDescent="0.3">
      <c r="E59" s="23" t="s">
        <v>363</v>
      </c>
      <c r="G59" s="979"/>
      <c r="H59" s="974" t="s">
        <v>364</v>
      </c>
      <c r="I59" s="974"/>
      <c r="J59" s="974"/>
      <c r="K59" s="974" t="s">
        <v>365</v>
      </c>
      <c r="L59" s="974"/>
      <c r="M59" s="974"/>
      <c r="N59" s="974"/>
      <c r="O59" s="974" t="s">
        <v>366</v>
      </c>
      <c r="P59" s="974"/>
      <c r="Q59" s="974"/>
      <c r="R59" s="974"/>
      <c r="S59" s="974"/>
      <c r="T59" s="974"/>
      <c r="U59" s="974"/>
      <c r="V59" s="974"/>
    </row>
    <row r="60" spans="2:22" ht="46.4" customHeight="1" x14ac:dyDescent="0.3">
      <c r="G60" s="979"/>
      <c r="H60" s="974"/>
      <c r="I60" s="974"/>
      <c r="J60" s="974"/>
      <c r="K60" s="974"/>
      <c r="L60" s="974"/>
      <c r="M60" s="974"/>
      <c r="N60" s="974"/>
      <c r="O60" s="974"/>
      <c r="P60" s="974"/>
      <c r="Q60" s="974"/>
      <c r="R60" s="974"/>
      <c r="S60" s="974"/>
      <c r="T60" s="974"/>
      <c r="U60" s="974"/>
      <c r="V60" s="974"/>
    </row>
    <row r="61" spans="2:22" ht="15" customHeight="1" x14ac:dyDescent="0.3">
      <c r="E61" s="23" t="s">
        <v>367</v>
      </c>
      <c r="G61" s="980"/>
      <c r="H61" s="974" t="s">
        <v>368</v>
      </c>
      <c r="I61" s="974"/>
      <c r="J61" s="974"/>
      <c r="K61" s="974" t="s">
        <v>369</v>
      </c>
      <c r="L61" s="974"/>
      <c r="M61" s="974"/>
      <c r="N61" s="974"/>
      <c r="O61" s="974" t="s">
        <v>370</v>
      </c>
      <c r="P61" s="974"/>
      <c r="Q61" s="974"/>
      <c r="R61" s="974"/>
      <c r="S61" s="974"/>
      <c r="T61" s="974"/>
      <c r="U61" s="974"/>
      <c r="V61" s="974"/>
    </row>
    <row r="62" spans="2:22" ht="40.4" customHeight="1" x14ac:dyDescent="0.3">
      <c r="G62" s="980"/>
      <c r="H62" s="974"/>
      <c r="I62" s="974"/>
      <c r="J62" s="974"/>
      <c r="K62" s="974"/>
      <c r="L62" s="974"/>
      <c r="M62" s="974"/>
      <c r="N62" s="974"/>
      <c r="O62" s="974"/>
      <c r="P62" s="974"/>
      <c r="Q62" s="974"/>
      <c r="R62" s="974"/>
      <c r="S62" s="974"/>
      <c r="T62" s="974"/>
      <c r="U62" s="974"/>
      <c r="V62" s="974"/>
    </row>
    <row r="63" spans="2:22" ht="27.75" customHeight="1" x14ac:dyDescent="0.3">
      <c r="E63" s="23" t="s">
        <v>371</v>
      </c>
      <c r="G63" s="979"/>
      <c r="H63" s="974" t="s">
        <v>372</v>
      </c>
      <c r="I63" s="974"/>
      <c r="J63" s="974"/>
      <c r="K63" s="974" t="s">
        <v>373</v>
      </c>
      <c r="L63" s="974"/>
      <c r="M63" s="974"/>
      <c r="N63" s="974"/>
      <c r="O63" s="974" t="s">
        <v>374</v>
      </c>
      <c r="P63" s="974"/>
      <c r="Q63" s="974"/>
      <c r="R63" s="974"/>
      <c r="S63" s="974"/>
      <c r="T63" s="974"/>
      <c r="U63" s="974"/>
      <c r="V63" s="974"/>
    </row>
    <row r="64" spans="2:22" ht="27.75" customHeight="1" x14ac:dyDescent="0.3">
      <c r="G64" s="979"/>
      <c r="H64" s="974"/>
      <c r="I64" s="974"/>
      <c r="J64" s="974"/>
      <c r="K64" s="974"/>
      <c r="L64" s="974"/>
      <c r="M64" s="974"/>
      <c r="N64" s="974"/>
      <c r="O64" s="974"/>
      <c r="P64" s="974"/>
      <c r="Q64" s="974"/>
      <c r="R64" s="974"/>
      <c r="S64" s="974"/>
      <c r="T64" s="974"/>
      <c r="U64" s="974"/>
      <c r="V64" s="974"/>
    </row>
    <row r="65" spans="2:22" ht="24" customHeight="1" x14ac:dyDescent="0.3">
      <c r="E65" s="23" t="s">
        <v>375</v>
      </c>
      <c r="G65" s="975"/>
      <c r="H65" s="974" t="s">
        <v>376</v>
      </c>
      <c r="I65" s="974"/>
      <c r="J65" s="974"/>
      <c r="K65" s="974" t="s">
        <v>377</v>
      </c>
      <c r="L65" s="974"/>
      <c r="M65" s="974"/>
      <c r="N65" s="974"/>
      <c r="O65" s="974" t="s">
        <v>378</v>
      </c>
      <c r="P65" s="974"/>
      <c r="Q65" s="974"/>
      <c r="R65" s="974"/>
      <c r="S65" s="974"/>
      <c r="T65" s="974"/>
      <c r="U65" s="974"/>
      <c r="V65" s="974"/>
    </row>
    <row r="66" spans="2:22" ht="40.5" customHeight="1" x14ac:dyDescent="0.3">
      <c r="G66" s="975"/>
      <c r="H66" s="974"/>
      <c r="I66" s="974"/>
      <c r="J66" s="974"/>
      <c r="K66" s="974"/>
      <c r="L66" s="974"/>
      <c r="M66" s="974"/>
      <c r="N66" s="974"/>
      <c r="O66" s="974"/>
      <c r="P66" s="974"/>
      <c r="Q66" s="974"/>
      <c r="R66" s="974"/>
      <c r="S66" s="974"/>
      <c r="T66" s="974"/>
      <c r="U66" s="974"/>
      <c r="V66" s="974"/>
    </row>
    <row r="67" spans="2:22" ht="14" x14ac:dyDescent="0.3">
      <c r="E67" s="23" t="s">
        <v>379</v>
      </c>
      <c r="G67" s="979"/>
      <c r="H67" s="974" t="s">
        <v>380</v>
      </c>
      <c r="I67" s="974"/>
      <c r="J67" s="974"/>
      <c r="K67" s="974" t="s">
        <v>381</v>
      </c>
      <c r="L67" s="974"/>
      <c r="M67" s="974"/>
      <c r="N67" s="974"/>
      <c r="O67" s="974" t="s">
        <v>108</v>
      </c>
      <c r="P67" s="974"/>
      <c r="Q67" s="974"/>
      <c r="R67" s="974"/>
      <c r="S67" s="974"/>
      <c r="T67" s="974"/>
      <c r="U67" s="974"/>
      <c r="V67" s="974"/>
    </row>
    <row r="68" spans="2:22" ht="49.5" customHeight="1" x14ac:dyDescent="0.3">
      <c r="E68" s="23"/>
      <c r="G68" s="979"/>
      <c r="H68" s="974"/>
      <c r="I68" s="974"/>
      <c r="J68" s="974"/>
      <c r="K68" s="974"/>
      <c r="L68" s="974"/>
      <c r="M68" s="974"/>
      <c r="N68" s="974"/>
      <c r="O68" s="974"/>
      <c r="P68" s="974"/>
      <c r="Q68" s="974"/>
      <c r="R68" s="974"/>
      <c r="S68" s="974"/>
      <c r="T68" s="974"/>
      <c r="U68" s="974"/>
      <c r="V68" s="974"/>
    </row>
    <row r="69" spans="2:22" ht="33" customHeight="1" x14ac:dyDescent="0.3">
      <c r="E69" s="23" t="s">
        <v>382</v>
      </c>
      <c r="G69" s="975"/>
      <c r="H69" s="974" t="s">
        <v>383</v>
      </c>
      <c r="I69" s="974"/>
      <c r="J69" s="974"/>
      <c r="K69" s="974" t="s">
        <v>384</v>
      </c>
      <c r="L69" s="974"/>
      <c r="M69" s="974"/>
      <c r="N69" s="974"/>
      <c r="O69" s="974" t="s">
        <v>108</v>
      </c>
      <c r="P69" s="974"/>
      <c r="Q69" s="974"/>
      <c r="R69" s="974"/>
      <c r="S69" s="974"/>
      <c r="T69" s="974"/>
      <c r="U69" s="974"/>
      <c r="V69" s="974"/>
    </row>
    <row r="70" spans="2:22" ht="29.9" customHeight="1" x14ac:dyDescent="0.3">
      <c r="G70" s="975"/>
      <c r="H70" s="974"/>
      <c r="I70" s="974"/>
      <c r="J70" s="974"/>
      <c r="K70" s="974"/>
      <c r="L70" s="974"/>
      <c r="M70" s="974"/>
      <c r="N70" s="974"/>
      <c r="O70" s="974"/>
      <c r="P70" s="974"/>
      <c r="Q70" s="974"/>
      <c r="R70" s="974"/>
      <c r="S70" s="974"/>
      <c r="T70" s="974"/>
      <c r="U70" s="974"/>
      <c r="V70" s="974"/>
    </row>
    <row r="71" spans="2:22" ht="15.5" x14ac:dyDescent="0.35">
      <c r="E71" s="49" t="s">
        <v>385</v>
      </c>
      <c r="F71" s="49"/>
      <c r="G71" s="49"/>
      <c r="H71" s="49"/>
      <c r="I71" s="49"/>
      <c r="J71" s="49"/>
      <c r="K71" s="49"/>
      <c r="L71" s="49"/>
      <c r="M71" s="49"/>
      <c r="N71" s="49"/>
      <c r="O71" s="49"/>
      <c r="P71" s="49"/>
      <c r="Q71" s="49"/>
      <c r="R71" s="49"/>
      <c r="S71" s="49"/>
      <c r="T71" s="49"/>
      <c r="U71" s="49"/>
      <c r="V71" s="49"/>
    </row>
    <row r="72" spans="2:22" customFormat="1" ht="4.4000000000000004" customHeight="1" x14ac:dyDescent="0.35">
      <c r="B72" s="44"/>
      <c r="C72" s="43"/>
      <c r="D72" s="44"/>
      <c r="E72" s="50"/>
      <c r="F72" s="50"/>
      <c r="G72" s="50"/>
      <c r="H72" s="50"/>
      <c r="I72" s="50"/>
      <c r="J72" s="50"/>
      <c r="K72" s="50"/>
      <c r="L72" s="50"/>
      <c r="M72" s="50"/>
      <c r="N72" s="50"/>
      <c r="O72" s="50"/>
      <c r="P72" s="50"/>
      <c r="Q72" s="50"/>
      <c r="R72" s="50"/>
      <c r="S72" s="50"/>
      <c r="T72" s="50"/>
      <c r="U72" s="50"/>
      <c r="V72" s="50"/>
    </row>
    <row r="73" spans="2:22" ht="13.5" thickBot="1" x14ac:dyDescent="0.35">
      <c r="E73" s="51"/>
      <c r="F73" s="51"/>
      <c r="G73" s="52" t="s">
        <v>311</v>
      </c>
      <c r="H73" s="52" t="s">
        <v>326</v>
      </c>
      <c r="I73" s="52"/>
      <c r="J73" s="52"/>
      <c r="K73" s="52" t="s">
        <v>327</v>
      </c>
      <c r="L73" s="52"/>
      <c r="M73" s="52"/>
      <c r="N73" s="52"/>
      <c r="O73" s="52" t="s">
        <v>328</v>
      </c>
      <c r="P73" s="51"/>
      <c r="Q73" s="51"/>
      <c r="R73" s="51"/>
      <c r="S73" s="51"/>
      <c r="T73" s="51"/>
      <c r="U73" s="51"/>
      <c r="V73" s="51"/>
    </row>
    <row r="74" spans="2:22" ht="25.5" customHeight="1" x14ac:dyDescent="0.3">
      <c r="E74" s="23" t="s">
        <v>386</v>
      </c>
      <c r="G74" s="976"/>
      <c r="H74" s="978" t="s">
        <v>387</v>
      </c>
      <c r="I74" s="978"/>
      <c r="J74" s="978"/>
      <c r="K74" s="978" t="s">
        <v>388</v>
      </c>
      <c r="L74" s="978"/>
      <c r="M74" s="978"/>
      <c r="N74" s="978"/>
      <c r="O74" s="978" t="s">
        <v>389</v>
      </c>
      <c r="P74" s="978"/>
      <c r="Q74" s="978"/>
      <c r="R74" s="978"/>
      <c r="S74" s="978"/>
      <c r="T74" s="978"/>
      <c r="U74" s="978"/>
      <c r="V74" s="978"/>
    </row>
    <row r="75" spans="2:22" ht="25.5" customHeight="1" x14ac:dyDescent="0.3">
      <c r="G75" s="977"/>
      <c r="H75" s="974"/>
      <c r="I75" s="974"/>
      <c r="J75" s="974"/>
      <c r="K75" s="974"/>
      <c r="L75" s="974"/>
      <c r="M75" s="974"/>
      <c r="N75" s="974"/>
      <c r="O75" s="974"/>
      <c r="P75" s="974"/>
      <c r="Q75" s="974"/>
      <c r="R75" s="974"/>
      <c r="S75" s="974"/>
      <c r="T75" s="974"/>
      <c r="U75" s="974"/>
      <c r="V75" s="974"/>
    </row>
    <row r="76" spans="2:22" ht="14.15" customHeight="1" x14ac:dyDescent="0.3">
      <c r="E76" s="23" t="s">
        <v>390</v>
      </c>
      <c r="G76" s="975"/>
      <c r="H76" s="974" t="s">
        <v>391</v>
      </c>
      <c r="I76" s="974"/>
      <c r="J76" s="974"/>
      <c r="K76" s="974" t="s">
        <v>392</v>
      </c>
      <c r="L76" s="974"/>
      <c r="M76" s="974"/>
      <c r="N76" s="974"/>
      <c r="O76" s="974" t="s">
        <v>393</v>
      </c>
      <c r="P76" s="974"/>
      <c r="Q76" s="974"/>
      <c r="R76" s="974"/>
      <c r="S76" s="974"/>
      <c r="T76" s="974"/>
      <c r="U76" s="974"/>
      <c r="V76" s="974"/>
    </row>
    <row r="77" spans="2:22" ht="24.65" customHeight="1" x14ac:dyDescent="0.3">
      <c r="G77" s="975"/>
      <c r="H77" s="974"/>
      <c r="I77" s="974"/>
      <c r="J77" s="974"/>
      <c r="K77" s="974"/>
      <c r="L77" s="974"/>
      <c r="M77" s="974"/>
      <c r="N77" s="974"/>
      <c r="O77" s="974"/>
      <c r="P77" s="974"/>
      <c r="Q77" s="974"/>
      <c r="R77" s="974"/>
      <c r="S77" s="974"/>
      <c r="T77" s="974"/>
      <c r="U77" s="974"/>
      <c r="V77" s="974"/>
    </row>
    <row r="78" spans="2:22" ht="14.15" customHeight="1" x14ac:dyDescent="0.3">
      <c r="E78" s="23" t="s">
        <v>394</v>
      </c>
      <c r="G78" s="977"/>
      <c r="H78" s="974" t="s">
        <v>395</v>
      </c>
      <c r="I78" s="974"/>
      <c r="J78" s="974"/>
      <c r="K78" s="974" t="s">
        <v>396</v>
      </c>
      <c r="L78" s="974"/>
      <c r="M78" s="974"/>
      <c r="N78" s="974"/>
      <c r="O78" s="974" t="s">
        <v>397</v>
      </c>
      <c r="P78" s="974"/>
      <c r="Q78" s="974"/>
      <c r="R78" s="974"/>
      <c r="S78" s="974"/>
      <c r="T78" s="974"/>
      <c r="U78" s="974"/>
      <c r="V78" s="974"/>
    </row>
    <row r="79" spans="2:22" ht="48.65" customHeight="1" x14ac:dyDescent="0.3">
      <c r="G79" s="977"/>
      <c r="H79" s="974"/>
      <c r="I79" s="974"/>
      <c r="J79" s="974"/>
      <c r="K79" s="974"/>
      <c r="L79" s="974"/>
      <c r="M79" s="974"/>
      <c r="N79" s="974"/>
      <c r="O79" s="974"/>
      <c r="P79" s="974"/>
      <c r="Q79" s="974"/>
      <c r="R79" s="974"/>
      <c r="S79" s="974"/>
      <c r="T79" s="974"/>
      <c r="U79" s="974"/>
      <c r="V79" s="974"/>
    </row>
    <row r="80" spans="2:22" ht="14.15" customHeight="1" x14ac:dyDescent="0.3">
      <c r="E80" s="23" t="s">
        <v>398</v>
      </c>
      <c r="G80" s="979"/>
      <c r="H80" s="974" t="s">
        <v>399</v>
      </c>
      <c r="I80" s="974"/>
      <c r="J80" s="974"/>
      <c r="K80" s="974" t="s">
        <v>400</v>
      </c>
      <c r="L80" s="974"/>
      <c r="M80" s="974"/>
      <c r="N80" s="974"/>
      <c r="O80" s="974" t="s">
        <v>401</v>
      </c>
      <c r="P80" s="974"/>
      <c r="Q80" s="974"/>
      <c r="R80" s="974"/>
      <c r="S80" s="974"/>
      <c r="T80" s="974"/>
      <c r="U80" s="974"/>
      <c r="V80" s="974"/>
    </row>
    <row r="81" spans="5:22" ht="55.5" customHeight="1" x14ac:dyDescent="0.3">
      <c r="G81" s="979"/>
      <c r="H81" s="974"/>
      <c r="I81" s="974"/>
      <c r="J81" s="974"/>
      <c r="K81" s="974"/>
      <c r="L81" s="974"/>
      <c r="M81" s="974"/>
      <c r="N81" s="974"/>
      <c r="O81" s="974"/>
      <c r="P81" s="974"/>
      <c r="Q81" s="974"/>
      <c r="R81" s="974"/>
      <c r="S81" s="974"/>
      <c r="T81" s="974"/>
      <c r="U81" s="974"/>
      <c r="V81" s="974"/>
    </row>
    <row r="82" spans="5:22" ht="14" x14ac:dyDescent="0.3">
      <c r="E82" s="23" t="s">
        <v>402</v>
      </c>
      <c r="G82" s="981"/>
      <c r="H82" s="974" t="s">
        <v>403</v>
      </c>
      <c r="I82" s="974"/>
      <c r="J82" s="974"/>
      <c r="K82" s="974" t="s">
        <v>404</v>
      </c>
      <c r="L82" s="974"/>
      <c r="M82" s="974"/>
      <c r="N82" s="974"/>
      <c r="O82" s="974" t="s">
        <v>405</v>
      </c>
      <c r="P82" s="974"/>
      <c r="Q82" s="974"/>
      <c r="R82" s="974"/>
      <c r="S82" s="974"/>
      <c r="T82" s="974"/>
      <c r="U82" s="974"/>
      <c r="V82" s="974"/>
    </row>
    <row r="83" spans="5:22" ht="39.65" customHeight="1" x14ac:dyDescent="0.3">
      <c r="G83" s="981"/>
      <c r="H83" s="974"/>
      <c r="I83" s="974"/>
      <c r="J83" s="974"/>
      <c r="K83" s="974"/>
      <c r="L83" s="974"/>
      <c r="M83" s="974"/>
      <c r="N83" s="974"/>
      <c r="O83" s="974"/>
      <c r="P83" s="974"/>
      <c r="Q83" s="974"/>
      <c r="R83" s="974"/>
      <c r="S83" s="974"/>
      <c r="T83" s="974"/>
      <c r="U83" s="974"/>
      <c r="V83" s="974"/>
    </row>
    <row r="84" spans="5:22" ht="14.15" customHeight="1" x14ac:dyDescent="0.3">
      <c r="E84" s="23" t="s">
        <v>406</v>
      </c>
      <c r="G84" s="980"/>
      <c r="H84" s="974" t="s">
        <v>407</v>
      </c>
      <c r="I84" s="974"/>
      <c r="J84" s="974"/>
      <c r="K84" s="974" t="s">
        <v>408</v>
      </c>
      <c r="L84" s="974"/>
      <c r="M84" s="974"/>
      <c r="N84" s="974"/>
      <c r="O84" s="974" t="s">
        <v>409</v>
      </c>
      <c r="P84" s="974"/>
      <c r="Q84" s="974"/>
      <c r="R84" s="974"/>
      <c r="S84" s="974"/>
      <c r="T84" s="974"/>
      <c r="U84" s="974"/>
      <c r="V84" s="974"/>
    </row>
    <row r="85" spans="5:22" ht="43.4" customHeight="1" x14ac:dyDescent="0.3">
      <c r="G85" s="980"/>
      <c r="H85" s="974"/>
      <c r="I85" s="974"/>
      <c r="J85" s="974"/>
      <c r="K85" s="974"/>
      <c r="L85" s="974"/>
      <c r="M85" s="974"/>
      <c r="N85" s="974"/>
      <c r="O85" s="974"/>
      <c r="P85" s="974"/>
      <c r="Q85" s="974"/>
      <c r="R85" s="974"/>
      <c r="S85" s="974"/>
      <c r="T85" s="974"/>
      <c r="U85" s="974"/>
      <c r="V85" s="974"/>
    </row>
    <row r="86" spans="5:22" ht="14.15" customHeight="1" x14ac:dyDescent="0.3">
      <c r="E86" s="23" t="s">
        <v>410</v>
      </c>
      <c r="G86" s="975"/>
      <c r="H86" s="974" t="s">
        <v>411</v>
      </c>
      <c r="I86" s="974"/>
      <c r="J86" s="974"/>
      <c r="K86" s="974" t="s">
        <v>412</v>
      </c>
      <c r="L86" s="974"/>
      <c r="M86" s="974"/>
      <c r="N86" s="974"/>
      <c r="O86" s="974" t="s">
        <v>413</v>
      </c>
      <c r="P86" s="974"/>
      <c r="Q86" s="974"/>
      <c r="R86" s="974"/>
      <c r="S86" s="974"/>
      <c r="T86" s="974"/>
      <c r="U86" s="974"/>
      <c r="V86" s="974"/>
    </row>
    <row r="87" spans="5:22" ht="53.9" customHeight="1" x14ac:dyDescent="0.3">
      <c r="G87" s="975"/>
      <c r="H87" s="974"/>
      <c r="I87" s="974"/>
      <c r="J87" s="974"/>
      <c r="K87" s="974"/>
      <c r="L87" s="974"/>
      <c r="M87" s="974"/>
      <c r="N87" s="974"/>
      <c r="O87" s="974"/>
      <c r="P87" s="974"/>
      <c r="Q87" s="974"/>
      <c r="R87" s="974"/>
      <c r="S87" s="974"/>
      <c r="T87" s="974"/>
      <c r="U87" s="974"/>
      <c r="V87" s="974"/>
    </row>
    <row r="88" spans="5:22" ht="14.15" customHeight="1" x14ac:dyDescent="0.3">
      <c r="E88" s="23" t="s">
        <v>414</v>
      </c>
      <c r="G88" s="980"/>
      <c r="H88" s="974" t="s">
        <v>415</v>
      </c>
      <c r="I88" s="974"/>
      <c r="J88" s="974"/>
      <c r="K88" s="974" t="s">
        <v>416</v>
      </c>
      <c r="L88" s="974"/>
      <c r="M88" s="974"/>
      <c r="N88" s="974"/>
      <c r="O88" s="974" t="s">
        <v>417</v>
      </c>
      <c r="P88" s="974"/>
      <c r="Q88" s="974"/>
      <c r="R88" s="974"/>
      <c r="S88" s="974"/>
      <c r="T88" s="974"/>
      <c r="U88" s="974"/>
      <c r="V88" s="974"/>
    </row>
    <row r="89" spans="5:22" ht="29.9" customHeight="1" x14ac:dyDescent="0.3">
      <c r="E89" s="23"/>
      <c r="G89" s="980"/>
      <c r="H89" s="974"/>
      <c r="I89" s="974"/>
      <c r="J89" s="974"/>
      <c r="K89" s="974"/>
      <c r="L89" s="974"/>
      <c r="M89" s="974"/>
      <c r="N89" s="974"/>
      <c r="O89" s="974"/>
      <c r="P89" s="974"/>
      <c r="Q89" s="974"/>
      <c r="R89" s="974"/>
      <c r="S89" s="974"/>
      <c r="T89" s="974"/>
      <c r="U89" s="974"/>
      <c r="V89" s="974"/>
    </row>
    <row r="90" spans="5:22" ht="14.15" customHeight="1" x14ac:dyDescent="0.3">
      <c r="E90" s="23" t="s">
        <v>418</v>
      </c>
      <c r="G90" s="979"/>
      <c r="H90" s="974" t="s">
        <v>419</v>
      </c>
      <c r="I90" s="974"/>
      <c r="J90" s="974"/>
      <c r="K90" s="974" t="s">
        <v>420</v>
      </c>
      <c r="L90" s="974"/>
      <c r="M90" s="974"/>
      <c r="N90" s="974"/>
      <c r="O90" s="974" t="s">
        <v>421</v>
      </c>
      <c r="P90" s="974"/>
      <c r="Q90" s="974"/>
      <c r="R90" s="974"/>
      <c r="S90" s="974"/>
      <c r="T90" s="974"/>
      <c r="U90" s="974"/>
      <c r="V90" s="974"/>
    </row>
    <row r="91" spans="5:22" ht="46.5" customHeight="1" x14ac:dyDescent="0.3">
      <c r="E91" s="23"/>
      <c r="G91" s="979"/>
      <c r="H91" s="974"/>
      <c r="I91" s="974"/>
      <c r="J91" s="974"/>
      <c r="K91" s="974"/>
      <c r="L91" s="974"/>
      <c r="M91" s="974"/>
      <c r="N91" s="974"/>
      <c r="O91" s="974"/>
      <c r="P91" s="974"/>
      <c r="Q91" s="974"/>
      <c r="R91" s="974"/>
      <c r="S91" s="974"/>
      <c r="T91" s="974"/>
      <c r="U91" s="974"/>
      <c r="V91" s="974"/>
    </row>
    <row r="92" spans="5:22" ht="14.15" customHeight="1" x14ac:dyDescent="0.3">
      <c r="E92" s="23" t="s">
        <v>422</v>
      </c>
      <c r="G92" s="982"/>
      <c r="H92" s="974" t="s">
        <v>423</v>
      </c>
      <c r="I92" s="974"/>
      <c r="J92" s="974"/>
      <c r="K92" s="974" t="s">
        <v>424</v>
      </c>
      <c r="L92" s="974"/>
      <c r="M92" s="974"/>
      <c r="N92" s="974"/>
      <c r="O92" s="974" t="s">
        <v>425</v>
      </c>
      <c r="P92" s="974"/>
      <c r="Q92" s="974"/>
      <c r="R92" s="974"/>
      <c r="S92" s="974"/>
      <c r="T92" s="974"/>
      <c r="U92" s="974"/>
      <c r="V92" s="974"/>
    </row>
    <row r="93" spans="5:22" ht="34.4" customHeight="1" x14ac:dyDescent="0.3">
      <c r="G93" s="982"/>
      <c r="H93" s="974"/>
      <c r="I93" s="974"/>
      <c r="J93" s="974"/>
      <c r="K93" s="974"/>
      <c r="L93" s="974"/>
      <c r="M93" s="974"/>
      <c r="N93" s="974"/>
      <c r="O93" s="974"/>
      <c r="P93" s="974"/>
      <c r="Q93" s="974"/>
      <c r="R93" s="974"/>
      <c r="S93" s="974"/>
      <c r="T93" s="974"/>
      <c r="U93" s="974"/>
      <c r="V93" s="974"/>
    </row>
    <row r="94" spans="5:22" ht="14.15" customHeight="1" x14ac:dyDescent="0.3">
      <c r="E94" s="23" t="s">
        <v>426</v>
      </c>
      <c r="G94" s="980"/>
      <c r="H94" s="974" t="s">
        <v>427</v>
      </c>
      <c r="I94" s="974"/>
      <c r="J94" s="974"/>
      <c r="K94" s="974" t="s">
        <v>428</v>
      </c>
      <c r="L94" s="974"/>
      <c r="M94" s="974"/>
      <c r="N94" s="974"/>
      <c r="O94" s="974" t="s">
        <v>429</v>
      </c>
      <c r="P94" s="974"/>
      <c r="Q94" s="974"/>
      <c r="R94" s="974"/>
      <c r="S94" s="974"/>
      <c r="T94" s="974"/>
      <c r="U94" s="974"/>
      <c r="V94" s="974"/>
    </row>
    <row r="95" spans="5:22" ht="35.9" customHeight="1" x14ac:dyDescent="0.3">
      <c r="G95" s="980"/>
      <c r="H95" s="974"/>
      <c r="I95" s="974"/>
      <c r="J95" s="974"/>
      <c r="K95" s="974"/>
      <c r="L95" s="974"/>
      <c r="M95" s="974"/>
      <c r="N95" s="974"/>
      <c r="O95" s="974"/>
      <c r="P95" s="974"/>
      <c r="Q95" s="974"/>
      <c r="R95" s="974"/>
      <c r="S95" s="974"/>
      <c r="T95" s="974"/>
      <c r="U95" s="974"/>
      <c r="V95" s="974"/>
    </row>
  </sheetData>
  <mergeCells count="120">
    <mergeCell ref="G94:G95"/>
    <mergeCell ref="H94:J95"/>
    <mergeCell ref="K94:N95"/>
    <mergeCell ref="O94:V95"/>
    <mergeCell ref="G90:G91"/>
    <mergeCell ref="H90:J91"/>
    <mergeCell ref="K90:N91"/>
    <mergeCell ref="O90:V91"/>
    <mergeCell ref="G92:G93"/>
    <mergeCell ref="H92:J93"/>
    <mergeCell ref="K92:N93"/>
    <mergeCell ref="O92:V93"/>
    <mergeCell ref="G86:G87"/>
    <mergeCell ref="H86:J87"/>
    <mergeCell ref="K86:N87"/>
    <mergeCell ref="O86:V87"/>
    <mergeCell ref="G88:G89"/>
    <mergeCell ref="H88:J89"/>
    <mergeCell ref="K88:N89"/>
    <mergeCell ref="O88:V89"/>
    <mergeCell ref="G82:G83"/>
    <mergeCell ref="H82:J83"/>
    <mergeCell ref="K82:N83"/>
    <mergeCell ref="O82:V83"/>
    <mergeCell ref="G84:G85"/>
    <mergeCell ref="H84:J85"/>
    <mergeCell ref="K84:N85"/>
    <mergeCell ref="O84:V85"/>
    <mergeCell ref="G78:G79"/>
    <mergeCell ref="H78:J79"/>
    <mergeCell ref="K78:N79"/>
    <mergeCell ref="O78:V79"/>
    <mergeCell ref="G80:G81"/>
    <mergeCell ref="H80:J81"/>
    <mergeCell ref="K80:N81"/>
    <mergeCell ref="O80:V81"/>
    <mergeCell ref="G74:G75"/>
    <mergeCell ref="H74:J75"/>
    <mergeCell ref="K74:N75"/>
    <mergeCell ref="O74:V75"/>
    <mergeCell ref="G76:G77"/>
    <mergeCell ref="H76:J77"/>
    <mergeCell ref="K76:N77"/>
    <mergeCell ref="O76:V77"/>
    <mergeCell ref="G67:G68"/>
    <mergeCell ref="H67:J68"/>
    <mergeCell ref="K67:N68"/>
    <mergeCell ref="O67:V68"/>
    <mergeCell ref="G69:G70"/>
    <mergeCell ref="H69:J70"/>
    <mergeCell ref="K69:N70"/>
    <mergeCell ref="O69:V70"/>
    <mergeCell ref="G63:G64"/>
    <mergeCell ref="H63:J64"/>
    <mergeCell ref="K63:N64"/>
    <mergeCell ref="O63:V64"/>
    <mergeCell ref="G65:G66"/>
    <mergeCell ref="H65:J66"/>
    <mergeCell ref="K65:N66"/>
    <mergeCell ref="O65:V66"/>
    <mergeCell ref="G59:G60"/>
    <mergeCell ref="H59:J60"/>
    <mergeCell ref="K59:N60"/>
    <mergeCell ref="O59:V60"/>
    <mergeCell ref="G61:G62"/>
    <mergeCell ref="H61:J62"/>
    <mergeCell ref="K61:N62"/>
    <mergeCell ref="O61:V62"/>
    <mergeCell ref="G55:G56"/>
    <mergeCell ref="H55:J56"/>
    <mergeCell ref="K55:N56"/>
    <mergeCell ref="O55:V56"/>
    <mergeCell ref="G57:G58"/>
    <mergeCell ref="H57:J58"/>
    <mergeCell ref="K57:N58"/>
    <mergeCell ref="O57:V58"/>
    <mergeCell ref="G51:G52"/>
    <mergeCell ref="H51:J52"/>
    <mergeCell ref="K51:N52"/>
    <mergeCell ref="O51:V52"/>
    <mergeCell ref="G53:G54"/>
    <mergeCell ref="H53:J54"/>
    <mergeCell ref="K53:N54"/>
    <mergeCell ref="O53:V54"/>
    <mergeCell ref="G49:G50"/>
    <mergeCell ref="H49:J50"/>
    <mergeCell ref="K49:N50"/>
    <mergeCell ref="O49:V50"/>
    <mergeCell ref="G23:L23"/>
    <mergeCell ref="P23:U23"/>
    <mergeCell ref="B30:C45"/>
    <mergeCell ref="G36:G37"/>
    <mergeCell ref="H36:J37"/>
    <mergeCell ref="K36:N37"/>
    <mergeCell ref="O36:V37"/>
    <mergeCell ref="G38:G39"/>
    <mergeCell ref="H38:J39"/>
    <mergeCell ref="K38:N39"/>
    <mergeCell ref="G44:G45"/>
    <mergeCell ref="H44:J45"/>
    <mergeCell ref="K44:N45"/>
    <mergeCell ref="O44:V45"/>
    <mergeCell ref="O38:V39"/>
    <mergeCell ref="G40:G41"/>
    <mergeCell ref="H40:J41"/>
    <mergeCell ref="K40:N41"/>
    <mergeCell ref="O40:V41"/>
    <mergeCell ref="G42:G43"/>
    <mergeCell ref="H42:J43"/>
    <mergeCell ref="K42:N43"/>
    <mergeCell ref="O42:V43"/>
    <mergeCell ref="G17:L18"/>
    <mergeCell ref="G19:L20"/>
    <mergeCell ref="G21:L22"/>
    <mergeCell ref="P21:U22"/>
    <mergeCell ref="N5:Q14"/>
    <mergeCell ref="R5:U14"/>
    <mergeCell ref="G9:L10"/>
    <mergeCell ref="G11:L12"/>
    <mergeCell ref="G13:L14"/>
  </mergeCells>
  <dataValidations count="1">
    <dataValidation type="list" allowBlank="1" showInputMessage="1" showErrorMessage="1" sqref="F6" xr:uid="{00000000-0002-0000-0400-000000000000}">
      <formula1>#REF!</formula1>
    </dataValidation>
  </dataValidations>
  <pageMargins left="0.7" right="0.7" top="0.75" bottom="0.75" header="0.3" footer="0.3"/>
  <pageSetup paperSize="9"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2:R86"/>
  <sheetViews>
    <sheetView showGridLines="0" zoomScale="67" zoomScaleNormal="85" workbookViewId="0">
      <selection activeCell="F19" sqref="F19"/>
    </sheetView>
  </sheetViews>
  <sheetFormatPr defaultColWidth="8.58203125" defaultRowHeight="14" x14ac:dyDescent="0.3"/>
  <cols>
    <col min="1" max="1" width="2.58203125" customWidth="1"/>
    <col min="5" max="5" width="30.58203125" customWidth="1"/>
    <col min="6" max="6" width="13.08203125" customWidth="1"/>
    <col min="7" max="17" width="11.08203125" customWidth="1"/>
    <col min="18" max="18" width="20.58203125" style="6" customWidth="1"/>
  </cols>
  <sheetData>
    <row r="2" spans="1:18" s="38" customFormat="1" ht="20.25" customHeight="1" x14ac:dyDescent="0.4">
      <c r="B2" s="624" t="s">
        <v>430</v>
      </c>
      <c r="R2" s="662"/>
    </row>
    <row r="4" spans="1:18" ht="15.5" x14ac:dyDescent="0.35">
      <c r="A4" t="s">
        <v>431</v>
      </c>
      <c r="B4" s="218" t="s">
        <v>432</v>
      </c>
      <c r="C4" s="53"/>
      <c r="D4" s="53"/>
      <c r="E4" s="53"/>
      <c r="F4" s="53"/>
      <c r="G4" s="219">
        <v>2014</v>
      </c>
      <c r="H4" s="219">
        <f>+G4+1</f>
        <v>2015</v>
      </c>
      <c r="I4" s="219">
        <f t="shared" ref="I4:M4" si="0">+H4+1</f>
        <v>2016</v>
      </c>
      <c r="J4" s="219">
        <f t="shared" si="0"/>
        <v>2017</v>
      </c>
      <c r="K4" s="219">
        <f t="shared" si="0"/>
        <v>2018</v>
      </c>
      <c r="L4" s="219">
        <f t="shared" si="0"/>
        <v>2019</v>
      </c>
      <c r="M4" s="219">
        <f t="shared" si="0"/>
        <v>2020</v>
      </c>
      <c r="N4" s="219">
        <f>+M4+1</f>
        <v>2021</v>
      </c>
      <c r="O4" s="219">
        <f>+N4+1</f>
        <v>2022</v>
      </c>
      <c r="P4" s="219">
        <f t="shared" ref="P4" si="1">+O4+1</f>
        <v>2023</v>
      </c>
      <c r="Q4" s="219">
        <f>+P4+1</f>
        <v>2024</v>
      </c>
      <c r="R4" s="55" t="str">
        <f>"CAGR "&amp;$G$4&amp;" - "&amp;$Q$4</f>
        <v>CAGR 2014 - 2024</v>
      </c>
    </row>
    <row r="5" spans="1:18" ht="3.75" customHeight="1" x14ac:dyDescent="0.35">
      <c r="B5" s="50"/>
      <c r="C5" s="50"/>
      <c r="D5" s="50"/>
      <c r="E5" s="50"/>
      <c r="F5" s="50"/>
      <c r="G5" s="220"/>
      <c r="H5" s="220"/>
      <c r="I5" s="220"/>
      <c r="J5" s="220"/>
      <c r="K5" s="220"/>
      <c r="L5" s="220"/>
      <c r="M5" s="220"/>
      <c r="N5" s="220"/>
      <c r="O5" s="220"/>
      <c r="P5" s="220"/>
      <c r="Q5" s="220"/>
      <c r="R5" s="57"/>
    </row>
    <row r="6" spans="1:18" x14ac:dyDescent="0.3">
      <c r="B6" t="str">
        <f ca="1">+Peers!B6</f>
        <v>D-WAVE QUANTUM INC.</v>
      </c>
      <c r="G6" s="198"/>
      <c r="H6" s="198"/>
      <c r="I6" s="198"/>
      <c r="J6" s="198"/>
      <c r="K6" s="198"/>
      <c r="L6" s="198"/>
      <c r="M6" s="198"/>
      <c r="N6" s="198"/>
      <c r="O6" s="198"/>
      <c r="P6" s="198"/>
      <c r="Q6" s="198"/>
      <c r="R6" s="663" t="str">
        <f t="shared" ref="R6:R16" si="2">IFERROR((Q6/G6)^(1/COUNT($G$4:$Q$4))-1,"")</f>
        <v/>
      </c>
    </row>
    <row r="7" spans="1:18" x14ac:dyDescent="0.3">
      <c r="B7" s="629" t="str">
        <f>+Peers!B8</f>
        <v>IONQ INC.</v>
      </c>
      <c r="C7" s="629"/>
      <c r="D7" s="629"/>
      <c r="E7" s="629"/>
      <c r="F7" s="629"/>
      <c r="G7" s="630"/>
      <c r="H7" s="630"/>
      <c r="I7" s="630"/>
      <c r="J7" s="630"/>
      <c r="K7" s="630"/>
      <c r="L7" s="630"/>
      <c r="M7" s="630"/>
      <c r="N7" s="630"/>
      <c r="O7" s="630"/>
      <c r="P7" s="630"/>
      <c r="Q7" s="630"/>
      <c r="R7" s="664" t="str">
        <f t="shared" si="2"/>
        <v/>
      </c>
    </row>
    <row r="8" spans="1:18" x14ac:dyDescent="0.3">
      <c r="B8" t="str">
        <f>+Peers!B9</f>
        <v>RIGETTI COMPUTING INC.</v>
      </c>
      <c r="G8" s="198"/>
      <c r="H8" s="198"/>
      <c r="I8" s="198"/>
      <c r="J8" s="198"/>
      <c r="K8" s="198"/>
      <c r="L8" s="198"/>
      <c r="M8" s="198"/>
      <c r="N8" s="198"/>
      <c r="O8" s="198"/>
      <c r="P8" s="198"/>
      <c r="Q8" s="198"/>
      <c r="R8" s="663" t="str">
        <f t="shared" si="2"/>
        <v/>
      </c>
    </row>
    <row r="9" spans="1:18" x14ac:dyDescent="0.3">
      <c r="B9" s="629" t="str">
        <f>+Peers!B10</f>
        <v>QUANTUM COMPUTING INC.</v>
      </c>
      <c r="C9" s="629"/>
      <c r="D9" s="629"/>
      <c r="E9" s="629"/>
      <c r="F9" s="629"/>
      <c r="G9" s="630"/>
      <c r="H9" s="630"/>
      <c r="I9" s="630"/>
      <c r="J9" s="630"/>
      <c r="K9" s="630"/>
      <c r="L9" s="630"/>
      <c r="M9" s="630"/>
      <c r="N9" s="630"/>
      <c r="O9" s="630"/>
      <c r="P9" s="630"/>
      <c r="Q9" s="629"/>
      <c r="R9" s="664" t="str">
        <f t="shared" si="2"/>
        <v/>
      </c>
    </row>
    <row r="10" spans="1:18" x14ac:dyDescent="0.3">
      <c r="B10" t="str">
        <f>+Peers!B11</f>
        <v/>
      </c>
      <c r="G10" s="198"/>
      <c r="H10" s="198"/>
      <c r="I10" s="198"/>
      <c r="J10" s="198"/>
      <c r="K10" s="198"/>
      <c r="L10" s="198"/>
      <c r="M10" s="198"/>
      <c r="N10" s="198"/>
      <c r="O10" s="198"/>
      <c r="P10" s="198"/>
      <c r="Q10" s="198"/>
      <c r="R10" s="663" t="str">
        <f t="shared" si="2"/>
        <v/>
      </c>
    </row>
    <row r="11" spans="1:18" x14ac:dyDescent="0.3">
      <c r="B11" s="629" t="str">
        <f>+Peers!B12</f>
        <v/>
      </c>
      <c r="C11" s="629"/>
      <c r="D11" s="629"/>
      <c r="E11" s="629"/>
      <c r="F11" s="629"/>
      <c r="G11" s="630"/>
      <c r="H11" s="630"/>
      <c r="I11" s="630"/>
      <c r="J11" s="630"/>
      <c r="K11" s="630"/>
      <c r="L11" s="630"/>
      <c r="M11" s="630"/>
      <c r="N11" s="630"/>
      <c r="O11" s="630"/>
      <c r="P11" s="630"/>
      <c r="Q11" s="630"/>
      <c r="R11" s="664" t="str">
        <f t="shared" si="2"/>
        <v/>
      </c>
    </row>
    <row r="12" spans="1:18" x14ac:dyDescent="0.3">
      <c r="B12" t="str">
        <f>+Peers!B13</f>
        <v/>
      </c>
      <c r="G12" s="198"/>
      <c r="H12" s="198"/>
      <c r="I12" s="198"/>
      <c r="J12" s="198"/>
      <c r="K12" s="198"/>
      <c r="L12" s="198"/>
      <c r="M12" s="198"/>
      <c r="N12" s="198"/>
      <c r="O12" s="198"/>
      <c r="P12" s="198"/>
      <c r="Q12" s="198"/>
      <c r="R12" s="663" t="str">
        <f t="shared" si="2"/>
        <v/>
      </c>
    </row>
    <row r="13" spans="1:18" x14ac:dyDescent="0.3">
      <c r="B13" s="629" t="str">
        <f>+Peers!B14</f>
        <v/>
      </c>
      <c r="C13" s="629"/>
      <c r="D13" s="629"/>
      <c r="E13" s="629"/>
      <c r="F13" s="629"/>
      <c r="G13" s="630"/>
      <c r="H13" s="630"/>
      <c r="I13" s="630"/>
      <c r="J13" s="630"/>
      <c r="K13" s="630"/>
      <c r="L13" s="630"/>
      <c r="M13" s="630"/>
      <c r="N13" s="630"/>
      <c r="O13" s="630"/>
      <c r="P13" s="630"/>
      <c r="Q13" s="630"/>
      <c r="R13" s="664" t="str">
        <f t="shared" si="2"/>
        <v/>
      </c>
    </row>
    <row r="14" spans="1:18" x14ac:dyDescent="0.3">
      <c r="B14" t="str">
        <f>+Peers!B15</f>
        <v/>
      </c>
      <c r="G14" s="198"/>
      <c r="H14" s="198"/>
      <c r="I14" s="198"/>
      <c r="J14" s="198"/>
      <c r="K14" s="198"/>
      <c r="L14" s="198"/>
      <c r="M14" s="198"/>
      <c r="N14" s="198"/>
      <c r="O14" s="198"/>
      <c r="P14" s="198"/>
      <c r="Q14" s="198"/>
      <c r="R14" s="663" t="str">
        <f t="shared" si="2"/>
        <v/>
      </c>
    </row>
    <row r="15" spans="1:18" x14ac:dyDescent="0.3">
      <c r="B15" s="629" t="str">
        <f>+Peers!B16</f>
        <v/>
      </c>
      <c r="C15" s="629"/>
      <c r="D15" s="629"/>
      <c r="E15" s="629"/>
      <c r="F15" s="629"/>
      <c r="G15" s="630"/>
      <c r="H15" s="630"/>
      <c r="I15" s="630"/>
      <c r="J15" s="630"/>
      <c r="K15" s="630"/>
      <c r="L15" s="630"/>
      <c r="M15" s="630"/>
      <c r="N15" s="630"/>
      <c r="O15" s="630"/>
      <c r="P15" s="630"/>
      <c r="Q15" s="630"/>
      <c r="R15" s="664" t="str">
        <f t="shared" si="2"/>
        <v/>
      </c>
    </row>
    <row r="16" spans="1:18" x14ac:dyDescent="0.3">
      <c r="B16" t="str">
        <f>+Peers!B17</f>
        <v/>
      </c>
      <c r="G16" s="198"/>
      <c r="H16" s="198"/>
      <c r="I16" s="198"/>
      <c r="J16" s="198"/>
      <c r="K16" s="198"/>
      <c r="L16" s="198"/>
      <c r="M16" s="198"/>
      <c r="N16" s="198"/>
      <c r="O16" s="198"/>
      <c r="P16" s="198"/>
      <c r="Q16" s="198"/>
      <c r="R16" s="663" t="str">
        <f t="shared" si="2"/>
        <v/>
      </c>
    </row>
    <row r="17" spans="1:18" x14ac:dyDescent="0.3">
      <c r="G17" s="198"/>
      <c r="H17" s="198"/>
      <c r="I17" s="198"/>
      <c r="J17" s="198"/>
      <c r="K17" s="198"/>
      <c r="L17" s="198"/>
      <c r="M17" s="198"/>
      <c r="N17" s="198"/>
      <c r="O17" s="198"/>
      <c r="P17" s="198"/>
      <c r="Q17" s="198"/>
    </row>
    <row r="18" spans="1:18" ht="15.5" x14ac:dyDescent="0.35">
      <c r="A18" t="s">
        <v>431</v>
      </c>
      <c r="B18" s="218" t="s">
        <v>433</v>
      </c>
      <c r="C18" s="53"/>
      <c r="D18" s="53"/>
      <c r="E18" s="53"/>
      <c r="F18" s="53"/>
      <c r="G18" s="219">
        <v>2014</v>
      </c>
      <c r="H18" s="219">
        <f t="shared" ref="H18:Q18" si="3">+G18+1</f>
        <v>2015</v>
      </c>
      <c r="I18" s="219">
        <f t="shared" si="3"/>
        <v>2016</v>
      </c>
      <c r="J18" s="219">
        <f t="shared" si="3"/>
        <v>2017</v>
      </c>
      <c r="K18" s="219">
        <f t="shared" si="3"/>
        <v>2018</v>
      </c>
      <c r="L18" s="219">
        <f t="shared" si="3"/>
        <v>2019</v>
      </c>
      <c r="M18" s="219">
        <f t="shared" si="3"/>
        <v>2020</v>
      </c>
      <c r="N18" s="219">
        <f t="shared" si="3"/>
        <v>2021</v>
      </c>
      <c r="O18" s="219">
        <f t="shared" si="3"/>
        <v>2022</v>
      </c>
      <c r="P18" s="219">
        <f t="shared" si="3"/>
        <v>2023</v>
      </c>
      <c r="Q18" s="219">
        <f t="shared" si="3"/>
        <v>2024</v>
      </c>
      <c r="R18" s="55" t="str">
        <f>"CAGR "&amp;$G$4&amp;" - "&amp;$Q$4</f>
        <v>CAGR 2014 - 2024</v>
      </c>
    </row>
    <row r="19" spans="1:18" s="93" customFormat="1" ht="3.75" customHeight="1" x14ac:dyDescent="0.35">
      <c r="B19" s="625"/>
      <c r="C19" s="625"/>
      <c r="D19" s="625"/>
      <c r="E19" s="625"/>
      <c r="F19" s="625"/>
      <c r="G19" s="626"/>
      <c r="H19" s="626"/>
      <c r="I19" s="626"/>
      <c r="J19" s="626"/>
      <c r="K19" s="626"/>
      <c r="L19" s="626"/>
      <c r="M19" s="626"/>
      <c r="N19" s="626"/>
      <c r="O19" s="626"/>
      <c r="P19" s="626"/>
      <c r="Q19" s="626"/>
      <c r="R19" s="627"/>
    </row>
    <row r="20" spans="1:18" x14ac:dyDescent="0.3">
      <c r="B20" t="str">
        <f ca="1">+$B$6</f>
        <v>D-WAVE QUANTUM INC.</v>
      </c>
      <c r="G20" s="198"/>
      <c r="H20" s="198"/>
      <c r="I20" s="198"/>
      <c r="J20" s="198"/>
      <c r="K20" s="198"/>
      <c r="L20" s="198"/>
      <c r="M20" s="198"/>
      <c r="N20" s="198"/>
      <c r="O20" s="198"/>
      <c r="P20" s="198"/>
      <c r="Q20" s="198"/>
      <c r="R20" s="663" t="str">
        <f t="shared" ref="R20:R30" si="4">IFERROR((Q20/G20)^(1/COUNT($G$4:$Q$4))-1,"")</f>
        <v/>
      </c>
    </row>
    <row r="21" spans="1:18" x14ac:dyDescent="0.3">
      <c r="B21" s="629" t="str">
        <f>+$B$7</f>
        <v>IONQ INC.</v>
      </c>
      <c r="C21" s="629"/>
      <c r="D21" s="629"/>
      <c r="E21" s="629"/>
      <c r="F21" s="629"/>
      <c r="G21" s="630"/>
      <c r="H21" s="630"/>
      <c r="I21" s="630"/>
      <c r="J21" s="630"/>
      <c r="K21" s="630"/>
      <c r="L21" s="630"/>
      <c r="M21" s="630"/>
      <c r="N21" s="630"/>
      <c r="O21" s="630"/>
      <c r="P21" s="630"/>
      <c r="Q21" s="630"/>
      <c r="R21" s="664" t="str">
        <f t="shared" si="4"/>
        <v/>
      </c>
    </row>
    <row r="22" spans="1:18" x14ac:dyDescent="0.3">
      <c r="B22" t="str">
        <f>+$B$8</f>
        <v>RIGETTI COMPUTING INC.</v>
      </c>
      <c r="G22" s="198"/>
      <c r="H22" s="198"/>
      <c r="I22" s="198"/>
      <c r="J22" s="198"/>
      <c r="K22" s="198"/>
      <c r="L22" s="198"/>
      <c r="M22" s="198"/>
      <c r="N22" s="198"/>
      <c r="O22" s="198"/>
      <c r="P22" s="198"/>
      <c r="Q22" s="198"/>
      <c r="R22" s="663" t="str">
        <f t="shared" si="4"/>
        <v/>
      </c>
    </row>
    <row r="23" spans="1:18" x14ac:dyDescent="0.3">
      <c r="B23" s="629" t="str">
        <f>+$B$9</f>
        <v>QUANTUM COMPUTING INC.</v>
      </c>
      <c r="C23" s="629"/>
      <c r="D23" s="629"/>
      <c r="E23" s="629"/>
      <c r="F23" s="629"/>
      <c r="G23" s="631"/>
      <c r="H23" s="631"/>
      <c r="I23" s="631"/>
      <c r="J23" s="630"/>
      <c r="K23" s="630"/>
      <c r="L23" s="630"/>
      <c r="M23" s="630"/>
      <c r="N23" s="630"/>
      <c r="O23" s="630"/>
      <c r="P23" s="630"/>
      <c r="Q23" s="629"/>
      <c r="R23" s="664" t="str">
        <f t="shared" si="4"/>
        <v/>
      </c>
    </row>
    <row r="24" spans="1:18" x14ac:dyDescent="0.3">
      <c r="B24" t="str">
        <f>+$B$10</f>
        <v/>
      </c>
      <c r="G24" s="198"/>
      <c r="H24" s="198"/>
      <c r="I24" s="198"/>
      <c r="J24" s="198"/>
      <c r="K24" s="198"/>
      <c r="L24" s="198"/>
      <c r="M24" s="198"/>
      <c r="N24" s="198"/>
      <c r="O24" s="198"/>
      <c r="P24" s="198"/>
      <c r="Q24" s="198"/>
      <c r="R24" s="663" t="str">
        <f t="shared" si="4"/>
        <v/>
      </c>
    </row>
    <row r="25" spans="1:18" x14ac:dyDescent="0.3">
      <c r="B25" s="629" t="str">
        <f>+$B$11</f>
        <v/>
      </c>
      <c r="C25" s="629"/>
      <c r="D25" s="629"/>
      <c r="E25" s="629"/>
      <c r="F25" s="629"/>
      <c r="G25" s="630"/>
      <c r="H25" s="630"/>
      <c r="I25" s="630"/>
      <c r="J25" s="630"/>
      <c r="K25" s="630"/>
      <c r="L25" s="630"/>
      <c r="M25" s="630"/>
      <c r="N25" s="630"/>
      <c r="O25" s="630"/>
      <c r="P25" s="630"/>
      <c r="Q25" s="630"/>
      <c r="R25" s="664" t="str">
        <f t="shared" si="4"/>
        <v/>
      </c>
    </row>
    <row r="26" spans="1:18" x14ac:dyDescent="0.3">
      <c r="B26" t="str">
        <f>+$B$12</f>
        <v/>
      </c>
      <c r="G26" s="198"/>
      <c r="H26" s="198"/>
      <c r="I26" s="198"/>
      <c r="J26" s="198"/>
      <c r="K26" s="198"/>
      <c r="L26" s="198"/>
      <c r="M26" s="198"/>
      <c r="N26" s="198"/>
      <c r="O26" s="198"/>
      <c r="P26" s="198"/>
      <c r="Q26" s="198"/>
      <c r="R26" s="663" t="str">
        <f t="shared" si="4"/>
        <v/>
      </c>
    </row>
    <row r="27" spans="1:18" x14ac:dyDescent="0.3">
      <c r="B27" s="629" t="str">
        <f>+$B$13</f>
        <v/>
      </c>
      <c r="C27" s="629"/>
      <c r="D27" s="629"/>
      <c r="E27" s="629"/>
      <c r="F27" s="629"/>
      <c r="G27" s="630"/>
      <c r="H27" s="630"/>
      <c r="I27" s="630"/>
      <c r="J27" s="630"/>
      <c r="K27" s="630"/>
      <c r="L27" s="630"/>
      <c r="M27" s="630"/>
      <c r="N27" s="630"/>
      <c r="O27" s="630"/>
      <c r="P27" s="630"/>
      <c r="Q27" s="630"/>
      <c r="R27" s="664" t="str">
        <f t="shared" si="4"/>
        <v/>
      </c>
    </row>
    <row r="28" spans="1:18" x14ac:dyDescent="0.3">
      <c r="B28" t="str">
        <f>+$B$14</f>
        <v/>
      </c>
      <c r="G28" s="198"/>
      <c r="H28" s="198"/>
      <c r="I28" s="198"/>
      <c r="J28" s="198"/>
      <c r="K28" s="198"/>
      <c r="L28" s="198"/>
      <c r="M28" s="198"/>
      <c r="N28" s="198"/>
      <c r="O28" s="198"/>
      <c r="P28" s="198"/>
      <c r="Q28" s="198"/>
      <c r="R28" s="663" t="str">
        <f t="shared" si="4"/>
        <v/>
      </c>
    </row>
    <row r="29" spans="1:18" x14ac:dyDescent="0.3">
      <c r="B29" s="629" t="str">
        <f>+$B$15</f>
        <v/>
      </c>
      <c r="C29" s="629"/>
      <c r="D29" s="629"/>
      <c r="E29" s="629"/>
      <c r="F29" s="629"/>
      <c r="G29" s="630"/>
      <c r="H29" s="630"/>
      <c r="I29" s="630"/>
      <c r="J29" s="630"/>
      <c r="K29" s="630"/>
      <c r="L29" s="630"/>
      <c r="M29" s="630"/>
      <c r="N29" s="630"/>
      <c r="O29" s="630"/>
      <c r="P29" s="630"/>
      <c r="Q29" s="630"/>
      <c r="R29" s="664" t="str">
        <f t="shared" si="4"/>
        <v/>
      </c>
    </row>
    <row r="30" spans="1:18" x14ac:dyDescent="0.3">
      <c r="B30" t="str">
        <f>+$B$16</f>
        <v/>
      </c>
      <c r="G30" s="198"/>
      <c r="H30" s="198"/>
      <c r="I30" s="198"/>
      <c r="J30" s="198"/>
      <c r="K30" s="198"/>
      <c r="L30" s="198"/>
      <c r="M30" s="198"/>
      <c r="N30" s="198"/>
      <c r="O30" s="198"/>
      <c r="P30" s="198"/>
      <c r="Q30" s="198"/>
      <c r="R30" s="663" t="str">
        <f t="shared" si="4"/>
        <v/>
      </c>
    </row>
    <row r="31" spans="1:18" x14ac:dyDescent="0.3">
      <c r="G31" s="198"/>
      <c r="H31" s="198"/>
      <c r="I31" s="198"/>
      <c r="J31" s="198"/>
      <c r="K31" s="198"/>
      <c r="L31" s="198"/>
      <c r="M31" s="198"/>
      <c r="N31" s="198"/>
      <c r="O31" s="198"/>
      <c r="P31" s="198"/>
      <c r="Q31" s="198"/>
    </row>
    <row r="32" spans="1:18" ht="15.5" x14ac:dyDescent="0.35">
      <c r="A32" t="s">
        <v>431</v>
      </c>
      <c r="B32" s="218" t="s">
        <v>434</v>
      </c>
      <c r="C32" s="53"/>
      <c r="D32" s="53"/>
      <c r="E32" s="53"/>
      <c r="F32" s="53"/>
      <c r="G32" s="219">
        <v>2014</v>
      </c>
      <c r="H32" s="219">
        <f t="shared" ref="H32:Q32" si="5">+G32+1</f>
        <v>2015</v>
      </c>
      <c r="I32" s="219">
        <f t="shared" si="5"/>
        <v>2016</v>
      </c>
      <c r="J32" s="219">
        <f t="shared" si="5"/>
        <v>2017</v>
      </c>
      <c r="K32" s="219">
        <f t="shared" si="5"/>
        <v>2018</v>
      </c>
      <c r="L32" s="219">
        <f t="shared" si="5"/>
        <v>2019</v>
      </c>
      <c r="M32" s="219">
        <f t="shared" si="5"/>
        <v>2020</v>
      </c>
      <c r="N32" s="219">
        <f t="shared" si="5"/>
        <v>2021</v>
      </c>
      <c r="O32" s="219">
        <f t="shared" si="5"/>
        <v>2022</v>
      </c>
      <c r="P32" s="219">
        <f t="shared" si="5"/>
        <v>2023</v>
      </c>
      <c r="Q32" s="219">
        <f t="shared" si="5"/>
        <v>2024</v>
      </c>
      <c r="R32" s="55" t="str">
        <f>"CAGR "&amp;$G$4&amp;" - "&amp;$Q$4</f>
        <v>CAGR 2014 - 2024</v>
      </c>
    </row>
    <row r="33" spans="1:18" ht="3.75" customHeight="1" x14ac:dyDescent="0.35">
      <c r="B33" s="50"/>
      <c r="C33" s="50"/>
      <c r="D33" s="50"/>
      <c r="E33" s="50"/>
      <c r="F33" s="50"/>
      <c r="G33" s="220"/>
      <c r="H33" s="220"/>
      <c r="I33" s="220"/>
      <c r="J33" s="220"/>
      <c r="K33" s="220"/>
      <c r="L33" s="220"/>
      <c r="M33" s="220"/>
      <c r="N33" s="220"/>
      <c r="O33" s="220"/>
      <c r="P33" s="220"/>
      <c r="Q33" s="220"/>
      <c r="R33" s="57"/>
    </row>
    <row r="34" spans="1:18" x14ac:dyDescent="0.3">
      <c r="B34" t="str">
        <f ca="1">+$B$6</f>
        <v>D-WAVE QUANTUM INC.</v>
      </c>
      <c r="G34" s="198"/>
      <c r="H34" s="198"/>
      <c r="I34" s="198"/>
      <c r="J34" s="198"/>
      <c r="K34" s="198"/>
      <c r="L34" s="198"/>
      <c r="M34" s="198"/>
      <c r="N34" s="198"/>
      <c r="O34" s="198"/>
      <c r="P34" s="198"/>
      <c r="Q34" s="198"/>
      <c r="R34" s="663" t="str">
        <f t="shared" ref="R34:R44" si="6">IFERROR((Q34/G34)^(1/COUNT($G$4:$Q$4))-1,"")</f>
        <v/>
      </c>
    </row>
    <row r="35" spans="1:18" x14ac:dyDescent="0.3">
      <c r="B35" s="629" t="str">
        <f>+$B$7</f>
        <v>IONQ INC.</v>
      </c>
      <c r="C35" s="629"/>
      <c r="D35" s="629"/>
      <c r="E35" s="629"/>
      <c r="F35" s="629"/>
      <c r="G35" s="630"/>
      <c r="H35" s="630"/>
      <c r="I35" s="630"/>
      <c r="J35" s="630"/>
      <c r="K35" s="630"/>
      <c r="L35" s="630"/>
      <c r="M35" s="630"/>
      <c r="N35" s="630"/>
      <c r="O35" s="630"/>
      <c r="P35" s="630"/>
      <c r="Q35" s="630"/>
      <c r="R35" s="664" t="str">
        <f t="shared" si="6"/>
        <v/>
      </c>
    </row>
    <row r="36" spans="1:18" x14ac:dyDescent="0.3">
      <c r="B36" t="str">
        <f>+$B$8</f>
        <v>RIGETTI COMPUTING INC.</v>
      </c>
      <c r="G36" s="198"/>
      <c r="H36" s="198"/>
      <c r="I36" s="198"/>
      <c r="J36" s="198"/>
      <c r="K36" s="198"/>
      <c r="L36" s="198"/>
      <c r="M36" s="198"/>
      <c r="N36" s="198"/>
      <c r="O36" s="198"/>
      <c r="P36" s="198"/>
      <c r="Q36" s="198"/>
      <c r="R36" s="663" t="str">
        <f t="shared" si="6"/>
        <v/>
      </c>
    </row>
    <row r="37" spans="1:18" x14ac:dyDescent="0.3">
      <c r="B37" s="629" t="str">
        <f>+$B$9</f>
        <v>QUANTUM COMPUTING INC.</v>
      </c>
      <c r="C37" s="629"/>
      <c r="D37" s="629"/>
      <c r="E37" s="629"/>
      <c r="F37" s="629"/>
      <c r="G37" s="631"/>
      <c r="H37" s="631"/>
      <c r="I37" s="631"/>
      <c r="J37" s="631"/>
      <c r="K37" s="630"/>
      <c r="L37" s="630"/>
      <c r="M37" s="630"/>
      <c r="N37" s="630"/>
      <c r="O37" s="630"/>
      <c r="P37" s="630"/>
      <c r="Q37" s="629"/>
      <c r="R37" s="664" t="str">
        <f t="shared" si="6"/>
        <v/>
      </c>
    </row>
    <row r="38" spans="1:18" x14ac:dyDescent="0.3">
      <c r="B38" t="str">
        <f>+$B$10</f>
        <v/>
      </c>
      <c r="G38" s="198"/>
      <c r="H38" s="198"/>
      <c r="I38" s="198"/>
      <c r="J38" s="198"/>
      <c r="K38" s="198"/>
      <c r="L38" s="198"/>
      <c r="M38" s="198"/>
      <c r="N38" s="198"/>
      <c r="O38" s="198"/>
      <c r="P38" s="198"/>
      <c r="Q38" s="198"/>
      <c r="R38" s="663" t="str">
        <f t="shared" si="6"/>
        <v/>
      </c>
    </row>
    <row r="39" spans="1:18" x14ac:dyDescent="0.3">
      <c r="B39" s="629" t="str">
        <f>+$B$11</f>
        <v/>
      </c>
      <c r="C39" s="629"/>
      <c r="D39" s="629"/>
      <c r="E39" s="629"/>
      <c r="F39" s="629"/>
      <c r="G39" s="630"/>
      <c r="H39" s="630"/>
      <c r="I39" s="630"/>
      <c r="J39" s="630"/>
      <c r="K39" s="630"/>
      <c r="L39" s="630"/>
      <c r="M39" s="630"/>
      <c r="N39" s="630"/>
      <c r="O39" s="630"/>
      <c r="P39" s="630"/>
      <c r="Q39" s="630"/>
      <c r="R39" s="664" t="str">
        <f t="shared" si="6"/>
        <v/>
      </c>
    </row>
    <row r="40" spans="1:18" x14ac:dyDescent="0.3">
      <c r="B40" t="str">
        <f>+$B$12</f>
        <v/>
      </c>
      <c r="G40" s="198"/>
      <c r="H40" s="198"/>
      <c r="I40" s="198"/>
      <c r="J40" s="198"/>
      <c r="K40" s="198"/>
      <c r="L40" s="198"/>
      <c r="M40" s="198"/>
      <c r="N40" s="198"/>
      <c r="O40" s="198"/>
      <c r="P40" s="198"/>
      <c r="Q40" s="198"/>
      <c r="R40" s="663" t="str">
        <f t="shared" si="6"/>
        <v/>
      </c>
    </row>
    <row r="41" spans="1:18" x14ac:dyDescent="0.3">
      <c r="B41" s="629" t="str">
        <f>+$B$13</f>
        <v/>
      </c>
      <c r="C41" s="629"/>
      <c r="D41" s="629"/>
      <c r="E41" s="629"/>
      <c r="F41" s="629"/>
      <c r="G41" s="630"/>
      <c r="H41" s="630"/>
      <c r="I41" s="630"/>
      <c r="J41" s="630"/>
      <c r="K41" s="630"/>
      <c r="L41" s="630"/>
      <c r="M41" s="630"/>
      <c r="N41" s="630"/>
      <c r="O41" s="630"/>
      <c r="P41" s="630"/>
      <c r="Q41" s="630"/>
      <c r="R41" s="664" t="str">
        <f t="shared" si="6"/>
        <v/>
      </c>
    </row>
    <row r="42" spans="1:18" x14ac:dyDescent="0.3">
      <c r="B42" t="str">
        <f>+$B$14</f>
        <v/>
      </c>
      <c r="G42" s="198"/>
      <c r="H42" s="198"/>
      <c r="I42" s="198"/>
      <c r="J42" s="198"/>
      <c r="K42" s="198"/>
      <c r="L42" s="198"/>
      <c r="M42" s="198"/>
      <c r="N42" s="198"/>
      <c r="O42" s="198"/>
      <c r="P42" s="198"/>
      <c r="Q42" s="198"/>
      <c r="R42" s="663" t="str">
        <f t="shared" si="6"/>
        <v/>
      </c>
    </row>
    <row r="43" spans="1:18" x14ac:dyDescent="0.3">
      <c r="B43" s="629" t="str">
        <f>+$B$15</f>
        <v/>
      </c>
      <c r="C43" s="629"/>
      <c r="D43" s="629"/>
      <c r="E43" s="629"/>
      <c r="F43" s="629"/>
      <c r="G43" s="630"/>
      <c r="H43" s="630"/>
      <c r="I43" s="630"/>
      <c r="J43" s="630"/>
      <c r="K43" s="630"/>
      <c r="L43" s="630"/>
      <c r="M43" s="630"/>
      <c r="N43" s="630"/>
      <c r="O43" s="630"/>
      <c r="P43" s="630"/>
      <c r="Q43" s="630"/>
      <c r="R43" s="664" t="str">
        <f t="shared" si="6"/>
        <v/>
      </c>
    </row>
    <row r="44" spans="1:18" x14ac:dyDescent="0.3">
      <c r="B44" t="str">
        <f>+$B$16</f>
        <v/>
      </c>
      <c r="G44" s="198"/>
      <c r="H44" s="198"/>
      <c r="I44" s="198"/>
      <c r="J44" s="198"/>
      <c r="K44" s="198"/>
      <c r="L44" s="198"/>
      <c r="M44" s="198"/>
      <c r="N44" s="198"/>
      <c r="O44" s="198"/>
      <c r="P44" s="198"/>
      <c r="Q44" s="198"/>
      <c r="R44" s="663" t="str">
        <f t="shared" si="6"/>
        <v/>
      </c>
    </row>
    <row r="45" spans="1:18" x14ac:dyDescent="0.3">
      <c r="G45" s="198"/>
      <c r="H45" s="198"/>
      <c r="I45" s="198"/>
      <c r="J45" s="198"/>
      <c r="K45" s="198"/>
      <c r="L45" s="198"/>
      <c r="M45" s="198"/>
      <c r="N45" s="198"/>
      <c r="O45" s="198"/>
      <c r="P45" s="198"/>
      <c r="Q45" s="198"/>
    </row>
    <row r="46" spans="1:18" ht="15.5" x14ac:dyDescent="0.35">
      <c r="A46" t="s">
        <v>431</v>
      </c>
      <c r="B46" s="218" t="s">
        <v>435</v>
      </c>
      <c r="C46" s="53"/>
      <c r="D46" s="53"/>
      <c r="E46" s="53"/>
      <c r="F46" s="53"/>
      <c r="G46" s="219">
        <v>2014</v>
      </c>
      <c r="H46" s="219">
        <f t="shared" ref="H46:Q46" si="7">+G46+1</f>
        <v>2015</v>
      </c>
      <c r="I46" s="219">
        <f t="shared" si="7"/>
        <v>2016</v>
      </c>
      <c r="J46" s="219">
        <f t="shared" si="7"/>
        <v>2017</v>
      </c>
      <c r="K46" s="219">
        <f t="shared" si="7"/>
        <v>2018</v>
      </c>
      <c r="L46" s="219">
        <f t="shared" si="7"/>
        <v>2019</v>
      </c>
      <c r="M46" s="219">
        <f t="shared" si="7"/>
        <v>2020</v>
      </c>
      <c r="N46" s="219">
        <f t="shared" si="7"/>
        <v>2021</v>
      </c>
      <c r="O46" s="219">
        <f t="shared" si="7"/>
        <v>2022</v>
      </c>
      <c r="P46" s="219">
        <f t="shared" si="7"/>
        <v>2023</v>
      </c>
      <c r="Q46" s="219">
        <f t="shared" si="7"/>
        <v>2024</v>
      </c>
      <c r="R46" s="55" t="str">
        <f>"CAGR "&amp;$G$4&amp;" - "&amp;$Q$4</f>
        <v>CAGR 2014 - 2024</v>
      </c>
    </row>
    <row r="47" spans="1:18" ht="3.75" customHeight="1" x14ac:dyDescent="0.35">
      <c r="B47" s="50"/>
      <c r="C47" s="50"/>
      <c r="D47" s="50"/>
      <c r="E47" s="50"/>
      <c r="F47" s="50"/>
      <c r="G47" s="220"/>
      <c r="H47" s="220"/>
      <c r="I47" s="220"/>
      <c r="J47" s="220"/>
      <c r="K47" s="220"/>
      <c r="L47" s="220"/>
      <c r="M47" s="220"/>
      <c r="N47" s="220"/>
      <c r="O47" s="220"/>
      <c r="P47" s="220"/>
      <c r="Q47" s="220"/>
      <c r="R47" s="57"/>
    </row>
    <row r="48" spans="1:18" x14ac:dyDescent="0.3">
      <c r="B48" t="str">
        <f ca="1">+$B$6</f>
        <v>D-WAVE QUANTUM INC.</v>
      </c>
      <c r="G48" s="198"/>
      <c r="H48" s="198"/>
      <c r="I48" s="198"/>
      <c r="J48" s="198"/>
      <c r="K48" s="198"/>
      <c r="L48" s="198"/>
      <c r="M48" s="198"/>
      <c r="N48" s="198"/>
      <c r="O48" s="198"/>
      <c r="P48" s="198"/>
      <c r="Q48" s="198"/>
      <c r="R48" s="663" t="str">
        <f t="shared" ref="R48:R58" si="8">IFERROR((Q48/G48)^(1/COUNT($G$4:$Q$4))-1,"")</f>
        <v/>
      </c>
    </row>
    <row r="49" spans="1:18" x14ac:dyDescent="0.3">
      <c r="B49" s="629" t="str">
        <f>+$B$7</f>
        <v>IONQ INC.</v>
      </c>
      <c r="C49" s="629"/>
      <c r="D49" s="629"/>
      <c r="E49" s="629"/>
      <c r="F49" s="629"/>
      <c r="G49" s="630"/>
      <c r="H49" s="630"/>
      <c r="I49" s="630"/>
      <c r="J49" s="630"/>
      <c r="K49" s="630"/>
      <c r="L49" s="630"/>
      <c r="M49" s="630"/>
      <c r="N49" s="630"/>
      <c r="O49" s="630"/>
      <c r="P49" s="630"/>
      <c r="Q49" s="630"/>
      <c r="R49" s="664" t="str">
        <f t="shared" si="8"/>
        <v/>
      </c>
    </row>
    <row r="50" spans="1:18" x14ac:dyDescent="0.3">
      <c r="B50" t="str">
        <f>+$B$8</f>
        <v>RIGETTI COMPUTING INC.</v>
      </c>
      <c r="G50" s="198"/>
      <c r="H50" s="198"/>
      <c r="I50" s="198"/>
      <c r="J50" s="198"/>
      <c r="K50" s="198"/>
      <c r="L50" s="198"/>
      <c r="M50" s="198"/>
      <c r="N50" s="198"/>
      <c r="O50" s="198"/>
      <c r="P50" s="198"/>
      <c r="Q50" s="198"/>
      <c r="R50" s="663" t="str">
        <f t="shared" si="8"/>
        <v/>
      </c>
    </row>
    <row r="51" spans="1:18" x14ac:dyDescent="0.3">
      <c r="B51" s="629" t="str">
        <f>+$B$9</f>
        <v>QUANTUM COMPUTING INC.</v>
      </c>
      <c r="C51" s="629"/>
      <c r="D51" s="629"/>
      <c r="E51" s="629"/>
      <c r="F51" s="629"/>
      <c r="G51" s="630"/>
      <c r="H51" s="630"/>
      <c r="I51" s="630"/>
      <c r="J51" s="630"/>
      <c r="K51" s="630"/>
      <c r="L51" s="630"/>
      <c r="M51" s="630"/>
      <c r="N51" s="630"/>
      <c r="O51" s="630"/>
      <c r="P51" s="630"/>
      <c r="Q51" s="630"/>
      <c r="R51" s="664" t="str">
        <f t="shared" si="8"/>
        <v/>
      </c>
    </row>
    <row r="52" spans="1:18" x14ac:dyDescent="0.3">
      <c r="B52" t="str">
        <f>+$B$10</f>
        <v/>
      </c>
      <c r="G52" s="198"/>
      <c r="H52" s="198"/>
      <c r="I52" s="198"/>
      <c r="J52" s="198"/>
      <c r="K52" s="198"/>
      <c r="L52" s="198"/>
      <c r="M52" s="198"/>
      <c r="N52" s="198"/>
      <c r="O52" s="198"/>
      <c r="P52" s="198"/>
      <c r="Q52" s="198"/>
      <c r="R52" s="663" t="str">
        <f t="shared" si="8"/>
        <v/>
      </c>
    </row>
    <row r="53" spans="1:18" x14ac:dyDescent="0.3">
      <c r="B53" s="629" t="str">
        <f>+$B$11</f>
        <v/>
      </c>
      <c r="C53" s="629"/>
      <c r="D53" s="629"/>
      <c r="E53" s="629"/>
      <c r="F53" s="629"/>
      <c r="G53" s="630"/>
      <c r="H53" s="630"/>
      <c r="I53" s="630"/>
      <c r="J53" s="630"/>
      <c r="K53" s="630"/>
      <c r="L53" s="631"/>
      <c r="M53" s="631"/>
      <c r="N53" s="631"/>
      <c r="O53" s="631"/>
      <c r="P53" s="630"/>
      <c r="Q53" s="630"/>
      <c r="R53" s="664" t="str">
        <f t="shared" si="8"/>
        <v/>
      </c>
    </row>
    <row r="54" spans="1:18" x14ac:dyDescent="0.3">
      <c r="B54" t="str">
        <f>+$B$12</f>
        <v/>
      </c>
      <c r="G54" s="198"/>
      <c r="H54" s="198"/>
      <c r="I54" s="198"/>
      <c r="J54" s="198"/>
      <c r="K54" s="198"/>
      <c r="L54" s="198"/>
      <c r="M54" s="198"/>
      <c r="N54" s="198"/>
      <c r="O54" s="198"/>
      <c r="P54" s="198"/>
      <c r="Q54" s="198"/>
      <c r="R54" s="663" t="str">
        <f t="shared" si="8"/>
        <v/>
      </c>
    </row>
    <row r="55" spans="1:18" x14ac:dyDescent="0.3">
      <c r="B55" s="629" t="str">
        <f>+$B$13</f>
        <v/>
      </c>
      <c r="C55" s="629"/>
      <c r="D55" s="629"/>
      <c r="E55" s="629"/>
      <c r="F55" s="629"/>
      <c r="G55" s="630"/>
      <c r="H55" s="630"/>
      <c r="I55" s="630"/>
      <c r="J55" s="630"/>
      <c r="K55" s="630"/>
      <c r="L55" s="630"/>
      <c r="M55" s="630"/>
      <c r="N55" s="630"/>
      <c r="O55" s="630"/>
      <c r="P55" s="630"/>
      <c r="Q55" s="630"/>
      <c r="R55" s="664" t="str">
        <f t="shared" si="8"/>
        <v/>
      </c>
    </row>
    <row r="56" spans="1:18" x14ac:dyDescent="0.3">
      <c r="B56" t="str">
        <f>+$B$14</f>
        <v/>
      </c>
      <c r="G56" s="198"/>
      <c r="H56" s="198"/>
      <c r="I56" s="198"/>
      <c r="J56" s="198"/>
      <c r="K56" s="198"/>
      <c r="L56" s="198"/>
      <c r="M56" s="198"/>
      <c r="N56" s="198"/>
      <c r="O56" s="198"/>
      <c r="P56" s="198"/>
      <c r="Q56" s="198"/>
      <c r="R56" s="663" t="str">
        <f t="shared" si="8"/>
        <v/>
      </c>
    </row>
    <row r="57" spans="1:18" x14ac:dyDescent="0.3">
      <c r="B57" s="629" t="str">
        <f>+$B$15</f>
        <v/>
      </c>
      <c r="C57" s="629"/>
      <c r="D57" s="629"/>
      <c r="E57" s="629"/>
      <c r="F57" s="629"/>
      <c r="G57" s="630"/>
      <c r="H57" s="630"/>
      <c r="I57" s="630"/>
      <c r="J57" s="630"/>
      <c r="K57" s="630"/>
      <c r="L57" s="630"/>
      <c r="M57" s="630"/>
      <c r="N57" s="630"/>
      <c r="O57" s="630"/>
      <c r="P57" s="630"/>
      <c r="Q57" s="630"/>
      <c r="R57" s="664" t="str">
        <f t="shared" si="8"/>
        <v/>
      </c>
    </row>
    <row r="58" spans="1:18" x14ac:dyDescent="0.3">
      <c r="B58" t="str">
        <f>+$B$16</f>
        <v/>
      </c>
      <c r="G58" s="198"/>
      <c r="H58" s="198"/>
      <c r="I58" s="198"/>
      <c r="J58" s="198"/>
      <c r="K58" s="198"/>
      <c r="L58" s="198"/>
      <c r="M58" s="198"/>
      <c r="N58" s="198"/>
      <c r="O58" s="198"/>
      <c r="P58" s="198"/>
      <c r="Q58" s="198"/>
      <c r="R58" s="663" t="str">
        <f t="shared" si="8"/>
        <v/>
      </c>
    </row>
    <row r="60" spans="1:18" ht="15.5" x14ac:dyDescent="0.35">
      <c r="A60" t="s">
        <v>431</v>
      </c>
      <c r="B60" s="218" t="s">
        <v>436</v>
      </c>
      <c r="C60" s="53"/>
      <c r="D60" s="53"/>
      <c r="E60" s="53"/>
      <c r="F60" s="53"/>
      <c r="G60" s="219">
        <v>2014</v>
      </c>
      <c r="H60" s="219">
        <f t="shared" ref="H60:Q60" si="9">+G60+1</f>
        <v>2015</v>
      </c>
      <c r="I60" s="219">
        <f t="shared" si="9"/>
        <v>2016</v>
      </c>
      <c r="J60" s="219">
        <f t="shared" si="9"/>
        <v>2017</v>
      </c>
      <c r="K60" s="219">
        <f t="shared" si="9"/>
        <v>2018</v>
      </c>
      <c r="L60" s="219">
        <f t="shared" si="9"/>
        <v>2019</v>
      </c>
      <c r="M60" s="219">
        <f t="shared" si="9"/>
        <v>2020</v>
      </c>
      <c r="N60" s="219">
        <f t="shared" si="9"/>
        <v>2021</v>
      </c>
      <c r="O60" s="219">
        <f t="shared" si="9"/>
        <v>2022</v>
      </c>
      <c r="P60" s="219">
        <f t="shared" si="9"/>
        <v>2023</v>
      </c>
      <c r="Q60" s="219">
        <f t="shared" si="9"/>
        <v>2024</v>
      </c>
      <c r="R60" s="55" t="str">
        <f>"CAGR "&amp;$G$4&amp;" - "&amp;$Q$4</f>
        <v>CAGR 2014 - 2024</v>
      </c>
    </row>
    <row r="61" spans="1:18" ht="3.75" customHeight="1" x14ac:dyDescent="0.35">
      <c r="B61" s="50"/>
      <c r="C61" s="50"/>
      <c r="D61" s="50"/>
      <c r="E61" s="50"/>
      <c r="F61" s="50"/>
      <c r="G61" s="220"/>
      <c r="H61" s="220"/>
      <c r="I61" s="220"/>
      <c r="J61" s="220"/>
      <c r="K61" s="220"/>
      <c r="L61" s="220"/>
      <c r="M61" s="220"/>
      <c r="N61" s="220"/>
      <c r="O61" s="220"/>
      <c r="P61" s="220"/>
      <c r="Q61" s="220"/>
      <c r="R61" s="57"/>
    </row>
    <row r="62" spans="1:18" x14ac:dyDescent="0.3">
      <c r="B62" t="str">
        <f ca="1">+$B$6</f>
        <v>D-WAVE QUANTUM INC.</v>
      </c>
      <c r="G62" s="198"/>
      <c r="H62" s="198"/>
      <c r="I62" s="198"/>
      <c r="J62" s="198"/>
      <c r="K62" s="198"/>
      <c r="L62" s="198"/>
      <c r="M62" s="198"/>
      <c r="N62" s="198"/>
      <c r="O62" s="198"/>
      <c r="P62" s="198"/>
      <c r="Q62" s="198"/>
      <c r="R62" s="663" t="str">
        <f t="shared" ref="R62:R72" si="10">IFERROR((Q62/G62)^(1/COUNT($G$4:$Q$4))-1,"")</f>
        <v/>
      </c>
    </row>
    <row r="63" spans="1:18" x14ac:dyDescent="0.3">
      <c r="B63" s="629" t="str">
        <f>+$B$7</f>
        <v>IONQ INC.</v>
      </c>
      <c r="C63" s="629"/>
      <c r="D63" s="629"/>
      <c r="E63" s="629"/>
      <c r="F63" s="629"/>
      <c r="G63" s="630"/>
      <c r="H63" s="630"/>
      <c r="I63" s="630"/>
      <c r="J63" s="630"/>
      <c r="K63" s="630"/>
      <c r="L63" s="630"/>
      <c r="M63" s="630"/>
      <c r="N63" s="630"/>
      <c r="O63" s="630"/>
      <c r="P63" s="630"/>
      <c r="Q63" s="630"/>
      <c r="R63" s="664" t="str">
        <f t="shared" si="10"/>
        <v/>
      </c>
    </row>
    <row r="64" spans="1:18" x14ac:dyDescent="0.3">
      <c r="B64" t="str">
        <f>+$B$8</f>
        <v>RIGETTI COMPUTING INC.</v>
      </c>
      <c r="G64" s="628"/>
      <c r="H64" s="198"/>
      <c r="I64" s="198"/>
      <c r="J64" s="198"/>
      <c r="K64" s="198"/>
      <c r="L64" s="198"/>
      <c r="M64" s="198"/>
      <c r="N64" s="198"/>
      <c r="O64" s="198"/>
      <c r="P64" s="198"/>
      <c r="Q64" s="198"/>
      <c r="R64" s="663" t="str">
        <f t="shared" si="10"/>
        <v/>
      </c>
    </row>
    <row r="65" spans="1:18" x14ac:dyDescent="0.3">
      <c r="B65" s="629" t="str">
        <f>+$B$9</f>
        <v>QUANTUM COMPUTING INC.</v>
      </c>
      <c r="C65" s="629"/>
      <c r="D65" s="629"/>
      <c r="E65" s="629"/>
      <c r="F65" s="629"/>
      <c r="G65" s="630"/>
      <c r="H65" s="630"/>
      <c r="I65" s="630"/>
      <c r="J65" s="630"/>
      <c r="K65" s="630"/>
      <c r="L65" s="630"/>
      <c r="M65" s="629"/>
      <c r="N65" s="629"/>
      <c r="O65" s="629"/>
      <c r="P65" s="629"/>
      <c r="Q65" s="629"/>
      <c r="R65" s="664" t="str">
        <f t="shared" si="10"/>
        <v/>
      </c>
    </row>
    <row r="66" spans="1:18" x14ac:dyDescent="0.3">
      <c r="B66" t="str">
        <f>+$B$10</f>
        <v/>
      </c>
      <c r="G66" s="198"/>
      <c r="H66" s="198"/>
      <c r="I66" s="198"/>
      <c r="J66" s="198"/>
      <c r="K66" s="198"/>
      <c r="L66" s="198"/>
      <c r="M66" s="198"/>
      <c r="N66" s="198"/>
      <c r="O66" s="198"/>
      <c r="P66" s="198"/>
      <c r="Q66" s="198"/>
      <c r="R66" s="663" t="str">
        <f t="shared" si="10"/>
        <v/>
      </c>
    </row>
    <row r="67" spans="1:18" x14ac:dyDescent="0.3">
      <c r="B67" s="629" t="str">
        <f>+$B$11</f>
        <v/>
      </c>
      <c r="C67" s="629"/>
      <c r="D67" s="629"/>
      <c r="E67" s="629"/>
      <c r="F67" s="629"/>
      <c r="G67" s="630"/>
      <c r="H67" s="630"/>
      <c r="I67" s="630"/>
      <c r="J67" s="630"/>
      <c r="K67" s="630"/>
      <c r="L67" s="630"/>
      <c r="M67" s="630"/>
      <c r="N67" s="630"/>
      <c r="O67" s="630"/>
      <c r="P67" s="630"/>
      <c r="Q67" s="630"/>
      <c r="R67" s="664" t="str">
        <f t="shared" si="10"/>
        <v/>
      </c>
    </row>
    <row r="68" spans="1:18" x14ac:dyDescent="0.3">
      <c r="B68" t="str">
        <f>+$B$12</f>
        <v/>
      </c>
      <c r="G68" s="198"/>
      <c r="H68" s="198"/>
      <c r="I68" s="198"/>
      <c r="J68" s="198"/>
      <c r="K68" s="198"/>
      <c r="L68" s="198"/>
      <c r="M68" s="198"/>
      <c r="N68" s="198"/>
      <c r="O68" s="198"/>
      <c r="P68" s="198"/>
      <c r="Q68" s="198"/>
      <c r="R68" s="663" t="str">
        <f t="shared" si="10"/>
        <v/>
      </c>
    </row>
    <row r="69" spans="1:18" x14ac:dyDescent="0.3">
      <c r="B69" s="629" t="str">
        <f>+$B$13</f>
        <v/>
      </c>
      <c r="C69" s="629"/>
      <c r="D69" s="629"/>
      <c r="E69" s="629"/>
      <c r="F69" s="629"/>
      <c r="G69" s="630"/>
      <c r="H69" s="630"/>
      <c r="I69" s="630"/>
      <c r="J69" s="630"/>
      <c r="K69" s="630"/>
      <c r="L69" s="630"/>
      <c r="M69" s="630"/>
      <c r="N69" s="630"/>
      <c r="O69" s="630"/>
      <c r="P69" s="630"/>
      <c r="Q69" s="630"/>
      <c r="R69" s="664" t="str">
        <f t="shared" si="10"/>
        <v/>
      </c>
    </row>
    <row r="70" spans="1:18" x14ac:dyDescent="0.3">
      <c r="B70" t="str">
        <f>+$B$14</f>
        <v/>
      </c>
      <c r="G70" s="198"/>
      <c r="H70" s="198"/>
      <c r="I70" s="198"/>
      <c r="J70" s="198"/>
      <c r="K70" s="198"/>
      <c r="L70" s="198"/>
      <c r="M70" s="198"/>
      <c r="N70" s="198"/>
      <c r="O70" s="198"/>
      <c r="P70" s="198"/>
      <c r="Q70" s="198"/>
      <c r="R70" s="663" t="str">
        <f t="shared" si="10"/>
        <v/>
      </c>
    </row>
    <row r="71" spans="1:18" x14ac:dyDescent="0.3">
      <c r="B71" s="629" t="str">
        <f>+$B$15</f>
        <v/>
      </c>
      <c r="C71" s="629"/>
      <c r="D71" s="629"/>
      <c r="E71" s="629"/>
      <c r="F71" s="629"/>
      <c r="G71" s="630"/>
      <c r="H71" s="630"/>
      <c r="I71" s="630"/>
      <c r="J71" s="630"/>
      <c r="K71" s="630"/>
      <c r="L71" s="630"/>
      <c r="M71" s="630"/>
      <c r="N71" s="630"/>
      <c r="O71" s="630"/>
      <c r="P71" s="630"/>
      <c r="Q71" s="630"/>
      <c r="R71" s="664" t="str">
        <f t="shared" si="10"/>
        <v/>
      </c>
    </row>
    <row r="72" spans="1:18" x14ac:dyDescent="0.3">
      <c r="B72" t="str">
        <f>+$B$16</f>
        <v/>
      </c>
      <c r="G72" s="198"/>
      <c r="H72" s="198"/>
      <c r="I72" s="198"/>
      <c r="J72" s="198"/>
      <c r="K72" s="198"/>
      <c r="L72" s="198"/>
      <c r="M72" s="198"/>
      <c r="N72" s="198"/>
      <c r="O72" s="198"/>
      <c r="P72" s="198"/>
      <c r="Q72" s="198"/>
      <c r="R72" s="663" t="str">
        <f t="shared" si="10"/>
        <v/>
      </c>
    </row>
    <row r="73" spans="1:18" x14ac:dyDescent="0.3">
      <c r="G73" s="198"/>
      <c r="H73" s="198"/>
      <c r="I73" s="198"/>
      <c r="J73" s="198"/>
      <c r="K73" s="198"/>
      <c r="L73" s="198"/>
      <c r="M73" s="198"/>
      <c r="N73" s="198"/>
      <c r="O73" s="198"/>
      <c r="P73" s="198"/>
      <c r="Q73" s="198"/>
    </row>
    <row r="74" spans="1:18" ht="15.5" x14ac:dyDescent="0.35">
      <c r="A74" t="s">
        <v>431</v>
      </c>
      <c r="B74" s="218" t="s">
        <v>437</v>
      </c>
      <c r="C74" s="53"/>
      <c r="D74" s="53"/>
      <c r="E74" s="53"/>
      <c r="F74" s="53"/>
      <c r="G74" s="219">
        <v>2014</v>
      </c>
      <c r="H74" s="219">
        <f t="shared" ref="H74" si="11">+G74+1</f>
        <v>2015</v>
      </c>
      <c r="I74" s="219">
        <f t="shared" ref="I74" si="12">+H74+1</f>
        <v>2016</v>
      </c>
      <c r="J74" s="219">
        <f t="shared" ref="J74" si="13">+I74+1</f>
        <v>2017</v>
      </c>
      <c r="K74" s="219">
        <f t="shared" ref="K74" si="14">+J74+1</f>
        <v>2018</v>
      </c>
      <c r="L74" s="219">
        <f t="shared" ref="L74" si="15">+K74+1</f>
        <v>2019</v>
      </c>
      <c r="M74" s="219">
        <f t="shared" ref="M74" si="16">+L74+1</f>
        <v>2020</v>
      </c>
      <c r="N74" s="219">
        <f t="shared" ref="N74" si="17">+M74+1</f>
        <v>2021</v>
      </c>
      <c r="O74" s="219">
        <f t="shared" ref="O74" si="18">+N74+1</f>
        <v>2022</v>
      </c>
      <c r="P74" s="219">
        <f t="shared" ref="P74" si="19">+O74+1</f>
        <v>2023</v>
      </c>
      <c r="Q74" s="219">
        <f t="shared" ref="Q74" si="20">+P74+1</f>
        <v>2024</v>
      </c>
      <c r="R74" s="55" t="str">
        <f>"CAGR "&amp;$G$4&amp;" - "&amp;$Q$4</f>
        <v>CAGR 2014 - 2024</v>
      </c>
    </row>
    <row r="75" spans="1:18" ht="4.4000000000000004" customHeight="1" x14ac:dyDescent="0.35">
      <c r="B75" s="50"/>
      <c r="C75" s="50"/>
      <c r="D75" s="50"/>
      <c r="E75" s="50"/>
      <c r="F75" s="50"/>
      <c r="G75" s="220"/>
      <c r="H75" s="220"/>
      <c r="I75" s="220"/>
      <c r="J75" s="220"/>
      <c r="K75" s="220"/>
      <c r="L75" s="220"/>
      <c r="M75" s="220"/>
      <c r="N75" s="220"/>
      <c r="O75" s="220"/>
      <c r="P75" s="220"/>
      <c r="Q75" s="220"/>
      <c r="R75" s="57"/>
    </row>
    <row r="76" spans="1:18" x14ac:dyDescent="0.3">
      <c r="B76" t="str">
        <f ca="1">+$B$6</f>
        <v>D-WAVE QUANTUM INC.</v>
      </c>
      <c r="G76" s="10">
        <f>+G6+G20</f>
        <v>0</v>
      </c>
      <c r="H76" s="10">
        <f t="shared" ref="H76:Q76" si="21">+H6+H20</f>
        <v>0</v>
      </c>
      <c r="I76" s="10">
        <f t="shared" si="21"/>
        <v>0</v>
      </c>
      <c r="J76" s="10">
        <f t="shared" si="21"/>
        <v>0</v>
      </c>
      <c r="K76" s="10">
        <f t="shared" si="21"/>
        <v>0</v>
      </c>
      <c r="L76" s="10">
        <f t="shared" si="21"/>
        <v>0</v>
      </c>
      <c r="M76" s="10">
        <f t="shared" si="21"/>
        <v>0</v>
      </c>
      <c r="N76" s="10">
        <f t="shared" si="21"/>
        <v>0</v>
      </c>
      <c r="O76" s="10">
        <f t="shared" si="21"/>
        <v>0</v>
      </c>
      <c r="P76" s="10">
        <f t="shared" si="21"/>
        <v>0</v>
      </c>
      <c r="Q76" s="10">
        <f t="shared" si="21"/>
        <v>0</v>
      </c>
      <c r="R76" s="663" t="str">
        <f t="shared" ref="R76:R86" si="22">IFERROR((Q76/G76)^(1/COUNT($G$4:$Q$4))-1,"")</f>
        <v/>
      </c>
    </row>
    <row r="77" spans="1:18" x14ac:dyDescent="0.3">
      <c r="B77" s="629" t="str">
        <f>+$B$7</f>
        <v>IONQ INC.</v>
      </c>
      <c r="C77" s="629"/>
      <c r="D77" s="629"/>
      <c r="E77" s="629"/>
      <c r="F77" s="629"/>
      <c r="G77" s="661">
        <f t="shared" ref="G77:Q77" si="23">+G7+G21</f>
        <v>0</v>
      </c>
      <c r="H77" s="661">
        <f t="shared" si="23"/>
        <v>0</v>
      </c>
      <c r="I77" s="661">
        <f t="shared" si="23"/>
        <v>0</v>
      </c>
      <c r="J77" s="661">
        <f t="shared" si="23"/>
        <v>0</v>
      </c>
      <c r="K77" s="661">
        <f t="shared" si="23"/>
        <v>0</v>
      </c>
      <c r="L77" s="661">
        <f t="shared" si="23"/>
        <v>0</v>
      </c>
      <c r="M77" s="661">
        <f t="shared" si="23"/>
        <v>0</v>
      </c>
      <c r="N77" s="661">
        <f t="shared" si="23"/>
        <v>0</v>
      </c>
      <c r="O77" s="661">
        <f t="shared" si="23"/>
        <v>0</v>
      </c>
      <c r="P77" s="661">
        <f t="shared" si="23"/>
        <v>0</v>
      </c>
      <c r="Q77" s="661">
        <f t="shared" si="23"/>
        <v>0</v>
      </c>
      <c r="R77" s="664" t="str">
        <f t="shared" si="22"/>
        <v/>
      </c>
    </row>
    <row r="78" spans="1:18" x14ac:dyDescent="0.3">
      <c r="B78" t="str">
        <f>+$B$8</f>
        <v>RIGETTI COMPUTING INC.</v>
      </c>
      <c r="G78" s="724">
        <f t="shared" ref="G78:Q78" si="24">+G8+G22</f>
        <v>0</v>
      </c>
      <c r="H78" s="10">
        <f t="shared" si="24"/>
        <v>0</v>
      </c>
      <c r="I78" s="10">
        <f t="shared" si="24"/>
        <v>0</v>
      </c>
      <c r="J78" s="10">
        <f t="shared" si="24"/>
        <v>0</v>
      </c>
      <c r="K78" s="10">
        <f t="shared" si="24"/>
        <v>0</v>
      </c>
      <c r="L78" s="10">
        <f t="shared" si="24"/>
        <v>0</v>
      </c>
      <c r="M78" s="10">
        <f t="shared" si="24"/>
        <v>0</v>
      </c>
      <c r="N78" s="10">
        <f t="shared" si="24"/>
        <v>0</v>
      </c>
      <c r="O78" s="10">
        <f t="shared" si="24"/>
        <v>0</v>
      </c>
      <c r="P78" s="10">
        <f t="shared" si="24"/>
        <v>0</v>
      </c>
      <c r="Q78" s="10">
        <f t="shared" si="24"/>
        <v>0</v>
      </c>
      <c r="R78" s="663" t="str">
        <f t="shared" si="22"/>
        <v/>
      </c>
    </row>
    <row r="79" spans="1:18" x14ac:dyDescent="0.3">
      <c r="B79" s="629" t="str">
        <f>+$B$9</f>
        <v>QUANTUM COMPUTING INC.</v>
      </c>
      <c r="C79" s="629"/>
      <c r="D79" s="629"/>
      <c r="E79" s="629"/>
      <c r="F79" s="629"/>
      <c r="G79" s="661">
        <f t="shared" ref="G79:Q79" si="25">+G9+G23</f>
        <v>0</v>
      </c>
      <c r="H79" s="661">
        <f t="shared" si="25"/>
        <v>0</v>
      </c>
      <c r="I79" s="661">
        <f t="shared" si="25"/>
        <v>0</v>
      </c>
      <c r="J79" s="661">
        <f t="shared" si="25"/>
        <v>0</v>
      </c>
      <c r="K79" s="661">
        <f t="shared" si="25"/>
        <v>0</v>
      </c>
      <c r="L79" s="661">
        <f t="shared" si="25"/>
        <v>0</v>
      </c>
      <c r="M79" s="661">
        <f t="shared" si="25"/>
        <v>0</v>
      </c>
      <c r="N79" s="661">
        <f t="shared" si="25"/>
        <v>0</v>
      </c>
      <c r="O79" s="661">
        <f t="shared" si="25"/>
        <v>0</v>
      </c>
      <c r="P79" s="661">
        <f t="shared" si="25"/>
        <v>0</v>
      </c>
      <c r="Q79" s="661">
        <f t="shared" si="25"/>
        <v>0</v>
      </c>
      <c r="R79" s="664" t="str">
        <f t="shared" si="22"/>
        <v/>
      </c>
    </row>
    <row r="80" spans="1:18" x14ac:dyDescent="0.3">
      <c r="B80" t="str">
        <f>+$B$10</f>
        <v/>
      </c>
      <c r="G80" s="10">
        <f t="shared" ref="G80:Q80" si="26">+G10+G24</f>
        <v>0</v>
      </c>
      <c r="H80" s="10">
        <f t="shared" si="26"/>
        <v>0</v>
      </c>
      <c r="I80" s="10">
        <f t="shared" si="26"/>
        <v>0</v>
      </c>
      <c r="J80" s="10">
        <f t="shared" si="26"/>
        <v>0</v>
      </c>
      <c r="K80" s="10">
        <f t="shared" si="26"/>
        <v>0</v>
      </c>
      <c r="L80" s="10">
        <f t="shared" si="26"/>
        <v>0</v>
      </c>
      <c r="M80" s="10">
        <f t="shared" si="26"/>
        <v>0</v>
      </c>
      <c r="N80" s="10">
        <f t="shared" si="26"/>
        <v>0</v>
      </c>
      <c r="O80" s="10">
        <f t="shared" si="26"/>
        <v>0</v>
      </c>
      <c r="P80" s="10">
        <f t="shared" si="26"/>
        <v>0</v>
      </c>
      <c r="Q80" s="10">
        <f t="shared" si="26"/>
        <v>0</v>
      </c>
      <c r="R80" s="663" t="str">
        <f t="shared" si="22"/>
        <v/>
      </c>
    </row>
    <row r="81" spans="2:18" x14ac:dyDescent="0.3">
      <c r="B81" s="629" t="str">
        <f>+$B$11</f>
        <v/>
      </c>
      <c r="C81" s="629"/>
      <c r="D81" s="629"/>
      <c r="E81" s="629"/>
      <c r="F81" s="629"/>
      <c r="G81" s="661">
        <f t="shared" ref="G81:Q81" si="27">+G11+G25</f>
        <v>0</v>
      </c>
      <c r="H81" s="661">
        <f t="shared" si="27"/>
        <v>0</v>
      </c>
      <c r="I81" s="661">
        <f t="shared" si="27"/>
        <v>0</v>
      </c>
      <c r="J81" s="661">
        <f t="shared" si="27"/>
        <v>0</v>
      </c>
      <c r="K81" s="661">
        <f t="shared" si="27"/>
        <v>0</v>
      </c>
      <c r="L81" s="661">
        <f t="shared" si="27"/>
        <v>0</v>
      </c>
      <c r="M81" s="661">
        <f t="shared" si="27"/>
        <v>0</v>
      </c>
      <c r="N81" s="661">
        <f t="shared" si="27"/>
        <v>0</v>
      </c>
      <c r="O81" s="661">
        <f t="shared" si="27"/>
        <v>0</v>
      </c>
      <c r="P81" s="661">
        <f t="shared" si="27"/>
        <v>0</v>
      </c>
      <c r="Q81" s="661">
        <f t="shared" si="27"/>
        <v>0</v>
      </c>
      <c r="R81" s="664" t="str">
        <f t="shared" si="22"/>
        <v/>
      </c>
    </row>
    <row r="82" spans="2:18" x14ac:dyDescent="0.3">
      <c r="B82" t="str">
        <f>+$B$12</f>
        <v/>
      </c>
      <c r="G82" s="10">
        <f t="shared" ref="G82:Q82" si="28">+G12+G26</f>
        <v>0</v>
      </c>
      <c r="H82" s="10">
        <f t="shared" si="28"/>
        <v>0</v>
      </c>
      <c r="I82" s="10">
        <f t="shared" si="28"/>
        <v>0</v>
      </c>
      <c r="J82" s="10">
        <f t="shared" si="28"/>
        <v>0</v>
      </c>
      <c r="K82" s="10">
        <f t="shared" si="28"/>
        <v>0</v>
      </c>
      <c r="L82" s="10">
        <f t="shared" si="28"/>
        <v>0</v>
      </c>
      <c r="M82" s="10">
        <f t="shared" si="28"/>
        <v>0</v>
      </c>
      <c r="N82" s="10">
        <f t="shared" si="28"/>
        <v>0</v>
      </c>
      <c r="O82" s="10">
        <f t="shared" si="28"/>
        <v>0</v>
      </c>
      <c r="P82" s="10">
        <f t="shared" si="28"/>
        <v>0</v>
      </c>
      <c r="Q82" s="10">
        <f t="shared" si="28"/>
        <v>0</v>
      </c>
      <c r="R82" s="663" t="str">
        <f t="shared" si="22"/>
        <v/>
      </c>
    </row>
    <row r="83" spans="2:18" x14ac:dyDescent="0.3">
      <c r="B83" s="629" t="str">
        <f>+$B$13</f>
        <v/>
      </c>
      <c r="C83" s="629"/>
      <c r="D83" s="629"/>
      <c r="E83" s="629"/>
      <c r="F83" s="629"/>
      <c r="G83" s="661">
        <f t="shared" ref="G83:Q83" si="29">+G13+G27</f>
        <v>0</v>
      </c>
      <c r="H83" s="661">
        <f t="shared" si="29"/>
        <v>0</v>
      </c>
      <c r="I83" s="661">
        <f t="shared" si="29"/>
        <v>0</v>
      </c>
      <c r="J83" s="661">
        <f t="shared" si="29"/>
        <v>0</v>
      </c>
      <c r="K83" s="661">
        <f t="shared" si="29"/>
        <v>0</v>
      </c>
      <c r="L83" s="661">
        <f t="shared" si="29"/>
        <v>0</v>
      </c>
      <c r="M83" s="661">
        <f t="shared" si="29"/>
        <v>0</v>
      </c>
      <c r="N83" s="661">
        <f t="shared" si="29"/>
        <v>0</v>
      </c>
      <c r="O83" s="661">
        <f t="shared" si="29"/>
        <v>0</v>
      </c>
      <c r="P83" s="661">
        <f t="shared" si="29"/>
        <v>0</v>
      </c>
      <c r="Q83" s="661">
        <f t="shared" si="29"/>
        <v>0</v>
      </c>
      <c r="R83" s="664" t="str">
        <f t="shared" si="22"/>
        <v/>
      </c>
    </row>
    <row r="84" spans="2:18" x14ac:dyDescent="0.3">
      <c r="B84" t="str">
        <f>+$B$14</f>
        <v/>
      </c>
      <c r="G84" s="10">
        <f t="shared" ref="G84:Q84" si="30">+G14+G28</f>
        <v>0</v>
      </c>
      <c r="H84" s="10">
        <f t="shared" si="30"/>
        <v>0</v>
      </c>
      <c r="I84" s="10">
        <f t="shared" si="30"/>
        <v>0</v>
      </c>
      <c r="J84" s="10">
        <f t="shared" si="30"/>
        <v>0</v>
      </c>
      <c r="K84" s="10">
        <f t="shared" si="30"/>
        <v>0</v>
      </c>
      <c r="L84" s="10">
        <f t="shared" si="30"/>
        <v>0</v>
      </c>
      <c r="M84" s="10">
        <f t="shared" si="30"/>
        <v>0</v>
      </c>
      <c r="N84" s="10">
        <f t="shared" si="30"/>
        <v>0</v>
      </c>
      <c r="O84" s="10">
        <f t="shared" si="30"/>
        <v>0</v>
      </c>
      <c r="P84" s="10">
        <f t="shared" si="30"/>
        <v>0</v>
      </c>
      <c r="Q84" s="10">
        <f t="shared" si="30"/>
        <v>0</v>
      </c>
      <c r="R84" s="663" t="str">
        <f t="shared" si="22"/>
        <v/>
      </c>
    </row>
    <row r="85" spans="2:18" x14ac:dyDescent="0.3">
      <c r="B85" s="629" t="str">
        <f>+$B$15</f>
        <v/>
      </c>
      <c r="C85" s="629"/>
      <c r="D85" s="629"/>
      <c r="E85" s="629"/>
      <c r="F85" s="629"/>
      <c r="G85" s="661">
        <f t="shared" ref="G85:Q85" si="31">+G15+G29</f>
        <v>0</v>
      </c>
      <c r="H85" s="661">
        <f t="shared" si="31"/>
        <v>0</v>
      </c>
      <c r="I85" s="661">
        <f t="shared" si="31"/>
        <v>0</v>
      </c>
      <c r="J85" s="661">
        <f t="shared" si="31"/>
        <v>0</v>
      </c>
      <c r="K85" s="661">
        <f t="shared" si="31"/>
        <v>0</v>
      </c>
      <c r="L85" s="661">
        <f t="shared" si="31"/>
        <v>0</v>
      </c>
      <c r="M85" s="661">
        <f t="shared" si="31"/>
        <v>0</v>
      </c>
      <c r="N85" s="661">
        <f t="shared" si="31"/>
        <v>0</v>
      </c>
      <c r="O85" s="661">
        <f t="shared" si="31"/>
        <v>0</v>
      </c>
      <c r="P85" s="661">
        <f t="shared" si="31"/>
        <v>0</v>
      </c>
      <c r="Q85" s="661">
        <f t="shared" si="31"/>
        <v>0</v>
      </c>
      <c r="R85" s="664" t="str">
        <f t="shared" si="22"/>
        <v/>
      </c>
    </row>
    <row r="86" spans="2:18" x14ac:dyDescent="0.3">
      <c r="B86" t="str">
        <f>+$B$16</f>
        <v/>
      </c>
      <c r="G86" s="10">
        <f t="shared" ref="G86:Q86" si="32">+G16+G30</f>
        <v>0</v>
      </c>
      <c r="H86" s="10">
        <f t="shared" si="32"/>
        <v>0</v>
      </c>
      <c r="I86" s="10">
        <f t="shared" si="32"/>
        <v>0</v>
      </c>
      <c r="J86" s="10">
        <f t="shared" si="32"/>
        <v>0</v>
      </c>
      <c r="K86" s="10">
        <f t="shared" si="32"/>
        <v>0</v>
      </c>
      <c r="L86" s="10">
        <f t="shared" si="32"/>
        <v>0</v>
      </c>
      <c r="M86" s="10">
        <f t="shared" si="32"/>
        <v>0</v>
      </c>
      <c r="N86" s="10">
        <f t="shared" si="32"/>
        <v>0</v>
      </c>
      <c r="O86" s="10">
        <f t="shared" si="32"/>
        <v>0</v>
      </c>
      <c r="P86" s="10">
        <f t="shared" si="32"/>
        <v>0</v>
      </c>
      <c r="Q86" s="10">
        <f t="shared" si="32"/>
        <v>0</v>
      </c>
      <c r="R86" s="663" t="str">
        <f t="shared" si="22"/>
        <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8" tint="-0.499984740745262"/>
  </sheetPr>
  <dimension ref="A2:AW1772"/>
  <sheetViews>
    <sheetView showGridLines="0" zoomScaleNormal="85" workbookViewId="0">
      <selection activeCell="AB29" sqref="AB29"/>
    </sheetView>
  </sheetViews>
  <sheetFormatPr defaultColWidth="9" defaultRowHeight="15" customHeight="1" x14ac:dyDescent="0.35"/>
  <cols>
    <col min="1" max="1" width="2.08203125" style="127" customWidth="1"/>
    <col min="2" max="2" width="45" style="127" customWidth="1"/>
    <col min="3" max="3" width="14" style="127" customWidth="1"/>
    <col min="4" max="4" width="3.5" style="127" customWidth="1"/>
    <col min="5" max="7" width="13.08203125" style="127" customWidth="1"/>
    <col min="8" max="17" width="12.58203125" style="127" customWidth="1"/>
    <col min="18" max="19" width="11.58203125" style="127" customWidth="1"/>
    <col min="20" max="20" width="11.08203125" style="127" customWidth="1"/>
    <col min="21" max="21" width="11.5" style="127" customWidth="1"/>
    <col min="22" max="22" width="13" style="127" customWidth="1"/>
    <col min="23" max="23" width="12.08203125" style="127" customWidth="1"/>
    <col min="24" max="24" width="12.58203125" style="127" customWidth="1"/>
    <col min="25" max="25" width="12" style="127" customWidth="1"/>
    <col min="26" max="26" width="12.58203125" style="127" customWidth="1"/>
    <col min="27" max="27" width="12.58203125" style="127" bestFit="1" customWidth="1"/>
    <col min="28" max="28" width="16.5" style="127" customWidth="1"/>
    <col min="29" max="29" width="11.08203125" style="127" customWidth="1"/>
    <col min="30" max="30" width="10.58203125" style="127" customWidth="1"/>
    <col min="31" max="31" width="9.83203125" style="127" customWidth="1"/>
    <col min="32" max="32" width="14.83203125" style="127" bestFit="1" customWidth="1"/>
    <col min="33" max="33" width="20.08203125" style="127" bestFit="1" customWidth="1"/>
    <col min="34" max="34" width="17.08203125" style="127" bestFit="1" customWidth="1"/>
    <col min="35" max="35" width="15" style="127" customWidth="1"/>
    <col min="36" max="37" width="11.58203125" style="127" customWidth="1"/>
    <col min="38" max="38" width="12.08203125" style="127" customWidth="1"/>
    <col min="39" max="39" width="11.58203125" style="127" customWidth="1"/>
    <col min="40" max="40" width="11.5" style="127" customWidth="1"/>
    <col min="41" max="41" width="12.08203125" style="127" customWidth="1"/>
    <col min="42" max="42" width="11.08203125" style="127" customWidth="1"/>
    <col min="43" max="43" width="13.08203125" style="127" customWidth="1"/>
    <col min="44" max="44" width="9" style="127"/>
    <col min="45" max="45" width="27.58203125" style="127" customWidth="1"/>
    <col min="46" max="16384" width="9" style="127"/>
  </cols>
  <sheetData>
    <row r="2" spans="1:46" s="41" customFormat="1" ht="20.149999999999999" customHeight="1" x14ac:dyDescent="0.4">
      <c r="B2" s="40" t="s">
        <v>438</v>
      </c>
    </row>
    <row r="4" spans="1:46" ht="15.5" x14ac:dyDescent="0.35">
      <c r="A4" s="127" t="s">
        <v>431</v>
      </c>
      <c r="B4" s="49" t="s">
        <v>439</v>
      </c>
      <c r="C4" s="53"/>
      <c r="D4" s="53"/>
      <c r="E4" s="53"/>
      <c r="F4" s="53"/>
      <c r="G4" s="53"/>
      <c r="H4" s="53"/>
      <c r="I4" s="53"/>
      <c r="J4" s="53"/>
      <c r="K4" s="53"/>
      <c r="L4" s="53"/>
      <c r="M4" s="53"/>
      <c r="N4" s="53"/>
      <c r="O4" s="53"/>
      <c r="P4" s="53"/>
      <c r="Q4" s="53"/>
      <c r="R4" s="127" t="e" vm="1">
        <v>#VALUE!</v>
      </c>
      <c r="S4" s="374"/>
      <c r="T4" s="128"/>
      <c r="U4" s="128"/>
    </row>
    <row r="5" spans="1:46" ht="4.4000000000000004" customHeight="1" x14ac:dyDescent="0.35">
      <c r="B5" s="129"/>
      <c r="C5" s="130"/>
      <c r="D5" s="130"/>
      <c r="E5" s="130"/>
      <c r="F5" s="130"/>
      <c r="G5" s="130"/>
      <c r="H5" s="130"/>
      <c r="I5" s="130"/>
      <c r="J5" s="130"/>
      <c r="K5" s="130"/>
      <c r="L5" s="130"/>
      <c r="M5" s="130"/>
      <c r="N5" s="130"/>
      <c r="O5" s="130"/>
      <c r="P5" s="130"/>
      <c r="Q5" s="130"/>
      <c r="S5" s="128"/>
      <c r="T5" s="128"/>
      <c r="U5" s="128"/>
    </row>
    <row r="6" spans="1:46" ht="15.5" x14ac:dyDescent="0.35">
      <c r="B6" s="131" t="s">
        <v>440</v>
      </c>
      <c r="C6" s="132"/>
      <c r="D6" s="132"/>
      <c r="E6" s="131" t="s">
        <v>441</v>
      </c>
      <c r="F6" s="132"/>
      <c r="G6" s="132"/>
      <c r="H6" s="131" t="s">
        <v>442</v>
      </c>
      <c r="J6" s="132"/>
      <c r="K6" s="131" t="s">
        <v>443</v>
      </c>
      <c r="L6" s="132"/>
      <c r="P6" s="132"/>
      <c r="Q6" s="132"/>
      <c r="X6" s="127" t="s">
        <v>22</v>
      </c>
      <c r="Y6" s="127" t="s">
        <v>444</v>
      </c>
      <c r="Z6" s="127" t="s">
        <v>445</v>
      </c>
      <c r="AA6" s="127" t="s">
        <v>446</v>
      </c>
      <c r="AB6" s="127" t="s">
        <v>447</v>
      </c>
      <c r="AC6" s="127" t="s">
        <v>301</v>
      </c>
      <c r="AD6" s="127" t="s">
        <v>448</v>
      </c>
      <c r="AE6" s="127" t="s">
        <v>292</v>
      </c>
      <c r="AF6" s="127" t="s">
        <v>449</v>
      </c>
      <c r="AG6" s="127" t="s">
        <v>297</v>
      </c>
      <c r="AH6" s="127" t="s">
        <v>294</v>
      </c>
      <c r="AI6" s="127" t="s">
        <v>290</v>
      </c>
    </row>
    <row r="7" spans="1:46" ht="15.5" x14ac:dyDescent="0.35">
      <c r="B7" s="132" t="s">
        <v>212</v>
      </c>
      <c r="C7" s="580">
        <v>2</v>
      </c>
      <c r="D7" s="132"/>
      <c r="E7" s="127" t="s">
        <v>212</v>
      </c>
      <c r="F7" s="584">
        <v>-0.02</v>
      </c>
      <c r="H7" s="127" t="s">
        <v>212</v>
      </c>
      <c r="K7" s="127" t="s">
        <v>212</v>
      </c>
      <c r="L7" s="584">
        <v>0.02</v>
      </c>
      <c r="P7" s="132"/>
      <c r="W7" s="127">
        <v>2022</v>
      </c>
      <c r="X7" s="167">
        <f>+E191</f>
        <v>22.096</v>
      </c>
      <c r="Y7" s="167">
        <f>+E243</f>
        <v>5.0640000000000001</v>
      </c>
      <c r="Z7" s="167">
        <f ca="1">+H215</f>
        <v>0</v>
      </c>
      <c r="AA7" s="167">
        <f>+E256</f>
        <v>40</v>
      </c>
      <c r="AB7" s="167">
        <f>+E181</f>
        <v>8</v>
      </c>
      <c r="AC7" s="206">
        <f>+E241</f>
        <v>44.67</v>
      </c>
      <c r="AD7" s="167">
        <f>+E86</f>
        <v>7.0650000000000004</v>
      </c>
      <c r="AH7" s="167"/>
      <c r="AS7" s="127" t="s">
        <v>450</v>
      </c>
      <c r="AT7" s="325"/>
    </row>
    <row r="8" spans="1:46" ht="15.5" x14ac:dyDescent="0.35">
      <c r="B8" s="132" t="s">
        <v>451</v>
      </c>
      <c r="C8" s="580">
        <v>2</v>
      </c>
      <c r="D8" s="132"/>
      <c r="E8" s="127" t="s">
        <v>451</v>
      </c>
      <c r="F8" s="584">
        <v>-0.01</v>
      </c>
      <c r="H8" s="127" t="s">
        <v>451</v>
      </c>
      <c r="K8" s="127" t="s">
        <v>451</v>
      </c>
      <c r="L8" s="584">
        <v>0.01</v>
      </c>
      <c r="P8" s="132"/>
      <c r="W8" s="127">
        <f t="shared" ref="W8:W11" si="0">+W7+1</f>
        <v>2023</v>
      </c>
      <c r="X8" s="167">
        <f>+F191</f>
        <v>-56.784999999999997</v>
      </c>
      <c r="Y8" s="167">
        <f>+F243</f>
        <v>-28.344000000000008</v>
      </c>
      <c r="Z8" s="167">
        <f ca="1">+I215</f>
        <v>0</v>
      </c>
      <c r="AA8" s="167">
        <f>+F256</f>
        <v>63.676000000000002</v>
      </c>
      <c r="AB8" s="167">
        <f>+F181</f>
        <v>-77.268000000000001</v>
      </c>
      <c r="AC8" s="206">
        <f>+F241</f>
        <v>33.887999999999998</v>
      </c>
      <c r="AD8" s="167">
        <f>+F86</f>
        <v>41.307000000000002</v>
      </c>
      <c r="AS8" s="127" t="s">
        <v>452</v>
      </c>
      <c r="AT8" s="326"/>
    </row>
    <row r="9" spans="1:46" ht="15.5" x14ac:dyDescent="0.35">
      <c r="B9" s="132" t="s">
        <v>453</v>
      </c>
      <c r="C9" s="580">
        <v>2</v>
      </c>
      <c r="D9" s="132"/>
      <c r="E9" s="132" t="s">
        <v>453</v>
      </c>
      <c r="F9" s="582">
        <f ca="1">IFERROR(+I9+0.5%,"")</f>
        <v>7.8104696557556946E-2</v>
      </c>
      <c r="H9" s="132" t="s">
        <v>453</v>
      </c>
      <c r="I9" s="583">
        <f ca="1">WACC!G25</f>
        <v>7.3104696557556942E-2</v>
      </c>
      <c r="J9" s="132"/>
      <c r="K9" s="132" t="s">
        <v>453</v>
      </c>
      <c r="L9" s="585">
        <f ca="1">IFERROR(I9-0.5%,"")</f>
        <v>6.8104696557556937E-2</v>
      </c>
      <c r="M9" s="132"/>
      <c r="P9" s="132"/>
      <c r="Q9" s="132"/>
      <c r="W9" s="127">
        <f t="shared" si="0"/>
        <v>2024</v>
      </c>
      <c r="X9" s="167">
        <f>+G191</f>
        <v>-36.725999999999999</v>
      </c>
      <c r="Y9" s="167">
        <f>+G243</f>
        <v>-77.448999999999998</v>
      </c>
      <c r="Z9" s="167">
        <f ca="1">+J215</f>
        <v>0</v>
      </c>
      <c r="AA9" s="167">
        <f>+G256</f>
        <v>214.191</v>
      </c>
      <c r="AB9" s="167">
        <f>+G181</f>
        <v>-72.786000000000001</v>
      </c>
      <c r="AC9" s="206">
        <f>+G241</f>
        <v>30.37</v>
      </c>
      <c r="AD9" s="167">
        <f>+G86</f>
        <v>177.98</v>
      </c>
      <c r="AE9" s="206">
        <f>Inputs!Q48</f>
        <v>199.85300000000001</v>
      </c>
      <c r="AF9" s="206">
        <f>+Inputs!Q60</f>
        <v>137.20699999999999</v>
      </c>
      <c r="AG9" s="206">
        <f>+AE9-AF9</f>
        <v>62.646000000000015</v>
      </c>
      <c r="AH9" s="206">
        <f>+Inputs!Q54</f>
        <v>30.145</v>
      </c>
      <c r="AI9" s="206">
        <f>+Inputs!Q38</f>
        <v>185.04</v>
      </c>
      <c r="AS9" s="127" t="s">
        <v>454</v>
      </c>
      <c r="AT9" s="326"/>
    </row>
    <row r="10" spans="1:46" ht="15.5" x14ac:dyDescent="0.35">
      <c r="B10" s="132" t="s">
        <v>455</v>
      </c>
      <c r="C10" s="580">
        <v>2</v>
      </c>
      <c r="D10" s="132"/>
      <c r="E10" s="132" t="s">
        <v>455</v>
      </c>
      <c r="F10" s="582">
        <f>+I10-0.5%</f>
        <v>1.4999999999999999E-2</v>
      </c>
      <c r="H10" s="132" t="s">
        <v>455</v>
      </c>
      <c r="I10" s="584">
        <v>0.02</v>
      </c>
      <c r="J10" s="132"/>
      <c r="K10" s="132" t="s">
        <v>455</v>
      </c>
      <c r="L10" s="582">
        <f>+I10+0.5%</f>
        <v>2.5000000000000001E-2</v>
      </c>
      <c r="M10" s="132"/>
      <c r="P10" s="132"/>
      <c r="W10" s="127">
        <f t="shared" si="0"/>
        <v>2025</v>
      </c>
      <c r="X10" s="167">
        <f ca="1">+H191</f>
        <v>-70.287950323457522</v>
      </c>
      <c r="Y10" s="167">
        <f>+H243</f>
        <v>-19.642916990124206</v>
      </c>
      <c r="Z10" s="167">
        <f ca="1">+K215</f>
        <v>0</v>
      </c>
      <c r="AA10" s="167">
        <f>+H256</f>
        <v>0</v>
      </c>
      <c r="AB10" s="167">
        <f ca="1">+H181</f>
        <v>-82.731013333333337</v>
      </c>
      <c r="AC10" s="206">
        <f>+H241</f>
        <v>77.448999999999998</v>
      </c>
      <c r="AD10" s="167">
        <f>+H86</f>
        <v>190.31468300987578</v>
      </c>
      <c r="AE10" s="206">
        <f>Inputs!Q48+DCF!H86+DCF!H88+DCF!H91+DCF!H94+DCF!H97+DCF!H103-DCF!G86-DCF!G88-DCF!G91-DCF!G94-DCF!G97-DCF!G103</f>
        <v>222.89525680354757</v>
      </c>
      <c r="AF10" s="206">
        <f>+Inputs!Q60+(DCF!H108+DCF!H111+DCF!H114+DCF!H116*DCF!G108*DCF!G111*DCF!G114*DCF!G116)</f>
        <v>9824.0893738660361</v>
      </c>
      <c r="AG10" s="206">
        <f>+AE10-AF10</f>
        <v>-9601.1941170624887</v>
      </c>
      <c r="AH10" s="167">
        <f>+AH9+H108+H111-G108-G111</f>
        <v>30.971028886186744</v>
      </c>
      <c r="AI10" s="167">
        <f>+H86+H88+H91+H94</f>
        <v>201.05646460833933</v>
      </c>
      <c r="AS10" s="127" t="s">
        <v>456</v>
      </c>
      <c r="AT10" s="326"/>
    </row>
    <row r="11" spans="1:46" ht="10.4" customHeight="1" x14ac:dyDescent="0.35">
      <c r="B11" s="132"/>
      <c r="C11" s="132"/>
      <c r="D11" s="132"/>
      <c r="E11" s="132"/>
      <c r="G11" s="132"/>
      <c r="K11" s="132"/>
      <c r="M11" s="132"/>
      <c r="P11" s="132"/>
      <c r="W11" s="127">
        <f t="shared" si="0"/>
        <v>2026</v>
      </c>
      <c r="X11" s="167">
        <f ca="1">+I191</f>
        <v>-83.004918270873262</v>
      </c>
      <c r="Y11" s="167">
        <f>+I243</f>
        <v>-110.63418683630465</v>
      </c>
      <c r="Z11" s="167">
        <f ca="1">+L215</f>
        <v>0</v>
      </c>
      <c r="AA11" s="167">
        <f>+I256</f>
        <v>0</v>
      </c>
      <c r="AB11" s="167">
        <f ca="1">+I181</f>
        <v>-104.75181244444444</v>
      </c>
      <c r="AC11" s="206">
        <f>+I241</f>
        <v>19.642916990124206</v>
      </c>
      <c r="AD11" s="167">
        <f>+I86</f>
        <v>131.11334950690446</v>
      </c>
      <c r="AE11" s="206">
        <f>AE10+DCF!I86+DCF!I88+DCF!I91+DCF!I94+DCF!I97+DCF!I103-DCF!H86-DCF!H88-DCF!H91-DCF!H94-DCF!H97-DCF!H103</f>
        <v>174.16843221619251</v>
      </c>
      <c r="AF11" s="206">
        <f>AF10+(DCF!I108+DCF!I111+DCF!I114+DCF!I116*DCF!H108*DCF!H111*DCF!H114*DCF!H116)</f>
        <v>1462259.769239058</v>
      </c>
      <c r="AG11" s="206">
        <f>+AE11-AF11</f>
        <v>-1462085.6008068419</v>
      </c>
      <c r="AH11" s="167">
        <f>+AH10+I108+I111-H108-H111</f>
        <v>39.200798423043963</v>
      </c>
      <c r="AI11" s="167">
        <f>+I86+I88+I91+I94</f>
        <v>145.72851318167119</v>
      </c>
      <c r="AJ11" s="167"/>
    </row>
    <row r="12" spans="1:46" ht="13.5" customHeight="1" x14ac:dyDescent="0.35">
      <c r="B12" s="132" t="s">
        <v>453</v>
      </c>
      <c r="C12" s="581">
        <f ca="1">CHOOSE(C9,F9,I9,L9)</f>
        <v>7.3104696557556942E-2</v>
      </c>
      <c r="D12" s="132"/>
      <c r="E12" s="132"/>
      <c r="G12" s="132"/>
      <c r="K12" s="132"/>
      <c r="P12" s="132"/>
      <c r="S12" s="133"/>
      <c r="T12" s="134"/>
      <c r="W12" s="127">
        <f>+W11+1</f>
        <v>2027</v>
      </c>
      <c r="X12" s="167">
        <f ca="1">+J191</f>
        <v>-108.34030339286761</v>
      </c>
      <c r="Y12" s="167">
        <f>+J243</f>
        <v>-71.096394741748156</v>
      </c>
      <c r="Z12" s="167">
        <f ca="1">+M215</f>
        <v>0</v>
      </c>
      <c r="AA12" s="167">
        <f>+J256</f>
        <v>0</v>
      </c>
      <c r="AB12" s="167">
        <f ca="1">+J181</f>
        <v>-132.90496334814813</v>
      </c>
      <c r="AC12" s="206">
        <f>+J241</f>
        <v>110.63418683630465</v>
      </c>
      <c r="AD12" s="167">
        <f>+J86</f>
        <v>137.38999654293406</v>
      </c>
    </row>
    <row r="13" spans="1:46" ht="13.5" customHeight="1" x14ac:dyDescent="0.35">
      <c r="B13" s="132" t="s">
        <v>457</v>
      </c>
      <c r="C13" s="581">
        <f ca="1">WACC!G26</f>
        <v>7.3104696557556942E-2</v>
      </c>
      <c r="D13" s="132"/>
      <c r="E13" s="132"/>
      <c r="G13" s="132"/>
      <c r="K13" s="132"/>
      <c r="P13" s="132"/>
      <c r="S13" s="133"/>
      <c r="T13" s="134"/>
      <c r="X13" s="167"/>
      <c r="Y13" s="167"/>
      <c r="Z13" s="167"/>
      <c r="AA13" s="167"/>
      <c r="AB13" s="167"/>
      <c r="AC13" s="206"/>
      <c r="AD13" s="167"/>
    </row>
    <row r="14" spans="1:46" ht="15.5" x14ac:dyDescent="0.35">
      <c r="B14" s="132" t="s">
        <v>455</v>
      </c>
      <c r="C14" s="581">
        <f>CHOOSE(C10,F10,I10,L10)</f>
        <v>0.02</v>
      </c>
      <c r="D14" s="132"/>
      <c r="E14" s="132"/>
      <c r="G14" s="135"/>
      <c r="H14" s="132"/>
      <c r="I14" s="132"/>
      <c r="J14" s="132"/>
      <c r="K14" s="132"/>
      <c r="L14" s="132"/>
      <c r="M14" s="132"/>
      <c r="O14" s="132"/>
      <c r="P14" s="132"/>
      <c r="Q14" s="132"/>
      <c r="R14" s="132"/>
      <c r="W14" s="127">
        <f>+W12+1</f>
        <v>2028</v>
      </c>
      <c r="X14" s="167">
        <f ca="1">+K191</f>
        <v>-146.48189569142153</v>
      </c>
      <c r="Y14" s="167">
        <f>+K243</f>
        <v>-155.89612053362401</v>
      </c>
      <c r="Z14" s="167">
        <f ca="1">+N215</f>
        <v>0</v>
      </c>
      <c r="AA14" s="167">
        <f>+K256</f>
        <v>0</v>
      </c>
      <c r="AB14" s="167">
        <f ca="1">+K181</f>
        <v>-168.57577526716045</v>
      </c>
      <c r="AC14" s="206">
        <f>+K241</f>
        <v>71.096394741748156</v>
      </c>
      <c r="AD14" s="167">
        <f>+K86</f>
        <v>67.245073401902616</v>
      </c>
    </row>
    <row r="15" spans="1:46" ht="15.5" x14ac:dyDescent="0.35">
      <c r="B15" s="132"/>
      <c r="C15" s="136"/>
      <c r="D15" s="132"/>
      <c r="E15" s="137"/>
      <c r="F15" s="137"/>
      <c r="G15" s="137"/>
      <c r="H15" s="132"/>
      <c r="I15" s="132"/>
      <c r="J15" s="132"/>
      <c r="K15" s="132"/>
      <c r="L15" s="132"/>
      <c r="M15" s="132"/>
      <c r="O15" s="132"/>
      <c r="P15" s="132"/>
      <c r="Q15" s="132"/>
      <c r="R15" s="132"/>
      <c r="W15" s="127">
        <f>+W14+1</f>
        <v>2029</v>
      </c>
      <c r="X15" s="167">
        <f ca="1">+L191</f>
        <v>-171.10264838690961</v>
      </c>
      <c r="Y15" s="167">
        <f>+L243</f>
        <v>-124.54688132978765</v>
      </c>
      <c r="Z15" s="167">
        <f ca="1">+O215</f>
        <v>0</v>
      </c>
      <c r="AA15" s="167">
        <f>+L256</f>
        <v>0</v>
      </c>
      <c r="AB15" s="167">
        <f ca="1">+L181</f>
        <v>-194.76306827186824</v>
      </c>
      <c r="AC15" s="206">
        <f>+L241</f>
        <v>155.89612053362401</v>
      </c>
      <c r="AD15" s="167">
        <f>+L86</f>
        <v>57.128641407423586</v>
      </c>
    </row>
    <row r="16" spans="1:46" ht="15.5" x14ac:dyDescent="0.35">
      <c r="A16" s="127" t="s">
        <v>431</v>
      </c>
      <c r="B16" s="49" t="s">
        <v>458</v>
      </c>
      <c r="C16" s="53"/>
      <c r="D16" s="53"/>
      <c r="E16" s="138">
        <v>2022</v>
      </c>
      <c r="F16" s="138">
        <f>+E16+1</f>
        <v>2023</v>
      </c>
      <c r="G16" s="139">
        <f>+F16+1</f>
        <v>2024</v>
      </c>
      <c r="H16" s="100">
        <f t="shared" ref="H16:J16" si="1">+G16+1</f>
        <v>2025</v>
      </c>
      <c r="I16" s="100">
        <f t="shared" si="1"/>
        <v>2026</v>
      </c>
      <c r="J16" s="100">
        <f t="shared" si="1"/>
        <v>2027</v>
      </c>
      <c r="K16" s="100">
        <f>+J16+1</f>
        <v>2028</v>
      </c>
      <c r="L16" s="100">
        <f t="shared" ref="L16:Q16" si="2">+K16+1</f>
        <v>2029</v>
      </c>
      <c r="M16" s="100">
        <f t="shared" si="2"/>
        <v>2030</v>
      </c>
      <c r="N16" s="100">
        <f t="shared" si="2"/>
        <v>2031</v>
      </c>
      <c r="O16" s="100">
        <f t="shared" si="2"/>
        <v>2032</v>
      </c>
      <c r="P16" s="100">
        <f t="shared" si="2"/>
        <v>2033</v>
      </c>
      <c r="Q16" s="100">
        <f t="shared" si="2"/>
        <v>2034</v>
      </c>
      <c r="R16" s="348" t="s">
        <v>459</v>
      </c>
      <c r="S16" s="348" t="s">
        <v>460</v>
      </c>
      <c r="T16" s="348" t="s">
        <v>461</v>
      </c>
      <c r="U16" s="348" t="s">
        <v>462</v>
      </c>
      <c r="V16" s="348" t="s">
        <v>463</v>
      </c>
      <c r="W16" s="348" t="s">
        <v>464</v>
      </c>
      <c r="X16" s="348" t="s">
        <v>465</v>
      </c>
      <c r="Y16" s="348" t="s">
        <v>466</v>
      </c>
      <c r="Z16" s="348" t="s">
        <v>467</v>
      </c>
      <c r="AA16" s="348" t="s">
        <v>468</v>
      </c>
      <c r="AB16" s="348" t="s">
        <v>469</v>
      </c>
      <c r="AC16" s="861"/>
      <c r="AD16" s="861"/>
      <c r="AE16" s="861"/>
      <c r="AF16" s="861"/>
      <c r="AG16" s="861"/>
      <c r="AH16" s="861"/>
      <c r="AI16" s="861"/>
      <c r="AJ16" s="861"/>
      <c r="AK16" s="861"/>
      <c r="AL16" s="861"/>
      <c r="AM16" s="861"/>
      <c r="AN16" s="861"/>
      <c r="AO16" s="861"/>
      <c r="AP16" s="861"/>
      <c r="AQ16" s="861"/>
    </row>
    <row r="17" spans="1:43" ht="3.75" customHeight="1" x14ac:dyDescent="0.35">
      <c r="B17" s="67"/>
      <c r="C17" s="67"/>
      <c r="D17" s="67"/>
      <c r="E17" s="67"/>
      <c r="F17" s="67"/>
      <c r="G17" s="140"/>
      <c r="H17" s="67"/>
      <c r="I17" s="67"/>
      <c r="J17" s="67"/>
      <c r="K17" s="67"/>
      <c r="L17" s="67"/>
      <c r="M17" s="67"/>
      <c r="N17" s="67"/>
      <c r="O17" s="67"/>
      <c r="P17" s="67"/>
      <c r="Q17" s="67"/>
      <c r="R17" s="67"/>
      <c r="S17" s="67"/>
      <c r="T17" s="67"/>
      <c r="U17" s="67"/>
      <c r="V17" s="67"/>
      <c r="W17" s="67"/>
      <c r="X17" s="67"/>
      <c r="Y17" s="67"/>
      <c r="Z17" s="67"/>
      <c r="AA17" s="67"/>
      <c r="AB17" s="67"/>
      <c r="AC17" s="229"/>
      <c r="AD17" s="229"/>
      <c r="AE17" s="229"/>
    </row>
    <row r="18" spans="1:43" ht="15.5" x14ac:dyDescent="0.35">
      <c r="B18" s="132" t="s">
        <v>470</v>
      </c>
      <c r="C18" s="136"/>
      <c r="D18" s="132"/>
      <c r="E18" s="907">
        <v>695400</v>
      </c>
      <c r="F18" s="907">
        <v>885400</v>
      </c>
      <c r="G18" s="908">
        <v>1160100</v>
      </c>
      <c r="H18" s="909">
        <f>G18*(1+H19)</f>
        <v>1508130</v>
      </c>
      <c r="I18" s="909">
        <f t="shared" ref="I18:Z18" si="3">H18*(1+I19)</f>
        <v>1968109.65</v>
      </c>
      <c r="J18" s="909">
        <f t="shared" si="3"/>
        <v>2568383.0932499999</v>
      </c>
      <c r="K18" s="909">
        <f t="shared" si="3"/>
        <v>3351739.9366912497</v>
      </c>
      <c r="L18" s="909">
        <f t="shared" si="3"/>
        <v>4374020.6173820803</v>
      </c>
      <c r="M18" s="909">
        <f t="shared" si="3"/>
        <v>5708096.9056836143</v>
      </c>
      <c r="N18" s="909">
        <f t="shared" si="3"/>
        <v>7449066.4619171163</v>
      </c>
      <c r="O18" s="909">
        <f t="shared" si="3"/>
        <v>9721031.732801836</v>
      </c>
      <c r="P18" s="909">
        <f t="shared" si="3"/>
        <v>12685946.411306396</v>
      </c>
      <c r="Q18" s="909">
        <f t="shared" si="3"/>
        <v>16618589.79881138</v>
      </c>
      <c r="R18" s="909">
        <f t="shared" si="3"/>
        <v>21770352.636442907</v>
      </c>
      <c r="S18" s="909">
        <f t="shared" si="3"/>
        <v>28519161.953740209</v>
      </c>
      <c r="T18" s="909">
        <f t="shared" si="3"/>
        <v>37360102.159399673</v>
      </c>
      <c r="U18" s="909">
        <f t="shared" si="3"/>
        <v>48941733.828813575</v>
      </c>
      <c r="V18" s="909">
        <f t="shared" si="3"/>
        <v>64113671.315745786</v>
      </c>
      <c r="W18" s="909">
        <f t="shared" si="3"/>
        <v>83988909.423626989</v>
      </c>
      <c r="X18" s="909">
        <f t="shared" si="3"/>
        <v>110025471.34495136</v>
      </c>
      <c r="Y18" s="909">
        <f t="shared" si="3"/>
        <v>144133367.46188629</v>
      </c>
      <c r="Z18" s="909">
        <f t="shared" si="3"/>
        <v>188814711.37507105</v>
      </c>
      <c r="AA18" s="909">
        <f t="shared" ref="AA18" si="4">Z18*(1+AA19)</f>
        <v>247347271.90134308</v>
      </c>
      <c r="AB18" s="909">
        <f t="shared" ref="AB18" si="5">AA18*(1+AB19)</f>
        <v>324024926.19075942</v>
      </c>
      <c r="AC18" s="893"/>
      <c r="AD18" s="893"/>
      <c r="AE18" s="893"/>
    </row>
    <row r="19" spans="1:43" ht="15.5" x14ac:dyDescent="0.35">
      <c r="B19" s="594" t="s">
        <v>471</v>
      </c>
      <c r="C19" s="136"/>
      <c r="D19" s="132"/>
      <c r="E19" s="913" t="s">
        <v>110</v>
      </c>
      <c r="F19" s="910">
        <f>F18/E18-1</f>
        <v>0.27322404371584708</v>
      </c>
      <c r="G19" s="910">
        <f t="shared" ref="G19" si="6">G18/F18-1</f>
        <v>0.3102552518635644</v>
      </c>
      <c r="H19" s="911">
        <v>0.3</v>
      </c>
      <c r="I19" s="912">
        <v>0.30499999999999999</v>
      </c>
      <c r="J19" s="912">
        <v>0.30499999999999999</v>
      </c>
      <c r="K19" s="912">
        <v>0.30499999999999999</v>
      </c>
      <c r="L19" s="912">
        <v>0.30499999999999999</v>
      </c>
      <c r="M19" s="912">
        <v>0.30499999999999999</v>
      </c>
      <c r="N19" s="912">
        <v>0.30499999999999999</v>
      </c>
      <c r="O19" s="912">
        <v>0.30499999999999999</v>
      </c>
      <c r="P19" s="912">
        <v>0.30499999999999999</v>
      </c>
      <c r="Q19" s="912">
        <v>0.31</v>
      </c>
      <c r="R19" s="912">
        <v>0.31</v>
      </c>
      <c r="S19" s="912">
        <v>0.31</v>
      </c>
      <c r="T19" s="912">
        <v>0.31</v>
      </c>
      <c r="U19" s="912">
        <v>0.31</v>
      </c>
      <c r="V19" s="912">
        <v>0.31</v>
      </c>
      <c r="W19" s="912">
        <v>0.31</v>
      </c>
      <c r="X19" s="912">
        <v>0.31</v>
      </c>
      <c r="Y19" s="912">
        <v>0.31</v>
      </c>
      <c r="Z19" s="912">
        <v>0.31</v>
      </c>
      <c r="AA19" s="912">
        <v>0.31</v>
      </c>
      <c r="AB19" s="912">
        <v>0.31</v>
      </c>
      <c r="AC19" s="894"/>
      <c r="AD19" s="894"/>
      <c r="AE19" s="894"/>
      <c r="AF19" s="206"/>
      <c r="AG19" s="206"/>
      <c r="AH19" s="206"/>
    </row>
    <row r="20" spans="1:43" ht="15.5" x14ac:dyDescent="0.35">
      <c r="B20" s="143" t="s">
        <v>472</v>
      </c>
      <c r="C20" s="136"/>
      <c r="D20" s="132"/>
      <c r="E20" s="907">
        <v>695400</v>
      </c>
      <c r="F20" s="907">
        <v>885400</v>
      </c>
      <c r="G20" s="907">
        <v>1160100</v>
      </c>
      <c r="H20" s="915">
        <f>G20*(1+H21)</f>
        <v>1498849.2</v>
      </c>
      <c r="I20" s="909">
        <f t="shared" ref="I20:AB20" si="7">H20*(1+I21)</f>
        <v>1936513.1664</v>
      </c>
      <c r="J20" s="909">
        <f t="shared" si="7"/>
        <v>2501975.0109887999</v>
      </c>
      <c r="K20" s="909">
        <f t="shared" si="7"/>
        <v>3232551.7141975295</v>
      </c>
      <c r="L20" s="909">
        <f t="shared" si="7"/>
        <v>4266968.2627407387</v>
      </c>
      <c r="M20" s="909">
        <f t="shared" si="7"/>
        <v>5632398.1068177754</v>
      </c>
      <c r="N20" s="909">
        <f t="shared" si="7"/>
        <v>7434765.5009994637</v>
      </c>
      <c r="O20" s="909">
        <f t="shared" si="7"/>
        <v>9813890.461319292</v>
      </c>
      <c r="P20" s="909">
        <f t="shared" si="7"/>
        <v>12954335.408941466</v>
      </c>
      <c r="Q20" s="909">
        <f t="shared" si="7"/>
        <v>17099722.739802737</v>
      </c>
      <c r="R20" s="909">
        <f t="shared" si="7"/>
        <v>22571634.016539615</v>
      </c>
      <c r="S20" s="909">
        <f t="shared" si="7"/>
        <v>29794556.901832294</v>
      </c>
      <c r="T20" s="909">
        <f t="shared" si="7"/>
        <v>39626760.679436952</v>
      </c>
      <c r="U20" s="909">
        <f t="shared" si="7"/>
        <v>52703591.703651145</v>
      </c>
      <c r="V20" s="909">
        <f t="shared" si="7"/>
        <v>70622812.882892534</v>
      </c>
      <c r="W20" s="909">
        <f t="shared" si="7"/>
        <v>94634569.263076007</v>
      </c>
      <c r="X20" s="909">
        <f t="shared" si="7"/>
        <v>126810322.81252186</v>
      </c>
      <c r="Y20" s="909">
        <f t="shared" si="7"/>
        <v>169925832.56877929</v>
      </c>
      <c r="Z20" s="909">
        <f t="shared" si="7"/>
        <v>227700615.64216426</v>
      </c>
      <c r="AA20" s="909">
        <f t="shared" si="7"/>
        <v>305118824.96050012</v>
      </c>
      <c r="AB20" s="909">
        <f t="shared" si="7"/>
        <v>408859225.44707018</v>
      </c>
      <c r="AC20" s="895"/>
      <c r="AD20" s="895"/>
      <c r="AE20" s="895"/>
      <c r="AF20" s="167"/>
      <c r="AG20" s="167"/>
    </row>
    <row r="21" spans="1:43" ht="15.5" x14ac:dyDescent="0.35">
      <c r="B21" s="594" t="s">
        <v>471</v>
      </c>
      <c r="C21" s="136"/>
      <c r="D21" s="132"/>
      <c r="E21" s="914" t="s">
        <v>110</v>
      </c>
      <c r="F21" s="910">
        <f>F20/E20-1</f>
        <v>0.27322404371584708</v>
      </c>
      <c r="G21" s="910">
        <f>G20/F20-1</f>
        <v>0.3102552518635644</v>
      </c>
      <c r="H21" s="917">
        <v>0.29199999999999998</v>
      </c>
      <c r="I21" s="916">
        <v>0.29199999999999998</v>
      </c>
      <c r="J21" s="916">
        <v>0.29199999999999998</v>
      </c>
      <c r="K21" s="916">
        <v>0.29199999999999998</v>
      </c>
      <c r="L21" s="916">
        <v>0.32</v>
      </c>
      <c r="M21" s="916">
        <v>0.32</v>
      </c>
      <c r="N21" s="916">
        <v>0.32</v>
      </c>
      <c r="O21" s="916">
        <v>0.32</v>
      </c>
      <c r="P21" s="916">
        <v>0.32</v>
      </c>
      <c r="Q21" s="916">
        <v>0.32</v>
      </c>
      <c r="R21" s="916">
        <v>0.32</v>
      </c>
      <c r="S21" s="916">
        <v>0.32</v>
      </c>
      <c r="T21" s="916">
        <v>0.33</v>
      </c>
      <c r="U21" s="916">
        <v>0.33</v>
      </c>
      <c r="V21" s="916">
        <v>0.34</v>
      </c>
      <c r="W21" s="916">
        <v>0.34</v>
      </c>
      <c r="X21" s="916">
        <v>0.34</v>
      </c>
      <c r="Y21" s="916">
        <v>0.34</v>
      </c>
      <c r="Z21" s="916">
        <v>0.34</v>
      </c>
      <c r="AA21" s="912">
        <v>0.34</v>
      </c>
      <c r="AB21" s="912">
        <v>0.34</v>
      </c>
      <c r="AC21" s="896"/>
      <c r="AD21" s="896"/>
      <c r="AE21" s="896"/>
    </row>
    <row r="22" spans="1:43" ht="15.5" x14ac:dyDescent="0.35">
      <c r="B22" s="132" t="s">
        <v>203</v>
      </c>
      <c r="C22" s="136"/>
      <c r="D22" s="132"/>
      <c r="E22" s="141">
        <f>(E18+E20)/2</f>
        <v>695400</v>
      </c>
      <c r="F22" s="141">
        <f t="shared" ref="F22:AB22" si="8">(F18+F20)/2</f>
        <v>885400</v>
      </c>
      <c r="G22" s="141">
        <f t="shared" si="8"/>
        <v>1160100</v>
      </c>
      <c r="H22" s="918">
        <f>(H18+H20)/2</f>
        <v>1503489.6</v>
      </c>
      <c r="I22" s="142">
        <f t="shared" si="8"/>
        <v>1952311.4081999999</v>
      </c>
      <c r="J22" s="142">
        <f t="shared" si="8"/>
        <v>2535179.0521193999</v>
      </c>
      <c r="K22" s="142">
        <f t="shared" si="8"/>
        <v>3292145.8254443896</v>
      </c>
      <c r="L22" s="142">
        <f t="shared" si="8"/>
        <v>4320494.440061409</v>
      </c>
      <c r="M22" s="142">
        <f t="shared" si="8"/>
        <v>5670247.5062506944</v>
      </c>
      <c r="N22" s="142">
        <f t="shared" si="8"/>
        <v>7441915.9814582895</v>
      </c>
      <c r="O22" s="142">
        <f t="shared" si="8"/>
        <v>9767461.0970605649</v>
      </c>
      <c r="P22" s="142">
        <f t="shared" si="8"/>
        <v>12820140.910123931</v>
      </c>
      <c r="Q22" s="142">
        <f t="shared" si="8"/>
        <v>16859156.269307058</v>
      </c>
      <c r="R22" s="142">
        <f t="shared" si="8"/>
        <v>22170993.326491259</v>
      </c>
      <c r="S22" s="142">
        <f t="shared" si="8"/>
        <v>29156859.427786253</v>
      </c>
      <c r="T22" s="142">
        <f t="shared" si="8"/>
        <v>38493431.419418313</v>
      </c>
      <c r="U22" s="142">
        <f t="shared" si="8"/>
        <v>50822662.766232356</v>
      </c>
      <c r="V22" s="142">
        <f t="shared" si="8"/>
        <v>67368242.09931916</v>
      </c>
      <c r="W22" s="142">
        <f t="shared" si="8"/>
        <v>89311739.343351498</v>
      </c>
      <c r="X22" s="142">
        <f t="shared" si="8"/>
        <v>118417897.0787366</v>
      </c>
      <c r="Y22" s="142">
        <f t="shared" si="8"/>
        <v>157029600.01533279</v>
      </c>
      <c r="Z22" s="142">
        <f t="shared" si="8"/>
        <v>208257663.50861764</v>
      </c>
      <c r="AA22" s="142">
        <f t="shared" si="8"/>
        <v>276233048.43092161</v>
      </c>
      <c r="AB22" s="142">
        <f t="shared" si="8"/>
        <v>366442075.81891477</v>
      </c>
      <c r="AC22" s="893"/>
      <c r="AD22" s="893"/>
      <c r="AE22" s="893"/>
    </row>
    <row r="23" spans="1:43" ht="15.5" x14ac:dyDescent="0.35">
      <c r="B23" s="132" t="s">
        <v>473</v>
      </c>
      <c r="C23" s="136"/>
      <c r="D23" s="132"/>
      <c r="E23" s="922" t="s">
        <v>110</v>
      </c>
      <c r="F23" s="919">
        <f>(F19+F21)/2</f>
        <v>0.27322404371584708</v>
      </c>
      <c r="G23" s="926">
        <f t="shared" ref="G23:AB23" si="9">(G19+G21)/2</f>
        <v>0.3102552518635644</v>
      </c>
      <c r="H23" s="912">
        <f t="shared" si="9"/>
        <v>0.29599999999999999</v>
      </c>
      <c r="I23" s="912">
        <f t="shared" si="9"/>
        <v>0.29849999999999999</v>
      </c>
      <c r="J23" s="912">
        <f t="shared" si="9"/>
        <v>0.29849999999999999</v>
      </c>
      <c r="K23" s="912">
        <f t="shared" si="9"/>
        <v>0.29849999999999999</v>
      </c>
      <c r="L23" s="912">
        <f t="shared" si="9"/>
        <v>0.3125</v>
      </c>
      <c r="M23" s="912">
        <f t="shared" si="9"/>
        <v>0.3125</v>
      </c>
      <c r="N23" s="912">
        <f t="shared" si="9"/>
        <v>0.3125</v>
      </c>
      <c r="O23" s="912">
        <f t="shared" si="9"/>
        <v>0.3125</v>
      </c>
      <c r="P23" s="912">
        <f t="shared" si="9"/>
        <v>0.3125</v>
      </c>
      <c r="Q23" s="912">
        <f t="shared" si="9"/>
        <v>0.315</v>
      </c>
      <c r="R23" s="912">
        <f t="shared" si="9"/>
        <v>0.315</v>
      </c>
      <c r="S23" s="912">
        <f t="shared" si="9"/>
        <v>0.315</v>
      </c>
      <c r="T23" s="912">
        <f t="shared" si="9"/>
        <v>0.32</v>
      </c>
      <c r="U23" s="912">
        <f t="shared" si="9"/>
        <v>0.32</v>
      </c>
      <c r="V23" s="912">
        <f t="shared" si="9"/>
        <v>0.32500000000000001</v>
      </c>
      <c r="W23" s="912">
        <f t="shared" si="9"/>
        <v>0.32500000000000001</v>
      </c>
      <c r="X23" s="912">
        <f t="shared" si="9"/>
        <v>0.32500000000000001</v>
      </c>
      <c r="Y23" s="912">
        <f t="shared" si="9"/>
        <v>0.32500000000000001</v>
      </c>
      <c r="Z23" s="912">
        <f t="shared" si="9"/>
        <v>0.32500000000000001</v>
      </c>
      <c r="AA23" s="912">
        <f t="shared" si="9"/>
        <v>0.32500000000000001</v>
      </c>
      <c r="AB23" s="912">
        <f t="shared" si="9"/>
        <v>0.32500000000000001</v>
      </c>
      <c r="AC23" s="897"/>
      <c r="AD23" s="897"/>
      <c r="AE23" s="897"/>
    </row>
    <row r="24" spans="1:43" ht="15.5" x14ac:dyDescent="0.35">
      <c r="B24" s="594" t="s">
        <v>153</v>
      </c>
      <c r="C24" s="136"/>
      <c r="D24" s="132"/>
      <c r="E24" s="920">
        <f t="shared" ref="E24:AB24" si="10">E28/E22</f>
        <v>1.0314926660914582E-5</v>
      </c>
      <c r="F24" s="920">
        <f t="shared" si="10"/>
        <v>9.8915744296363214E-6</v>
      </c>
      <c r="G24" s="920">
        <f t="shared" si="10"/>
        <v>7.6088268252736832E-6</v>
      </c>
      <c r="H24" s="921">
        <f>H28/H22</f>
        <v>9.3936133645354111E-6</v>
      </c>
      <c r="I24" s="920">
        <f t="shared" si="10"/>
        <v>1.1574546921709682E-5</v>
      </c>
      <c r="J24" s="920">
        <f t="shared" si="10"/>
        <v>1.4261474734801962E-5</v>
      </c>
      <c r="K24" s="920">
        <f t="shared" si="10"/>
        <v>1.7571708626300395E-5</v>
      </c>
      <c r="L24" s="920">
        <f t="shared" si="10"/>
        <v>2.1422965543426197E-5</v>
      </c>
      <c r="M24" s="920">
        <f t="shared" si="10"/>
        <v>2.4485122585381153E-5</v>
      </c>
      <c r="N24" s="920">
        <f t="shared" si="10"/>
        <v>2.7984064646641066E-5</v>
      </c>
      <c r="O24" s="920">
        <f t="shared" si="10"/>
        <v>3.1981963764770868E-5</v>
      </c>
      <c r="P24" s="920">
        <f t="shared" si="10"/>
        <v>3.4113168076541241E-5</v>
      </c>
      <c r="Q24" s="920">
        <f t="shared" si="10"/>
        <v>3.6316756337294778E-5</v>
      </c>
      <c r="R24" s="920">
        <f t="shared" si="10"/>
        <v>3.8662129647322185E-5</v>
      </c>
      <c r="S24" s="920">
        <f t="shared" si="10"/>
        <v>4.1158374712146499E-5</v>
      </c>
      <c r="T24" s="920">
        <f t="shared" si="10"/>
        <v>4.0528047824249934E-5</v>
      </c>
      <c r="U24" s="920">
        <f t="shared" si="10"/>
        <v>3.9905085801188526E-5</v>
      </c>
      <c r="V24" s="920">
        <f t="shared" si="10"/>
        <v>3.9135762663123251E-5</v>
      </c>
      <c r="W24" s="920">
        <f t="shared" si="10"/>
        <v>3.8376363725304195E-5</v>
      </c>
      <c r="X24" s="920">
        <f t="shared" si="10"/>
        <v>3.7626894600327257E-5</v>
      </c>
      <c r="Y24" s="920">
        <f t="shared" si="10"/>
        <v>3.6887357869221115E-5</v>
      </c>
      <c r="Z24" s="920">
        <f t="shared" si="10"/>
        <v>3.4767070237889121E-5</v>
      </c>
      <c r="AA24" s="920">
        <f t="shared" si="10"/>
        <v>3.2764493857228692E-5</v>
      </c>
      <c r="AB24" s="920">
        <f t="shared" si="10"/>
        <v>2.9638417471309332E-5</v>
      </c>
      <c r="AC24" s="876"/>
      <c r="AD24" s="876"/>
      <c r="AE24" s="876"/>
    </row>
    <row r="25" spans="1:43" ht="15.5" x14ac:dyDescent="0.35">
      <c r="B25" s="146" t="s">
        <v>474</v>
      </c>
      <c r="G25" s="147"/>
      <c r="S25" s="93"/>
      <c r="AC25" s="229"/>
      <c r="AD25" s="229"/>
      <c r="AE25" s="229"/>
    </row>
    <row r="26" spans="1:43" ht="15.5" x14ac:dyDescent="0.35">
      <c r="A26" s="127" t="s">
        <v>431</v>
      </c>
      <c r="B26" s="49" t="s">
        <v>261</v>
      </c>
      <c r="C26" s="53"/>
      <c r="D26" s="53"/>
      <c r="E26" s="138">
        <v>2022</v>
      </c>
      <c r="F26" s="138">
        <f>+E26+1</f>
        <v>2023</v>
      </c>
      <c r="G26" s="139">
        <f>+F26+1</f>
        <v>2024</v>
      </c>
      <c r="H26" s="100">
        <f t="shared" ref="H26:P26" si="11">+G26+1</f>
        <v>2025</v>
      </c>
      <c r="I26" s="100">
        <f t="shared" si="11"/>
        <v>2026</v>
      </c>
      <c r="J26" s="100">
        <f t="shared" si="11"/>
        <v>2027</v>
      </c>
      <c r="K26" s="100">
        <f>+J26+1</f>
        <v>2028</v>
      </c>
      <c r="L26" s="100">
        <f t="shared" si="11"/>
        <v>2029</v>
      </c>
      <c r="M26" s="100">
        <f t="shared" si="11"/>
        <v>2030</v>
      </c>
      <c r="N26" s="100">
        <f t="shared" si="11"/>
        <v>2031</v>
      </c>
      <c r="O26" s="100">
        <f t="shared" si="11"/>
        <v>2032</v>
      </c>
      <c r="P26" s="100">
        <f t="shared" si="11"/>
        <v>2033</v>
      </c>
      <c r="Q26" s="100">
        <f>+P26+1</f>
        <v>2034</v>
      </c>
      <c r="R26" s="348" t="s">
        <v>459</v>
      </c>
      <c r="S26" s="348" t="s">
        <v>460</v>
      </c>
      <c r="T26" s="348" t="s">
        <v>461</v>
      </c>
      <c r="U26" s="348" t="s">
        <v>462</v>
      </c>
      <c r="V26" s="348" t="s">
        <v>463</v>
      </c>
      <c r="W26" s="348" t="s">
        <v>464</v>
      </c>
      <c r="X26" s="348" t="s">
        <v>465</v>
      </c>
      <c r="Y26" s="348" t="s">
        <v>466</v>
      </c>
      <c r="Z26" s="348" t="s">
        <v>467</v>
      </c>
      <c r="AA26" s="348" t="s">
        <v>468</v>
      </c>
      <c r="AB26" s="348" t="s">
        <v>469</v>
      </c>
      <c r="AC26" s="861"/>
      <c r="AD26" s="861"/>
      <c r="AE26" s="861"/>
      <c r="AF26" s="861"/>
      <c r="AG26" s="861"/>
      <c r="AH26" s="861"/>
      <c r="AI26" s="861"/>
      <c r="AJ26" s="861"/>
      <c r="AK26" s="861"/>
      <c r="AL26" s="861"/>
      <c r="AM26" s="861"/>
      <c r="AN26" s="861"/>
      <c r="AO26" s="861"/>
      <c r="AP26" s="861"/>
      <c r="AQ26" s="861"/>
    </row>
    <row r="27" spans="1:43" ht="4.4000000000000004" customHeight="1" x14ac:dyDescent="0.35">
      <c r="B27" s="67"/>
      <c r="C27" s="67"/>
      <c r="D27" s="67"/>
      <c r="E27" s="67"/>
      <c r="F27" s="67"/>
      <c r="G27" s="140"/>
      <c r="H27" s="67"/>
      <c r="I27" s="67"/>
      <c r="J27" s="67"/>
      <c r="K27" s="67"/>
      <c r="L27" s="67"/>
      <c r="M27" s="67"/>
      <c r="N27" s="67"/>
      <c r="O27" s="67"/>
      <c r="P27" s="67"/>
      <c r="Q27" s="67"/>
      <c r="R27" s="67"/>
      <c r="S27" s="67"/>
      <c r="T27" s="67"/>
      <c r="U27" s="67"/>
      <c r="V27" s="67"/>
      <c r="W27" s="67"/>
      <c r="X27" s="67"/>
      <c r="Y27" s="67"/>
      <c r="Z27" s="67"/>
      <c r="AA27" s="67"/>
      <c r="AB27" s="67"/>
      <c r="AC27" s="229"/>
      <c r="AD27" s="229"/>
      <c r="AE27" s="229"/>
      <c r="AF27" s="229"/>
      <c r="AG27" s="229"/>
      <c r="AH27" s="229"/>
      <c r="AI27" s="229"/>
      <c r="AJ27" s="229"/>
      <c r="AK27" s="229"/>
      <c r="AL27" s="229"/>
      <c r="AM27" s="229"/>
      <c r="AN27" s="229"/>
      <c r="AO27" s="229"/>
      <c r="AP27" s="229"/>
      <c r="AQ27" s="229"/>
    </row>
    <row r="28" spans="1:43" ht="15.5" x14ac:dyDescent="0.35">
      <c r="B28" s="127" t="s">
        <v>475</v>
      </c>
      <c r="D28" s="278">
        <f>+_xlfn.XLOOKUP($B28,Inputs!$B:$B,Inputs!N:N)</f>
        <v>6.2789999999999999</v>
      </c>
      <c r="E28" s="932">
        <f>+_xlfn.XLOOKUP($B28,Inputs!$B:$B,Inputs!O:O)</f>
        <v>7.173</v>
      </c>
      <c r="F28" s="932">
        <f>+_xlfn.XLOOKUP($B28,Inputs!$B:$B,Inputs!P:P)</f>
        <v>8.7579999999999991</v>
      </c>
      <c r="G28" s="933">
        <f>+_xlfn.XLOOKUP($B28,Inputs!$B:$B,Inputs!Q:Q)</f>
        <v>8.827</v>
      </c>
      <c r="H28" s="150">
        <f>G28*(1+H29)</f>
        <v>14.123200000000001</v>
      </c>
      <c r="I28" s="150">
        <f t="shared" ref="I28:AB28" si="12">H28*(1+I29)</f>
        <v>22.597120000000004</v>
      </c>
      <c r="J28" s="150">
        <f t="shared" si="12"/>
        <v>36.155392000000006</v>
      </c>
      <c r="K28" s="150">
        <f t="shared" si="12"/>
        <v>57.84862720000001</v>
      </c>
      <c r="L28" s="150">
        <f t="shared" si="12"/>
        <v>92.557803520000022</v>
      </c>
      <c r="M28" s="150">
        <f t="shared" si="12"/>
        <v>138.83670528000005</v>
      </c>
      <c r="N28" s="150">
        <f t="shared" si="12"/>
        <v>208.25505792000007</v>
      </c>
      <c r="O28" s="150">
        <f t="shared" si="12"/>
        <v>312.38258688000008</v>
      </c>
      <c r="P28" s="150">
        <f t="shared" si="12"/>
        <v>437.33562163200008</v>
      </c>
      <c r="Q28" s="150">
        <f t="shared" si="12"/>
        <v>612.26987028480005</v>
      </c>
      <c r="R28" s="150">
        <f t="shared" si="12"/>
        <v>857.17781839871998</v>
      </c>
      <c r="S28" s="150">
        <f t="shared" si="12"/>
        <v>1200.048945758208</v>
      </c>
      <c r="T28" s="150">
        <f t="shared" si="12"/>
        <v>1560.0636294856704</v>
      </c>
      <c r="U28" s="150">
        <f t="shared" si="12"/>
        <v>2028.0827183313716</v>
      </c>
      <c r="V28" s="150">
        <f t="shared" si="12"/>
        <v>2636.5075338307829</v>
      </c>
      <c r="W28" s="150">
        <f t="shared" si="12"/>
        <v>3427.4597939800178</v>
      </c>
      <c r="X28" s="150">
        <f t="shared" si="12"/>
        <v>4455.6977321740233</v>
      </c>
      <c r="Y28" s="150">
        <f t="shared" si="12"/>
        <v>5792.4070518262306</v>
      </c>
      <c r="Z28" s="150">
        <f t="shared" si="12"/>
        <v>7240.5088147827882</v>
      </c>
      <c r="AA28" s="150">
        <f t="shared" si="12"/>
        <v>9050.6360184784862</v>
      </c>
      <c r="AB28" s="150">
        <f t="shared" si="12"/>
        <v>10860.763222174182</v>
      </c>
      <c r="AC28" s="862"/>
      <c r="AD28" s="862"/>
      <c r="AE28" s="862"/>
      <c r="AF28" s="862"/>
      <c r="AG28" s="862"/>
      <c r="AH28" s="862"/>
      <c r="AI28" s="862"/>
      <c r="AJ28" s="862"/>
      <c r="AK28" s="862"/>
      <c r="AL28" s="862"/>
      <c r="AM28" s="862"/>
      <c r="AN28" s="862"/>
      <c r="AO28" s="862"/>
      <c r="AP28" s="862"/>
      <c r="AQ28" s="862"/>
    </row>
    <row r="29" spans="1:43" s="253" customFormat="1" ht="14.5" x14ac:dyDescent="0.35">
      <c r="B29" s="254" t="s">
        <v>476</v>
      </c>
      <c r="E29" s="256">
        <f>IFERROR((E28-D28)/D28,"")</f>
        <v>0.14237935977066415</v>
      </c>
      <c r="F29" s="256">
        <f>IFERROR((F28-E28)/E28,"")</f>
        <v>0.220967517077931</v>
      </c>
      <c r="G29" s="257">
        <f>IFERROR((G28-F28)/F28,"")</f>
        <v>7.8785110755881307E-3</v>
      </c>
      <c r="H29" s="929">
        <v>0.6</v>
      </c>
      <c r="I29" s="929">
        <v>0.6</v>
      </c>
      <c r="J29" s="929">
        <v>0.6</v>
      </c>
      <c r="K29" s="929">
        <v>0.6</v>
      </c>
      <c r="L29" s="929">
        <v>0.6</v>
      </c>
      <c r="M29" s="929">
        <v>0.5</v>
      </c>
      <c r="N29" s="929">
        <v>0.5</v>
      </c>
      <c r="O29" s="929">
        <v>0.5</v>
      </c>
      <c r="P29" s="929">
        <v>0.4</v>
      </c>
      <c r="Q29" s="929">
        <v>0.4</v>
      </c>
      <c r="R29" s="929">
        <v>0.4</v>
      </c>
      <c r="S29" s="929">
        <v>0.4</v>
      </c>
      <c r="T29" s="929">
        <v>0.3</v>
      </c>
      <c r="U29" s="929">
        <v>0.3</v>
      </c>
      <c r="V29" s="929">
        <v>0.3</v>
      </c>
      <c r="W29" s="929">
        <v>0.3</v>
      </c>
      <c r="X29" s="929">
        <v>0.3</v>
      </c>
      <c r="Y29" s="929">
        <v>0.3</v>
      </c>
      <c r="Z29" s="929">
        <v>0.25</v>
      </c>
      <c r="AA29" s="929">
        <v>0.25</v>
      </c>
      <c r="AB29" s="929">
        <v>0.2</v>
      </c>
      <c r="AC29" s="258" t="s">
        <v>477</v>
      </c>
      <c r="AD29" s="258"/>
      <c r="AE29" s="258"/>
      <c r="AF29" s="258"/>
      <c r="AG29" s="258"/>
      <c r="AH29" s="258"/>
      <c r="AI29" s="258"/>
      <c r="AJ29" s="258"/>
      <c r="AK29" s="258"/>
      <c r="AL29" s="258"/>
      <c r="AM29" s="258"/>
      <c r="AN29" s="258"/>
      <c r="AO29" s="258"/>
      <c r="AP29" s="258"/>
      <c r="AQ29" s="258"/>
    </row>
    <row r="30" spans="1:43" ht="3.75" customHeight="1" x14ac:dyDescent="0.35">
      <c r="B30" s="151"/>
      <c r="E30" s="153"/>
      <c r="F30" s="153"/>
      <c r="G30" s="154"/>
      <c r="H30" s="152"/>
      <c r="I30" s="152"/>
      <c r="J30" s="152"/>
      <c r="K30" s="152"/>
      <c r="L30" s="152"/>
      <c r="O30" s="155"/>
      <c r="P30" s="155"/>
      <c r="Q30" s="155"/>
      <c r="AC30" s="229"/>
      <c r="AD30" s="229"/>
      <c r="AE30" s="229"/>
      <c r="AF30" s="229"/>
      <c r="AG30" s="229"/>
      <c r="AH30" s="229"/>
      <c r="AI30" s="229"/>
      <c r="AJ30" s="229"/>
      <c r="AK30" s="229"/>
      <c r="AL30" s="229"/>
      <c r="AM30" s="229"/>
      <c r="AN30" s="229"/>
      <c r="AO30" s="229"/>
      <c r="AP30" s="229"/>
      <c r="AQ30" s="229"/>
    </row>
    <row r="31" spans="1:43" ht="15.5" x14ac:dyDescent="0.35">
      <c r="B31" s="252" t="s">
        <v>271</v>
      </c>
      <c r="E31" s="934">
        <f>+_xlfn.XLOOKUP($B31,Inputs!$B:$B,Inputs!O:O)</f>
        <v>2.923</v>
      </c>
      <c r="F31" s="934">
        <f>+_xlfn.XLOOKUP($B31,Inputs!$B:$B,Inputs!P:P)</f>
        <v>4.1360000000000001</v>
      </c>
      <c r="G31" s="935">
        <f>+_xlfn.XLOOKUP($B31,Inputs!$B:$B,Inputs!Q:Q)</f>
        <v>3.2639999999999998</v>
      </c>
      <c r="H31" s="156">
        <f t="shared" ref="H31:AB31" si="13">H32*H$28</f>
        <v>5.649280000000001</v>
      </c>
      <c r="I31" s="156">
        <f t="shared" si="13"/>
        <v>9.0388480000000015</v>
      </c>
      <c r="J31" s="156">
        <f t="shared" si="13"/>
        <v>14.462156800000002</v>
      </c>
      <c r="K31" s="156">
        <f t="shared" si="13"/>
        <v>23.139450880000005</v>
      </c>
      <c r="L31" s="156">
        <f t="shared" si="13"/>
        <v>37.023121408000009</v>
      </c>
      <c r="M31" s="156">
        <f t="shared" si="13"/>
        <v>55.53468211200002</v>
      </c>
      <c r="N31" s="156">
        <f t="shared" si="13"/>
        <v>83.302023168000034</v>
      </c>
      <c r="O31" s="156">
        <f t="shared" si="13"/>
        <v>124.95303475200004</v>
      </c>
      <c r="P31" s="156">
        <f t="shared" si="13"/>
        <v>174.93424865280005</v>
      </c>
      <c r="Q31" s="156">
        <f t="shared" si="13"/>
        <v>244.90794811392004</v>
      </c>
      <c r="R31" s="156">
        <f t="shared" si="13"/>
        <v>342.87112735948801</v>
      </c>
      <c r="S31" s="156">
        <f t="shared" si="13"/>
        <v>480.0195783032832</v>
      </c>
      <c r="T31" s="156">
        <f t="shared" si="13"/>
        <v>624.02545179426818</v>
      </c>
      <c r="U31" s="156">
        <f t="shared" si="13"/>
        <v>811.23308733254862</v>
      </c>
      <c r="V31" s="156">
        <f t="shared" si="13"/>
        <v>1054.6030135323133</v>
      </c>
      <c r="W31" s="156">
        <f t="shared" si="13"/>
        <v>1370.9839175920072</v>
      </c>
      <c r="X31" s="156">
        <f t="shared" si="13"/>
        <v>1782.2790928696095</v>
      </c>
      <c r="Y31" s="156">
        <f t="shared" si="13"/>
        <v>2316.9628207304922</v>
      </c>
      <c r="Z31" s="156">
        <f t="shared" si="13"/>
        <v>2896.2035259131153</v>
      </c>
      <c r="AA31" s="156">
        <f t="shared" si="13"/>
        <v>3620.2544073913946</v>
      </c>
      <c r="AB31" s="156">
        <f t="shared" si="13"/>
        <v>4344.3052888696729</v>
      </c>
      <c r="AC31" s="863"/>
      <c r="AD31" s="863"/>
      <c r="AE31" s="863"/>
      <c r="AF31" s="863"/>
      <c r="AG31" s="863"/>
      <c r="AH31" s="863"/>
      <c r="AI31" s="863"/>
      <c r="AJ31" s="863"/>
      <c r="AK31" s="863"/>
      <c r="AL31" s="863"/>
      <c r="AM31" s="863"/>
      <c r="AN31" s="863"/>
      <c r="AO31" s="863"/>
      <c r="AP31" s="863"/>
      <c r="AQ31" s="863"/>
    </row>
    <row r="32" spans="1:43" s="253" customFormat="1" ht="14.5" x14ac:dyDescent="0.35">
      <c r="B32" s="262" t="s">
        <v>478</v>
      </c>
      <c r="E32" s="936">
        <f>IFERROR(E31/E$28,"")</f>
        <v>0.40750034852920675</v>
      </c>
      <c r="F32" s="936">
        <f>IFERROR(F31/F$28,"")</f>
        <v>0.47225393925553788</v>
      </c>
      <c r="G32" s="937">
        <f>IFERROR(G31/G$28,"")</f>
        <v>0.36977455534156561</v>
      </c>
      <c r="H32" s="279">
        <v>0.4</v>
      </c>
      <c r="I32" s="279">
        <v>0.4</v>
      </c>
      <c r="J32" s="279">
        <v>0.4</v>
      </c>
      <c r="K32" s="279">
        <v>0.4</v>
      </c>
      <c r="L32" s="279">
        <v>0.4</v>
      </c>
      <c r="M32" s="279">
        <v>0.4</v>
      </c>
      <c r="N32" s="279">
        <v>0.4</v>
      </c>
      <c r="O32" s="279">
        <v>0.4</v>
      </c>
      <c r="P32" s="279">
        <v>0.4</v>
      </c>
      <c r="Q32" s="279">
        <v>0.4</v>
      </c>
      <c r="R32" s="279">
        <v>0.4</v>
      </c>
      <c r="S32" s="279">
        <v>0.4</v>
      </c>
      <c r="T32" s="279">
        <v>0.4</v>
      </c>
      <c r="U32" s="279">
        <v>0.4</v>
      </c>
      <c r="V32" s="279">
        <v>0.4</v>
      </c>
      <c r="W32" s="279">
        <v>0.4</v>
      </c>
      <c r="X32" s="279">
        <v>0.4</v>
      </c>
      <c r="Y32" s="279">
        <v>0.4</v>
      </c>
      <c r="Z32" s="279">
        <v>0.4</v>
      </c>
      <c r="AA32" s="279">
        <v>0.4</v>
      </c>
      <c r="AB32" s="279">
        <v>0.4</v>
      </c>
      <c r="AC32" s="258" t="s">
        <v>479</v>
      </c>
      <c r="AD32" s="864"/>
      <c r="AE32" s="864"/>
      <c r="AF32" s="864" t="s">
        <v>480</v>
      </c>
      <c r="AG32" s="864" t="s">
        <v>481</v>
      </c>
      <c r="AH32" s="864" t="s">
        <v>482</v>
      </c>
      <c r="AI32" s="864"/>
      <c r="AJ32" s="864"/>
      <c r="AK32" s="864"/>
      <c r="AL32" s="864"/>
      <c r="AM32" s="864"/>
      <c r="AN32" s="864"/>
      <c r="AO32" s="864"/>
      <c r="AP32" s="864"/>
      <c r="AQ32" s="864"/>
    </row>
    <row r="33" spans="2:43" ht="5.25" customHeight="1" x14ac:dyDescent="0.35">
      <c r="B33" s="151"/>
      <c r="E33" s="153"/>
      <c r="F33" s="153"/>
      <c r="G33" s="154"/>
      <c r="H33" s="159"/>
      <c r="I33" s="159"/>
      <c r="J33" s="159"/>
      <c r="K33" s="159"/>
      <c r="L33" s="159"/>
      <c r="M33" s="159"/>
      <c r="N33" s="159"/>
      <c r="O33" s="159"/>
      <c r="P33" s="159"/>
      <c r="Q33" s="159"/>
      <c r="AC33" s="229"/>
      <c r="AD33" s="229"/>
      <c r="AE33" s="229"/>
      <c r="AF33" s="229"/>
      <c r="AG33" s="229"/>
      <c r="AH33" s="229"/>
      <c r="AI33" s="229"/>
      <c r="AJ33" s="229"/>
      <c r="AK33" s="229"/>
      <c r="AL33" s="229"/>
      <c r="AM33" s="229"/>
      <c r="AN33" s="229"/>
      <c r="AO33" s="229"/>
      <c r="AP33" s="229"/>
      <c r="AQ33" s="229"/>
    </row>
    <row r="34" spans="2:43" ht="15.5" x14ac:dyDescent="0.35">
      <c r="B34" s="127" t="s">
        <v>272</v>
      </c>
      <c r="E34" s="934">
        <f>+_xlfn.XLOOKUP($B34,Inputs!$B:$B,Inputs!O:O)</f>
        <v>4.25</v>
      </c>
      <c r="F34" s="934">
        <f>+_xlfn.XLOOKUP($B34,Inputs!$B:$B,Inputs!P:P)</f>
        <v>4.6219999999999999</v>
      </c>
      <c r="G34" s="935">
        <f>+_xlfn.XLOOKUP($B34,Inputs!$B:$B,Inputs!Q:Q)</f>
        <v>5.5629999999999997</v>
      </c>
      <c r="H34" s="156">
        <f>+H28-H31</f>
        <v>8.4739199999999997</v>
      </c>
      <c r="I34" s="156">
        <f t="shared" ref="I34:AB34" si="14">+I28-I31</f>
        <v>13.558272000000002</v>
      </c>
      <c r="J34" s="156">
        <f t="shared" si="14"/>
        <v>21.693235200000004</v>
      </c>
      <c r="K34" s="156">
        <f t="shared" si="14"/>
        <v>34.709176320000005</v>
      </c>
      <c r="L34" s="156">
        <f t="shared" si="14"/>
        <v>55.534682112000013</v>
      </c>
      <c r="M34" s="156">
        <f t="shared" si="14"/>
        <v>83.302023168000034</v>
      </c>
      <c r="N34" s="156">
        <f t="shared" si="14"/>
        <v>124.95303475200004</v>
      </c>
      <c r="O34" s="156">
        <f t="shared" si="14"/>
        <v>187.42955212800004</v>
      </c>
      <c r="P34" s="156">
        <f t="shared" si="14"/>
        <v>262.4013729792</v>
      </c>
      <c r="Q34" s="156">
        <f t="shared" si="14"/>
        <v>367.36192217088001</v>
      </c>
      <c r="R34" s="156">
        <f t="shared" si="14"/>
        <v>514.30669103923196</v>
      </c>
      <c r="S34" s="156">
        <f t="shared" si="14"/>
        <v>720.0293674549248</v>
      </c>
      <c r="T34" s="156">
        <f t="shared" si="14"/>
        <v>936.03817769140221</v>
      </c>
      <c r="U34" s="156">
        <f t="shared" si="14"/>
        <v>1216.8496309988229</v>
      </c>
      <c r="V34" s="156">
        <f t="shared" si="14"/>
        <v>1581.9045202984696</v>
      </c>
      <c r="W34" s="156">
        <f t="shared" si="14"/>
        <v>2056.4758763880109</v>
      </c>
      <c r="X34" s="156">
        <f t="shared" si="14"/>
        <v>2673.4186393044138</v>
      </c>
      <c r="Y34" s="156">
        <f t="shared" si="14"/>
        <v>3475.4442310957384</v>
      </c>
      <c r="Z34" s="156">
        <f t="shared" si="14"/>
        <v>4344.3052888696729</v>
      </c>
      <c r="AA34" s="156">
        <f t="shared" si="14"/>
        <v>5430.3816110870921</v>
      </c>
      <c r="AB34" s="156">
        <f t="shared" si="14"/>
        <v>6516.4579333045094</v>
      </c>
      <c r="AC34" s="863"/>
      <c r="AD34" s="863"/>
      <c r="AE34" s="863"/>
      <c r="AF34" s="863"/>
      <c r="AG34" s="863"/>
      <c r="AH34" s="863"/>
      <c r="AI34" s="863"/>
      <c r="AJ34" s="863"/>
      <c r="AK34" s="863"/>
      <c r="AL34" s="863"/>
      <c r="AM34" s="863"/>
      <c r="AN34" s="863"/>
      <c r="AO34" s="863"/>
      <c r="AP34" s="863"/>
      <c r="AQ34" s="863"/>
    </row>
    <row r="35" spans="2:43" s="253" customFormat="1" ht="14.5" x14ac:dyDescent="0.35">
      <c r="B35" s="253" t="s">
        <v>31</v>
      </c>
      <c r="E35" s="936">
        <f t="shared" ref="E35:AB35" si="15">IFERROR(E34/E$28,"")</f>
        <v>0.5924996514707932</v>
      </c>
      <c r="F35" s="936">
        <f t="shared" si="15"/>
        <v>0.52774606074446229</v>
      </c>
      <c r="G35" s="937">
        <f t="shared" si="15"/>
        <v>0.63022544465843433</v>
      </c>
      <c r="H35" s="255">
        <f t="shared" si="15"/>
        <v>0.6</v>
      </c>
      <c r="I35" s="255">
        <f t="shared" si="15"/>
        <v>0.6</v>
      </c>
      <c r="J35" s="255">
        <f t="shared" si="15"/>
        <v>0.6</v>
      </c>
      <c r="K35" s="255">
        <f t="shared" si="15"/>
        <v>0.6</v>
      </c>
      <c r="L35" s="255">
        <f t="shared" si="15"/>
        <v>0.6</v>
      </c>
      <c r="M35" s="255">
        <f t="shared" si="15"/>
        <v>0.60000000000000009</v>
      </c>
      <c r="N35" s="255">
        <f t="shared" si="15"/>
        <v>0.6</v>
      </c>
      <c r="O35" s="255">
        <f t="shared" si="15"/>
        <v>0.6</v>
      </c>
      <c r="P35" s="255">
        <f t="shared" si="15"/>
        <v>0.59999999999999987</v>
      </c>
      <c r="Q35" s="255">
        <f t="shared" si="15"/>
        <v>0.6</v>
      </c>
      <c r="R35" s="255">
        <f t="shared" si="15"/>
        <v>0.6</v>
      </c>
      <c r="S35" s="255">
        <f t="shared" si="15"/>
        <v>0.6</v>
      </c>
      <c r="T35" s="255">
        <f t="shared" si="15"/>
        <v>0.6</v>
      </c>
      <c r="U35" s="255">
        <f t="shared" si="15"/>
        <v>0.6</v>
      </c>
      <c r="V35" s="255">
        <f t="shared" si="15"/>
        <v>0.6</v>
      </c>
      <c r="W35" s="255">
        <f t="shared" si="15"/>
        <v>0.60000000000000009</v>
      </c>
      <c r="X35" s="255">
        <f t="shared" si="15"/>
        <v>0.6</v>
      </c>
      <c r="Y35" s="255">
        <f t="shared" si="15"/>
        <v>0.6</v>
      </c>
      <c r="Z35" s="255">
        <f t="shared" si="15"/>
        <v>0.6</v>
      </c>
      <c r="AA35" s="255">
        <f t="shared" si="15"/>
        <v>0.60000000000000009</v>
      </c>
      <c r="AB35" s="255">
        <f t="shared" si="15"/>
        <v>0.6</v>
      </c>
      <c r="AC35" s="865"/>
      <c r="AD35" s="865"/>
      <c r="AE35" s="865"/>
      <c r="AF35" s="865"/>
      <c r="AG35" s="865"/>
      <c r="AH35" s="865"/>
      <c r="AI35" s="865"/>
      <c r="AJ35" s="865"/>
      <c r="AK35" s="865"/>
      <c r="AL35" s="865"/>
      <c r="AM35" s="865"/>
      <c r="AN35" s="865"/>
      <c r="AO35" s="865"/>
      <c r="AP35" s="865"/>
      <c r="AQ35" s="865"/>
    </row>
    <row r="36" spans="2:43" ht="3.75" customHeight="1" x14ac:dyDescent="0.35">
      <c r="G36" s="157"/>
      <c r="H36" s="132"/>
      <c r="I36" s="132"/>
      <c r="J36" s="132"/>
      <c r="K36" s="132"/>
      <c r="L36" s="132"/>
      <c r="O36" s="132"/>
      <c r="P36" s="132"/>
      <c r="Q36" s="132"/>
      <c r="AC36" s="229"/>
      <c r="AD36" s="229"/>
      <c r="AE36" s="229"/>
      <c r="AF36" s="229"/>
      <c r="AG36" s="229"/>
      <c r="AH36" s="229"/>
      <c r="AI36" s="229"/>
      <c r="AJ36" s="229"/>
      <c r="AK36" s="229"/>
      <c r="AL36" s="229"/>
      <c r="AM36" s="229"/>
      <c r="AN36" s="229"/>
      <c r="AO36" s="229"/>
      <c r="AP36" s="229"/>
      <c r="AQ36" s="229"/>
    </row>
    <row r="37" spans="2:43" ht="14.25" customHeight="1" x14ac:dyDescent="0.35">
      <c r="B37" s="252" t="s">
        <v>483</v>
      </c>
      <c r="E37" s="934">
        <f>+_xlfn.XLOOKUP($B37,Inputs!$B:$B,Inputs!O:O)</f>
        <v>31.606999999999999</v>
      </c>
      <c r="F37" s="934">
        <f>+_xlfn.XLOOKUP($B37,Inputs!$B:$B,Inputs!P:P)</f>
        <v>47.29</v>
      </c>
      <c r="G37" s="935">
        <f>+_xlfn.XLOOKUP($B37,Inputs!$B:$B,Inputs!Q:Q)</f>
        <v>47.485999999999997</v>
      </c>
      <c r="H37" s="156">
        <f>H38*H28</f>
        <v>42.369600000000005</v>
      </c>
      <c r="I37" s="156">
        <f t="shared" ref="I37:AB37" si="16">I38*I28</f>
        <v>45.194240000000008</v>
      </c>
      <c r="J37" s="156">
        <f t="shared" si="16"/>
        <v>43.386470400000007</v>
      </c>
      <c r="K37" s="156">
        <f t="shared" si="16"/>
        <v>46.278901760000011</v>
      </c>
      <c r="L37" s="156">
        <f t="shared" si="16"/>
        <v>46.278901760000011</v>
      </c>
      <c r="M37" s="156">
        <f t="shared" si="16"/>
        <v>41.65101158400001</v>
      </c>
      <c r="N37" s="156">
        <f t="shared" si="16"/>
        <v>41.651011584000017</v>
      </c>
      <c r="O37" s="156">
        <f t="shared" si="16"/>
        <v>46.85738803200001</v>
      </c>
      <c r="P37" s="156">
        <f t="shared" si="16"/>
        <v>43.733562163200013</v>
      </c>
      <c r="Q37" s="156">
        <f t="shared" si="16"/>
        <v>61.226987028480011</v>
      </c>
      <c r="R37" s="156">
        <f t="shared" si="16"/>
        <v>68.574225471897606</v>
      </c>
      <c r="S37" s="156">
        <f t="shared" si="16"/>
        <v>84.003426203074568</v>
      </c>
      <c r="T37" s="156">
        <f t="shared" si="16"/>
        <v>93.603817769140221</v>
      </c>
      <c r="U37" s="156">
        <f t="shared" si="16"/>
        <v>101.40413591656858</v>
      </c>
      <c r="V37" s="156">
        <f t="shared" si="16"/>
        <v>131.82537669153916</v>
      </c>
      <c r="W37" s="156">
        <f t="shared" si="16"/>
        <v>137.09839175920072</v>
      </c>
      <c r="X37" s="156">
        <f t="shared" si="16"/>
        <v>178.22790928696094</v>
      </c>
      <c r="Y37" s="156">
        <f t="shared" si="16"/>
        <v>173.77221155478691</v>
      </c>
      <c r="Z37" s="156">
        <f t="shared" si="16"/>
        <v>144.81017629565576</v>
      </c>
      <c r="AA37" s="156">
        <f t="shared" si="16"/>
        <v>181.01272036956973</v>
      </c>
      <c r="AB37" s="156">
        <f t="shared" si="16"/>
        <v>217.21526444348365</v>
      </c>
      <c r="AC37" s="258" t="s">
        <v>484</v>
      </c>
      <c r="AD37" s="863"/>
      <c r="AE37" s="863"/>
      <c r="AF37" s="863"/>
      <c r="AG37" s="863"/>
      <c r="AH37" s="863"/>
      <c r="AI37" s="863"/>
      <c r="AJ37" s="863"/>
      <c r="AK37" s="863"/>
      <c r="AL37" s="863"/>
      <c r="AM37" s="863"/>
      <c r="AN37" s="863"/>
      <c r="AO37" s="863"/>
      <c r="AP37" s="863"/>
      <c r="AQ37" s="863"/>
    </row>
    <row r="38" spans="2:43" s="253" customFormat="1" ht="14.5" x14ac:dyDescent="0.35">
      <c r="B38" s="262" t="s">
        <v>33</v>
      </c>
      <c r="E38" s="940">
        <f t="shared" ref="E38:G38" si="17">IFERROR(E37/E$28,"")</f>
        <v>4.4063850550676147</v>
      </c>
      <c r="F38" s="940">
        <f t="shared" si="17"/>
        <v>5.3996346197762053</v>
      </c>
      <c r="G38" s="941">
        <f t="shared" si="17"/>
        <v>5.3796306785997503</v>
      </c>
      <c r="H38" s="266">
        <v>3</v>
      </c>
      <c r="I38" s="927">
        <v>2</v>
      </c>
      <c r="J38" s="927">
        <v>1.2</v>
      </c>
      <c r="K38" s="927">
        <v>0.8</v>
      </c>
      <c r="L38" s="927">
        <v>0.5</v>
      </c>
      <c r="M38" s="927">
        <v>0.3</v>
      </c>
      <c r="N38" s="927">
        <v>0.2</v>
      </c>
      <c r="O38" s="927">
        <v>0.15</v>
      </c>
      <c r="P38" s="927">
        <v>0.1</v>
      </c>
      <c r="Q38" s="927">
        <v>0.1</v>
      </c>
      <c r="R38" s="927">
        <v>0.08</v>
      </c>
      <c r="S38" s="927">
        <v>7.0000000000000007E-2</v>
      </c>
      <c r="T38" s="927">
        <v>0.06</v>
      </c>
      <c r="U38" s="927">
        <v>0.05</v>
      </c>
      <c r="V38" s="927">
        <v>0.05</v>
      </c>
      <c r="W38" s="927">
        <v>0.04</v>
      </c>
      <c r="X38" s="927">
        <v>0.04</v>
      </c>
      <c r="Y38" s="927">
        <v>0.03</v>
      </c>
      <c r="Z38" s="927">
        <v>0.02</v>
      </c>
      <c r="AA38" s="927">
        <v>0.02</v>
      </c>
      <c r="AB38" s="927">
        <v>0.02</v>
      </c>
      <c r="AC38" s="864"/>
      <c r="AD38" s="864"/>
      <c r="AE38" s="864"/>
      <c r="AF38" s="864"/>
      <c r="AG38" s="864"/>
      <c r="AH38" s="864"/>
      <c r="AI38" s="864"/>
      <c r="AJ38" s="864"/>
      <c r="AK38" s="864"/>
      <c r="AL38" s="864"/>
      <c r="AM38" s="864"/>
      <c r="AN38" s="864"/>
      <c r="AO38" s="864"/>
      <c r="AP38" s="864"/>
      <c r="AQ38" s="864"/>
    </row>
    <row r="39" spans="2:43" ht="3.75" customHeight="1" x14ac:dyDescent="0.35">
      <c r="B39" s="151"/>
      <c r="E39" s="153"/>
      <c r="F39" s="153"/>
      <c r="G39" s="154"/>
      <c r="H39" s="152"/>
      <c r="I39" s="152"/>
      <c r="J39" s="152"/>
      <c r="K39" s="152"/>
      <c r="L39" s="152"/>
      <c r="O39" s="132"/>
      <c r="P39" s="132"/>
      <c r="Q39" s="132"/>
      <c r="AC39" s="229"/>
      <c r="AD39" s="229"/>
      <c r="AE39" s="229"/>
      <c r="AF39" s="229"/>
      <c r="AG39" s="229"/>
      <c r="AH39" s="229"/>
      <c r="AI39" s="229"/>
      <c r="AJ39" s="229"/>
      <c r="AK39" s="229"/>
      <c r="AL39" s="229"/>
      <c r="AM39" s="229"/>
      <c r="AN39" s="229"/>
      <c r="AO39" s="229"/>
      <c r="AP39" s="229"/>
      <c r="AQ39" s="229"/>
    </row>
    <row r="40" spans="2:43" ht="15.5" x14ac:dyDescent="0.35">
      <c r="B40" s="252" t="s">
        <v>284</v>
      </c>
      <c r="E40" s="934">
        <f>+_xlfn.XLOOKUP($B40,Inputs!$B:$B,Inputs!O:O)</f>
        <v>32.100999999999999</v>
      </c>
      <c r="F40" s="934">
        <f>+_xlfn.XLOOKUP($B40,Inputs!$B:$B,Inputs!P:P)</f>
        <v>37.878</v>
      </c>
      <c r="G40" s="935">
        <f>+_xlfn.XLOOKUP($B40,Inputs!$B:$B,Inputs!Q:Q)</f>
        <v>35.299999999999997</v>
      </c>
      <c r="H40" s="156">
        <f>G40*(1+H41)</f>
        <v>52.949999999999996</v>
      </c>
      <c r="I40" s="156">
        <f t="shared" ref="I40:AB40" si="18">H40*(1+I41)</f>
        <v>79.424999999999997</v>
      </c>
      <c r="J40" s="156">
        <f t="shared" si="18"/>
        <v>119.13749999999999</v>
      </c>
      <c r="K40" s="156">
        <f t="shared" si="18"/>
        <v>166.79249999999996</v>
      </c>
      <c r="L40" s="156">
        <f t="shared" si="18"/>
        <v>216.83024999999995</v>
      </c>
      <c r="M40" s="156">
        <f t="shared" si="18"/>
        <v>281.87932499999994</v>
      </c>
      <c r="N40" s="156">
        <f t="shared" si="18"/>
        <v>310.06725749999998</v>
      </c>
      <c r="O40" s="156">
        <f t="shared" si="18"/>
        <v>328.67129295000001</v>
      </c>
      <c r="P40" s="156">
        <f t="shared" si="18"/>
        <v>345.10485759750003</v>
      </c>
      <c r="Q40" s="156">
        <f t="shared" si="18"/>
        <v>358.90905190140006</v>
      </c>
      <c r="R40" s="156">
        <f t="shared" si="18"/>
        <v>369.67632345844208</v>
      </c>
      <c r="S40" s="156">
        <f t="shared" si="18"/>
        <v>380.76661316219537</v>
      </c>
      <c r="T40" s="156">
        <f t="shared" si="18"/>
        <v>392.18961155706126</v>
      </c>
      <c r="U40" s="156">
        <f t="shared" si="18"/>
        <v>403.9552999037731</v>
      </c>
      <c r="V40" s="156">
        <f t="shared" si="18"/>
        <v>416.07395890088628</v>
      </c>
      <c r="W40" s="156">
        <f t="shared" si="18"/>
        <v>428.55617766791289</v>
      </c>
      <c r="X40" s="156">
        <f t="shared" si="18"/>
        <v>441.4128629979503</v>
      </c>
      <c r="Y40" s="156">
        <f t="shared" si="18"/>
        <v>454.65524888788883</v>
      </c>
      <c r="Z40" s="156">
        <f t="shared" si="18"/>
        <v>468.29490635452549</v>
      </c>
      <c r="AA40" s="156">
        <f t="shared" si="18"/>
        <v>482.34375354516129</v>
      </c>
      <c r="AB40" s="156">
        <f t="shared" si="18"/>
        <v>496.81406615151616</v>
      </c>
      <c r="AC40" s="258" t="s">
        <v>484</v>
      </c>
      <c r="AD40" s="863"/>
      <c r="AE40" s="863"/>
      <c r="AF40" s="863"/>
      <c r="AG40" s="863"/>
      <c r="AH40" s="863"/>
      <c r="AI40" s="863"/>
      <c r="AJ40" s="863"/>
      <c r="AK40" s="863"/>
      <c r="AL40" s="863"/>
      <c r="AM40" s="863"/>
      <c r="AN40" s="863"/>
      <c r="AO40" s="863"/>
      <c r="AP40" s="863"/>
      <c r="AQ40" s="863"/>
    </row>
    <row r="41" spans="2:43" s="253" customFormat="1" ht="14.5" x14ac:dyDescent="0.35">
      <c r="B41" s="262" t="s">
        <v>485</v>
      </c>
      <c r="E41" s="940">
        <f>IFERROR(E40/E28,"")</f>
        <v>4.4752544263209257</v>
      </c>
      <c r="F41" s="940">
        <f>IFERROR(F40/F28,"")</f>
        <v>4.3249600365380232</v>
      </c>
      <c r="G41" s="941">
        <f>IFERROR(G40/G28,"")</f>
        <v>3.9990936898153389</v>
      </c>
      <c r="H41" s="279">
        <v>0.5</v>
      </c>
      <c r="I41" s="279">
        <v>0.5</v>
      </c>
      <c r="J41" s="279">
        <v>0.5</v>
      </c>
      <c r="K41" s="279">
        <v>0.4</v>
      </c>
      <c r="L41" s="279">
        <v>0.3</v>
      </c>
      <c r="M41" s="279">
        <v>0.3</v>
      </c>
      <c r="N41" s="279">
        <v>0.1</v>
      </c>
      <c r="O41" s="279">
        <v>0.06</v>
      </c>
      <c r="P41" s="279">
        <v>0.05</v>
      </c>
      <c r="Q41" s="279">
        <v>0.04</v>
      </c>
      <c r="R41" s="279">
        <v>0.03</v>
      </c>
      <c r="S41" s="279">
        <v>0.03</v>
      </c>
      <c r="T41" s="279">
        <v>0.03</v>
      </c>
      <c r="U41" s="279">
        <v>0.03</v>
      </c>
      <c r="V41" s="279">
        <v>0.03</v>
      </c>
      <c r="W41" s="279">
        <v>0.03</v>
      </c>
      <c r="X41" s="279">
        <v>0.03</v>
      </c>
      <c r="Y41" s="279">
        <v>0.03</v>
      </c>
      <c r="Z41" s="279">
        <v>0.03</v>
      </c>
      <c r="AA41" s="279">
        <v>0.03</v>
      </c>
      <c r="AB41" s="279">
        <v>0.03</v>
      </c>
      <c r="AC41" s="864"/>
      <c r="AD41" s="864"/>
      <c r="AE41" s="864"/>
      <c r="AF41" s="864"/>
      <c r="AG41" s="864"/>
      <c r="AH41" s="864"/>
      <c r="AI41" s="864"/>
      <c r="AJ41" s="864"/>
      <c r="AK41" s="864"/>
      <c r="AL41" s="864"/>
      <c r="AM41" s="864"/>
      <c r="AN41" s="864"/>
      <c r="AO41" s="864"/>
      <c r="AP41" s="864"/>
      <c r="AQ41" s="864"/>
    </row>
    <row r="42" spans="2:43" s="229" customFormat="1" ht="5.25" customHeight="1" x14ac:dyDescent="0.35">
      <c r="B42" s="247"/>
      <c r="E42" s="248"/>
      <c r="F42" s="248"/>
      <c r="G42" s="249"/>
      <c r="H42" s="250"/>
      <c r="I42" s="250"/>
      <c r="J42" s="250"/>
      <c r="K42" s="250"/>
      <c r="L42" s="250"/>
      <c r="O42" s="251"/>
      <c r="P42" s="251"/>
      <c r="Q42" s="251"/>
    </row>
    <row r="43" spans="2:43" ht="15.5" x14ac:dyDescent="0.35">
      <c r="B43" s="464" t="s">
        <v>486</v>
      </c>
      <c r="E43" s="934">
        <f>+_xlfn.XLOOKUP($B43,Inputs!$B:$B,Inputs!O:O)</f>
        <v>0</v>
      </c>
      <c r="F43" s="934">
        <f>+_xlfn.XLOOKUP($B43,Inputs!$B:$B,Inputs!P:P)</f>
        <v>-3.278</v>
      </c>
      <c r="G43" s="935">
        <f>+_xlfn.XLOOKUP($B43,Inputs!$B:$B,Inputs!Q:Q)</f>
        <v>-4.4370000000000003</v>
      </c>
      <c r="H43" s="156">
        <f t="shared" ref="H43:AB43" si="19">IFERROR(AVERAGE(E43:G43)*(1+H29),"")</f>
        <v>-4.1146666666666674</v>
      </c>
      <c r="I43" s="156">
        <f t="shared" si="19"/>
        <v>-6.3091555555555567</v>
      </c>
      <c r="J43" s="156">
        <f t="shared" si="19"/>
        <v>-7.9257718518518532</v>
      </c>
      <c r="K43" s="156">
        <f t="shared" si="19"/>
        <v>-9.7864501728395084</v>
      </c>
      <c r="L43" s="156">
        <f t="shared" si="19"/>
        <v>-12.811401376131691</v>
      </c>
      <c r="M43" s="156">
        <f t="shared" si="19"/>
        <v>-15.261811700411528</v>
      </c>
      <c r="N43" s="156">
        <f t="shared" si="19"/>
        <v>-18.929831624691364</v>
      </c>
      <c r="O43" s="156">
        <f t="shared" si="19"/>
        <v>-23.501522350617293</v>
      </c>
      <c r="P43" s="156">
        <f t="shared" si="19"/>
        <v>-26.923477315336083</v>
      </c>
      <c r="Q43" s="156">
        <f t="shared" si="19"/>
        <v>-32.36558793563421</v>
      </c>
      <c r="R43" s="156">
        <f t="shared" si="19"/>
        <v>-38.635607547407538</v>
      </c>
      <c r="S43" s="156">
        <f t="shared" si="19"/>
        <v>-45.698180639242985</v>
      </c>
      <c r="T43" s="156">
        <f t="shared" si="19"/>
        <v>-50.569729652990056</v>
      </c>
      <c r="U43" s="156">
        <f t="shared" si="19"/>
        <v>-58.458191063844254</v>
      </c>
      <c r="V43" s="156">
        <f t="shared" si="19"/>
        <v>-67.047977254300164</v>
      </c>
      <c r="W43" s="156">
        <f t="shared" si="19"/>
        <v>-76.299555787491599</v>
      </c>
      <c r="X43" s="156">
        <f t="shared" si="19"/>
        <v>-87.44914711244229</v>
      </c>
      <c r="Y43" s="156">
        <f t="shared" si="19"/>
        <v>-100.01189473350142</v>
      </c>
      <c r="Z43" s="156">
        <f t="shared" si="19"/>
        <v>-109.9002490139314</v>
      </c>
      <c r="AA43" s="156">
        <f t="shared" si="19"/>
        <v>-123.9005378582813</v>
      </c>
      <c r="AB43" s="156">
        <f t="shared" si="19"/>
        <v>-133.52507264228564</v>
      </c>
      <c r="AC43" s="258" t="s">
        <v>487</v>
      </c>
      <c r="AD43" s="863"/>
      <c r="AE43" s="863"/>
      <c r="AF43" s="863"/>
      <c r="AG43" s="863"/>
      <c r="AH43" s="863"/>
      <c r="AI43" s="863"/>
      <c r="AJ43" s="863"/>
      <c r="AK43" s="863"/>
      <c r="AL43" s="863"/>
      <c r="AM43" s="863"/>
      <c r="AN43" s="863"/>
      <c r="AO43" s="863"/>
      <c r="AP43" s="863"/>
      <c r="AQ43" s="863"/>
    </row>
    <row r="44" spans="2:43" ht="5.25" customHeight="1" x14ac:dyDescent="0.35">
      <c r="B44" s="197"/>
      <c r="E44" s="149"/>
      <c r="F44" s="149"/>
      <c r="G44" s="246"/>
      <c r="H44" s="159"/>
      <c r="I44" s="159"/>
      <c r="J44" s="159"/>
      <c r="K44" s="159"/>
      <c r="L44" s="159"/>
      <c r="O44" s="158"/>
      <c r="P44" s="158"/>
      <c r="Q44" s="158"/>
      <c r="AC44" s="229"/>
      <c r="AD44" s="229"/>
      <c r="AE44" s="229"/>
      <c r="AF44" s="229"/>
      <c r="AG44" s="229"/>
      <c r="AH44" s="229"/>
      <c r="AI44" s="229"/>
      <c r="AJ44" s="229"/>
      <c r="AK44" s="229"/>
      <c r="AL44" s="229"/>
      <c r="AM44" s="229"/>
      <c r="AN44" s="229"/>
      <c r="AO44" s="229"/>
      <c r="AP44" s="229"/>
      <c r="AQ44" s="229"/>
    </row>
    <row r="45" spans="2:43" ht="15.5" x14ac:dyDescent="0.35">
      <c r="B45" s="197" t="s">
        <v>213</v>
      </c>
      <c r="E45" s="934">
        <f>+_xlfn.XLOOKUP($B45,Inputs!$B:$B,Inputs!O:O)</f>
        <v>-57.125</v>
      </c>
      <c r="F45" s="934">
        <f>+_xlfn.XLOOKUP($B45,Inputs!$B:$B,Inputs!P:P)</f>
        <v>-75.423000000000002</v>
      </c>
      <c r="G45" s="935">
        <f>+_xlfn.XLOOKUP($B45,Inputs!$B:$B,Inputs!Q:Q)</f>
        <v>-69.293999999999997</v>
      </c>
      <c r="H45" s="156">
        <f t="shared" ref="H45:AB45" si="20">IFERROR(H34-H37-H40-H43,"")</f>
        <v>-82.731013333333337</v>
      </c>
      <c r="I45" s="156">
        <f t="shared" si="20"/>
        <v>-104.75181244444444</v>
      </c>
      <c r="J45" s="156">
        <f t="shared" si="20"/>
        <v>-132.90496334814813</v>
      </c>
      <c r="K45" s="156">
        <f t="shared" si="20"/>
        <v>-168.57577526716045</v>
      </c>
      <c r="L45" s="156">
        <f t="shared" si="20"/>
        <v>-194.76306827186824</v>
      </c>
      <c r="M45" s="156">
        <f t="shared" si="20"/>
        <v>-224.96650171558838</v>
      </c>
      <c r="N45" s="156">
        <f t="shared" si="20"/>
        <v>-207.83540270730862</v>
      </c>
      <c r="O45" s="156">
        <f t="shared" si="20"/>
        <v>-164.59760650338268</v>
      </c>
      <c r="P45" s="156">
        <f t="shared" si="20"/>
        <v>-99.513569466163958</v>
      </c>
      <c r="Q45" s="156">
        <f t="shared" si="20"/>
        <v>-20.408528823365884</v>
      </c>
      <c r="R45" s="156">
        <f t="shared" si="20"/>
        <v>114.69174965629983</v>
      </c>
      <c r="S45" s="156">
        <f t="shared" si="20"/>
        <v>300.95750872889784</v>
      </c>
      <c r="T45" s="156">
        <f t="shared" si="20"/>
        <v>500.81447801819087</v>
      </c>
      <c r="U45" s="156">
        <f t="shared" si="20"/>
        <v>769.94838624232557</v>
      </c>
      <c r="V45" s="156">
        <f t="shared" si="20"/>
        <v>1101.0531619603444</v>
      </c>
      <c r="W45" s="156">
        <f t="shared" si="20"/>
        <v>1567.1208627483888</v>
      </c>
      <c r="X45" s="156">
        <f t="shared" si="20"/>
        <v>2141.227014131945</v>
      </c>
      <c r="Y45" s="156">
        <f t="shared" si="20"/>
        <v>2947.0286653865642</v>
      </c>
      <c r="Z45" s="156">
        <f t="shared" si="20"/>
        <v>3841.100455233423</v>
      </c>
      <c r="AA45" s="156">
        <f t="shared" si="20"/>
        <v>4890.9256750306422</v>
      </c>
      <c r="AB45" s="156">
        <f t="shared" si="20"/>
        <v>5935.953675351795</v>
      </c>
      <c r="AC45" s="863"/>
      <c r="AD45" s="863"/>
      <c r="AE45" s="863"/>
      <c r="AF45" s="863"/>
      <c r="AG45" s="863"/>
      <c r="AH45" s="863"/>
      <c r="AI45" s="863"/>
      <c r="AJ45" s="863"/>
      <c r="AK45" s="863"/>
      <c r="AL45" s="863"/>
      <c r="AM45" s="863"/>
      <c r="AN45" s="863"/>
      <c r="AO45" s="863"/>
      <c r="AP45" s="863"/>
      <c r="AQ45" s="863"/>
    </row>
    <row r="46" spans="2:43" s="253" customFormat="1" ht="14.5" x14ac:dyDescent="0.35">
      <c r="B46" s="253" t="s">
        <v>29</v>
      </c>
      <c r="E46" s="938">
        <f t="shared" ref="E46:AB46" si="21">IFERROR(E45/E$28,"")</f>
        <v>-7.963892374180956</v>
      </c>
      <c r="F46" s="938">
        <f t="shared" si="21"/>
        <v>-8.6118976935373386</v>
      </c>
      <c r="G46" s="939">
        <f t="shared" si="21"/>
        <v>-7.8502322419848189</v>
      </c>
      <c r="H46" s="255">
        <f t="shared" si="21"/>
        <v>-5.857809372757826</v>
      </c>
      <c r="I46" s="255">
        <f t="shared" si="21"/>
        <v>-4.6356266835970432</v>
      </c>
      <c r="J46" s="255">
        <f t="shared" si="21"/>
        <v>-3.6759375572016508</v>
      </c>
      <c r="K46" s="255">
        <f t="shared" si="21"/>
        <v>-2.9140842821445627</v>
      </c>
      <c r="L46" s="255">
        <f t="shared" si="21"/>
        <v>-2.1042317434616256</v>
      </c>
      <c r="M46" s="255">
        <f t="shared" si="21"/>
        <v>-1.6203676200892652</v>
      </c>
      <c r="N46" s="255">
        <f t="shared" si="21"/>
        <v>-0.99798489786090738</v>
      </c>
      <c r="O46" s="255">
        <f t="shared" si="21"/>
        <v>-0.52691031259886412</v>
      </c>
      <c r="P46" s="255">
        <f t="shared" si="21"/>
        <v>-0.22754508104052984</v>
      </c>
      <c r="Q46" s="255">
        <f t="shared" si="21"/>
        <v>-3.3332570838203693E-2</v>
      </c>
      <c r="R46" s="255">
        <f t="shared" si="21"/>
        <v>0.13380158374904477</v>
      </c>
      <c r="S46" s="255">
        <f t="shared" si="21"/>
        <v>0.25078769477918972</v>
      </c>
      <c r="T46" s="255">
        <f t="shared" si="21"/>
        <v>0.32102182792589168</v>
      </c>
      <c r="U46" s="255">
        <f t="shared" si="21"/>
        <v>0.37964348262668962</v>
      </c>
      <c r="V46" s="255">
        <f t="shared" si="21"/>
        <v>0.4176180601921286</v>
      </c>
      <c r="W46" s="255">
        <f t="shared" si="21"/>
        <v>0.45722516293287413</v>
      </c>
      <c r="X46" s="255">
        <f t="shared" si="21"/>
        <v>0.48055930694544619</v>
      </c>
      <c r="Y46" s="255">
        <f t="shared" si="21"/>
        <v>0.50877444195801547</v>
      </c>
      <c r="Z46" s="255">
        <f t="shared" si="21"/>
        <v>0.53050145417834893</v>
      </c>
      <c r="AA46" s="255">
        <f t="shared" si="21"/>
        <v>0.54039579815660976</v>
      </c>
      <c r="AB46" s="255">
        <f t="shared" si="21"/>
        <v>0.54655032560073569</v>
      </c>
      <c r="AC46" s="865"/>
      <c r="AD46" s="865"/>
      <c r="AE46" s="865"/>
      <c r="AF46" s="865"/>
      <c r="AG46" s="865"/>
      <c r="AH46" s="865"/>
      <c r="AI46" s="865"/>
      <c r="AJ46" s="865"/>
      <c r="AK46" s="865"/>
      <c r="AL46" s="865"/>
      <c r="AM46" s="865"/>
      <c r="AN46" s="865"/>
      <c r="AO46" s="865"/>
      <c r="AP46" s="865"/>
      <c r="AQ46" s="865"/>
    </row>
    <row r="47" spans="2:43" ht="3.75" customHeight="1" x14ac:dyDescent="0.35">
      <c r="B47" s="151"/>
      <c r="E47" s="153"/>
      <c r="F47" s="153"/>
      <c r="G47" s="161"/>
      <c r="H47" s="153"/>
      <c r="I47" s="153"/>
      <c r="J47" s="153"/>
      <c r="K47" s="153"/>
      <c r="L47" s="153"/>
      <c r="O47" s="158"/>
      <c r="P47" s="158"/>
      <c r="Q47" s="158"/>
      <c r="AC47" s="229"/>
      <c r="AD47" s="229"/>
      <c r="AE47" s="229"/>
      <c r="AF47" s="229"/>
      <c r="AG47" s="229"/>
      <c r="AH47" s="229"/>
      <c r="AI47" s="229"/>
      <c r="AJ47" s="229"/>
      <c r="AK47" s="229"/>
      <c r="AL47" s="229"/>
      <c r="AM47" s="229"/>
      <c r="AN47" s="229"/>
      <c r="AO47" s="229"/>
      <c r="AP47" s="229"/>
      <c r="AQ47" s="229"/>
    </row>
    <row r="48" spans="2:43" ht="13.5" customHeight="1" x14ac:dyDescent="0.35">
      <c r="B48" s="252" t="s">
        <v>488</v>
      </c>
      <c r="E48" s="932">
        <f>+_xlfn.XLOOKUP($B48,Inputs!$B:$B,Inputs!O:O)</f>
        <v>2.3330000000000002</v>
      </c>
      <c r="F48" s="932">
        <f>+_xlfn.XLOOKUP($B48,Inputs!$B:$B,Inputs!P:P)</f>
        <v>1.845</v>
      </c>
      <c r="G48" s="933">
        <f>+_xlfn.XLOOKUP($B48,Inputs!$B:$B,Inputs!Q:Q)</f>
        <v>1.9319999999999999</v>
      </c>
      <c r="H48" s="173">
        <f>+IFERROR(H51+H54,"")</f>
        <v>0</v>
      </c>
      <c r="I48" s="173">
        <f t="shared" ref="I48:AB48" si="22">+IFERROR(I51+I54,"")</f>
        <v>0</v>
      </c>
      <c r="J48" s="173">
        <f t="shared" si="22"/>
        <v>0</v>
      </c>
      <c r="K48" s="173">
        <f t="shared" si="22"/>
        <v>0</v>
      </c>
      <c r="L48" s="173">
        <f t="shared" si="22"/>
        <v>0</v>
      </c>
      <c r="M48" s="173">
        <f t="shared" si="22"/>
        <v>0</v>
      </c>
      <c r="N48" s="173">
        <f t="shared" si="22"/>
        <v>0</v>
      </c>
      <c r="O48" s="173">
        <f t="shared" si="22"/>
        <v>0</v>
      </c>
      <c r="P48" s="173">
        <f t="shared" si="22"/>
        <v>0</v>
      </c>
      <c r="Q48" s="173">
        <f t="shared" si="22"/>
        <v>0</v>
      </c>
      <c r="R48" s="173">
        <f t="shared" si="22"/>
        <v>0</v>
      </c>
      <c r="S48" s="173">
        <f t="shared" si="22"/>
        <v>0</v>
      </c>
      <c r="T48" s="173">
        <f t="shared" si="22"/>
        <v>0</v>
      </c>
      <c r="U48" s="173">
        <f t="shared" si="22"/>
        <v>0</v>
      </c>
      <c r="V48" s="173">
        <f t="shared" si="22"/>
        <v>0</v>
      </c>
      <c r="W48" s="173">
        <f t="shared" si="22"/>
        <v>0</v>
      </c>
      <c r="X48" s="173">
        <f t="shared" si="22"/>
        <v>0</v>
      </c>
      <c r="Y48" s="173">
        <f t="shared" si="22"/>
        <v>0</v>
      </c>
      <c r="Z48" s="173">
        <f t="shared" si="22"/>
        <v>0</v>
      </c>
      <c r="AA48" s="173">
        <f t="shared" si="22"/>
        <v>0</v>
      </c>
      <c r="AB48" s="173">
        <f t="shared" si="22"/>
        <v>0</v>
      </c>
      <c r="AC48" s="258" t="s">
        <v>489</v>
      </c>
      <c r="AD48" s="866"/>
      <c r="AE48" s="866"/>
      <c r="AF48" s="866"/>
      <c r="AG48" s="866"/>
      <c r="AH48" s="866"/>
      <c r="AI48" s="866"/>
      <c r="AJ48" s="866"/>
      <c r="AK48" s="866"/>
      <c r="AL48" s="866"/>
      <c r="AM48" s="866"/>
      <c r="AN48" s="866"/>
      <c r="AO48" s="866"/>
      <c r="AP48" s="866"/>
      <c r="AQ48" s="866"/>
    </row>
    <row r="49" spans="2:43" ht="13.5" customHeight="1" x14ac:dyDescent="0.35">
      <c r="B49" s="262" t="s">
        <v>490</v>
      </c>
      <c r="E49" s="271">
        <f>E48/E132</f>
        <v>-5.5153664302600482</v>
      </c>
      <c r="F49" s="271">
        <f>F48/F132</f>
        <v>-3.1646655231560894</v>
      </c>
      <c r="G49" s="259">
        <f>G48/G132</f>
        <v>-0.80668058455114822</v>
      </c>
      <c r="H49" s="153">
        <f>IFERROR(H48/(G97+G103),"")</f>
        <v>0</v>
      </c>
      <c r="I49" s="153">
        <f t="shared" ref="I49:Q49" si="23">IFERROR(I48/(H97+H103),"")</f>
        <v>0</v>
      </c>
      <c r="J49" s="153">
        <f t="shared" si="23"/>
        <v>0</v>
      </c>
      <c r="K49" s="153">
        <f t="shared" si="23"/>
        <v>0</v>
      </c>
      <c r="L49" s="153">
        <f t="shared" si="23"/>
        <v>0</v>
      </c>
      <c r="M49" s="153">
        <f t="shared" si="23"/>
        <v>0</v>
      </c>
      <c r="N49" s="153">
        <f t="shared" si="23"/>
        <v>0</v>
      </c>
      <c r="O49" s="153">
        <f t="shared" si="23"/>
        <v>0</v>
      </c>
      <c r="P49" s="153">
        <f t="shared" si="23"/>
        <v>0</v>
      </c>
      <c r="Q49" s="153">
        <f t="shared" si="23"/>
        <v>0</v>
      </c>
      <c r="R49" s="153">
        <f t="shared" ref="R49" si="24">IFERROR(R48/(Q97+Q103),"")</f>
        <v>0</v>
      </c>
      <c r="S49" s="153">
        <f t="shared" ref="S49" si="25">IFERROR(S48/(R97+R103),"")</f>
        <v>0</v>
      </c>
      <c r="T49" s="153">
        <f t="shared" ref="T49" si="26">IFERROR(T48/(S97+S103),"")</f>
        <v>0</v>
      </c>
      <c r="U49" s="153">
        <f t="shared" ref="U49" si="27">IFERROR(U48/(T97+T103),"")</f>
        <v>0</v>
      </c>
      <c r="V49" s="153">
        <f t="shared" ref="V49" si="28">IFERROR(V48/(U97+U103),"")</f>
        <v>0</v>
      </c>
      <c r="W49" s="153">
        <f t="shared" ref="W49" si="29">IFERROR(W48/(V97+V103),"")</f>
        <v>0</v>
      </c>
      <c r="X49" s="153">
        <f t="shared" ref="X49" si="30">IFERROR(X48/(W97+W103),"")</f>
        <v>0</v>
      </c>
      <c r="Y49" s="153">
        <f t="shared" ref="Y49" si="31">IFERROR(Y48/(X97+X103),"")</f>
        <v>0</v>
      </c>
      <c r="Z49" s="153">
        <f t="shared" ref="Z49" si="32">IFERROR(Z48/(Y97+Y103),"")</f>
        <v>0</v>
      </c>
      <c r="AA49" s="153">
        <f t="shared" ref="AA49" si="33">IFERROR(AA48/(Z97+Z103),"")</f>
        <v>0</v>
      </c>
      <c r="AB49" s="153">
        <f t="shared" ref="AB49" si="34">IFERROR(AB48/(AA97+AA103),"")</f>
        <v>0</v>
      </c>
      <c r="AC49" s="258" t="s">
        <v>491</v>
      </c>
      <c r="AD49" s="248"/>
      <c r="AE49" s="248"/>
      <c r="AF49" s="248"/>
      <c r="AG49" s="248"/>
      <c r="AH49" s="248"/>
      <c r="AI49" s="248"/>
      <c r="AJ49" s="248"/>
      <c r="AK49" s="248" t="s">
        <v>492</v>
      </c>
      <c r="AL49" s="248"/>
      <c r="AM49" s="248"/>
      <c r="AN49" s="248"/>
      <c r="AO49" s="248"/>
      <c r="AP49" s="248"/>
      <c r="AQ49" s="248"/>
    </row>
    <row r="50" spans="2:43" ht="5.25" hidden="1" customHeight="1" x14ac:dyDescent="0.35">
      <c r="B50" s="151"/>
      <c r="E50" s="153"/>
      <c r="F50" s="153"/>
      <c r="G50" s="161"/>
      <c r="H50" s="153"/>
      <c r="I50" s="153"/>
      <c r="J50" s="153"/>
      <c r="K50" s="153"/>
      <c r="L50" s="153"/>
      <c r="O50" s="158"/>
      <c r="P50" s="158"/>
      <c r="Q50" s="158"/>
      <c r="AC50" s="229"/>
      <c r="AD50" s="229"/>
      <c r="AE50" s="229"/>
      <c r="AF50" s="229"/>
      <c r="AG50" s="229"/>
      <c r="AH50" s="229"/>
      <c r="AI50" s="229"/>
      <c r="AJ50" s="229"/>
      <c r="AK50" s="229"/>
      <c r="AL50" s="229"/>
      <c r="AM50" s="229"/>
      <c r="AN50" s="229"/>
      <c r="AO50" s="229"/>
      <c r="AP50" s="229"/>
      <c r="AQ50" s="229"/>
    </row>
    <row r="51" spans="2:43" s="151" customFormat="1" ht="15.5" hidden="1" x14ac:dyDescent="0.35">
      <c r="B51" s="274" t="s">
        <v>493</v>
      </c>
      <c r="E51" s="930">
        <f>+_xlfn.XLOOKUP($B51,Inputs!$B:$B,Inputs!O:O)</f>
        <v>2.3330000000000002</v>
      </c>
      <c r="F51" s="930">
        <f>+_xlfn.XLOOKUP($B51,Inputs!$B:$B,Inputs!P:P)</f>
        <v>1.845</v>
      </c>
      <c r="G51" s="931">
        <f>+_xlfn.XLOOKUP($B51,Inputs!$B:$B,Inputs!Q:Q)</f>
        <v>1.9319999999999999</v>
      </c>
      <c r="H51" s="277">
        <f>IFERROR(-H52*H132,"")</f>
        <v>0</v>
      </c>
      <c r="I51" s="277">
        <f t="shared" ref="I51:AB51" si="35">IFERROR(-I52*I132,"")</f>
        <v>0</v>
      </c>
      <c r="J51" s="277">
        <f t="shared" si="35"/>
        <v>0</v>
      </c>
      <c r="K51" s="277">
        <f t="shared" si="35"/>
        <v>0</v>
      </c>
      <c r="L51" s="277">
        <f t="shared" si="35"/>
        <v>0</v>
      </c>
      <c r="M51" s="277">
        <f t="shared" si="35"/>
        <v>0</v>
      </c>
      <c r="N51" s="277">
        <f t="shared" si="35"/>
        <v>0</v>
      </c>
      <c r="O51" s="277">
        <f t="shared" si="35"/>
        <v>0</v>
      </c>
      <c r="P51" s="277">
        <f t="shared" si="35"/>
        <v>0</v>
      </c>
      <c r="Q51" s="277">
        <f t="shared" si="35"/>
        <v>0</v>
      </c>
      <c r="R51" s="277">
        <f t="shared" si="35"/>
        <v>0</v>
      </c>
      <c r="S51" s="277">
        <f t="shared" si="35"/>
        <v>0</v>
      </c>
      <c r="T51" s="277">
        <f t="shared" si="35"/>
        <v>0</v>
      </c>
      <c r="U51" s="277">
        <f t="shared" si="35"/>
        <v>0</v>
      </c>
      <c r="V51" s="277">
        <f t="shared" si="35"/>
        <v>0</v>
      </c>
      <c r="W51" s="277">
        <f t="shared" si="35"/>
        <v>0</v>
      </c>
      <c r="X51" s="277">
        <f t="shared" si="35"/>
        <v>0</v>
      </c>
      <c r="Y51" s="277">
        <f t="shared" si="35"/>
        <v>0</v>
      </c>
      <c r="Z51" s="277">
        <f t="shared" si="35"/>
        <v>0</v>
      </c>
      <c r="AA51" s="277">
        <f t="shared" si="35"/>
        <v>0</v>
      </c>
      <c r="AB51" s="277">
        <f t="shared" si="35"/>
        <v>0</v>
      </c>
      <c r="AC51" s="867"/>
      <c r="AD51" s="867"/>
      <c r="AE51" s="867"/>
      <c r="AF51" s="867"/>
      <c r="AG51" s="867"/>
      <c r="AH51" s="867"/>
      <c r="AI51" s="867"/>
      <c r="AJ51" s="867"/>
      <c r="AK51" s="867"/>
      <c r="AL51" s="867"/>
      <c r="AM51" s="867"/>
      <c r="AN51" s="867"/>
      <c r="AO51" s="867"/>
      <c r="AP51" s="867"/>
      <c r="AQ51" s="867"/>
    </row>
    <row r="52" spans="2:43" s="253" customFormat="1" ht="14.5" hidden="1" x14ac:dyDescent="0.35">
      <c r="B52" s="273" t="s">
        <v>494</v>
      </c>
      <c r="E52" s="940">
        <f>IFERROR(-E51/AVERAGE(Inputs!O76,Inputs!N76),"")</f>
        <v>2.1238051888939462</v>
      </c>
      <c r="F52" s="940">
        <f>IFERROR(-F51/AVERAGE(Inputs!P76,Inputs!O76),"")</f>
        <v>3.6679920477137178</v>
      </c>
      <c r="G52" s="941">
        <f>IFERROR(-G51/AVERAGE(Inputs!Q76,Inputs!P76),"")</f>
        <v>1.2975151108126259</v>
      </c>
      <c r="H52" s="279">
        <v>0.01</v>
      </c>
      <c r="I52" s="279">
        <v>1</v>
      </c>
      <c r="J52" s="279">
        <v>1</v>
      </c>
      <c r="K52" s="279">
        <v>1</v>
      </c>
      <c r="L52" s="279">
        <v>0.8</v>
      </c>
      <c r="M52" s="279">
        <v>0.7</v>
      </c>
      <c r="N52" s="279">
        <v>0.6</v>
      </c>
      <c r="O52" s="279">
        <v>0.5</v>
      </c>
      <c r="P52" s="279">
        <v>0.4</v>
      </c>
      <c r="Q52" s="279">
        <v>0.3</v>
      </c>
      <c r="R52" s="279">
        <v>0.3</v>
      </c>
      <c r="S52" s="279">
        <v>0.3</v>
      </c>
      <c r="T52" s="279">
        <v>0.3</v>
      </c>
      <c r="U52" s="279">
        <v>0.3</v>
      </c>
      <c r="V52" s="279">
        <v>0.3</v>
      </c>
      <c r="W52" s="279">
        <v>0.3</v>
      </c>
      <c r="X52" s="279">
        <v>0.3</v>
      </c>
      <c r="Y52" s="279">
        <v>0.3</v>
      </c>
      <c r="Z52" s="279">
        <v>0.3</v>
      </c>
      <c r="AA52" s="279">
        <v>0.3</v>
      </c>
      <c r="AB52" s="279">
        <v>0.3</v>
      </c>
      <c r="AC52" s="864"/>
      <c r="AD52" s="864"/>
      <c r="AE52" s="864"/>
      <c r="AF52" s="864"/>
      <c r="AG52" s="864"/>
      <c r="AH52" s="864"/>
      <c r="AI52" s="864"/>
      <c r="AJ52" s="864"/>
      <c r="AK52" s="864"/>
      <c r="AL52" s="864"/>
      <c r="AM52" s="864"/>
      <c r="AN52" s="864"/>
      <c r="AO52" s="864"/>
      <c r="AP52" s="864"/>
      <c r="AQ52" s="864"/>
    </row>
    <row r="53" spans="2:43" ht="3.75" hidden="1" customHeight="1" x14ac:dyDescent="0.35">
      <c r="B53" s="151"/>
      <c r="E53" s="153"/>
      <c r="F53" s="153"/>
      <c r="G53" s="161"/>
      <c r="H53" s="159"/>
      <c r="I53" s="159"/>
      <c r="J53" s="159"/>
      <c r="K53" s="159"/>
      <c r="L53" s="159"/>
      <c r="M53" s="159"/>
      <c r="N53" s="159"/>
      <c r="O53" s="159"/>
      <c r="P53" s="159"/>
      <c r="Q53" s="159"/>
      <c r="AC53" s="229"/>
      <c r="AD53" s="229"/>
      <c r="AE53" s="229"/>
      <c r="AF53" s="229"/>
      <c r="AG53" s="229"/>
      <c r="AH53" s="229"/>
      <c r="AI53" s="229"/>
      <c r="AJ53" s="229"/>
      <c r="AK53" s="229"/>
      <c r="AL53" s="229"/>
      <c r="AM53" s="229"/>
      <c r="AN53" s="229"/>
      <c r="AO53" s="229"/>
      <c r="AP53" s="229"/>
      <c r="AQ53" s="229"/>
    </row>
    <row r="54" spans="2:43" s="151" customFormat="1" ht="15.5" hidden="1" x14ac:dyDescent="0.35">
      <c r="B54" s="274" t="s">
        <v>495</v>
      </c>
      <c r="E54" s="275">
        <f>+_xlfn.XLOOKUP($B54,Inputs!$B:$B,Inputs!O:O)</f>
        <v>0</v>
      </c>
      <c r="F54" s="275">
        <f>+_xlfn.XLOOKUP($B54,Inputs!$B:$B,Inputs!P:P)</f>
        <v>0</v>
      </c>
      <c r="G54" s="276">
        <f>+_xlfn.XLOOKUP($B54,Inputs!$B:$B,Inputs!Q:Q)</f>
        <v>0</v>
      </c>
      <c r="H54" s="173">
        <f t="shared" ref="H54:Q54" si="36">+H55*G103</f>
        <v>0</v>
      </c>
      <c r="I54" s="173">
        <f t="shared" si="36"/>
        <v>0</v>
      </c>
      <c r="J54" s="173">
        <f t="shared" si="36"/>
        <v>0</v>
      </c>
      <c r="K54" s="173">
        <f t="shared" si="36"/>
        <v>0</v>
      </c>
      <c r="L54" s="173">
        <f t="shared" si="36"/>
        <v>0</v>
      </c>
      <c r="M54" s="173">
        <f t="shared" si="36"/>
        <v>0</v>
      </c>
      <c r="N54" s="173">
        <f t="shared" si="36"/>
        <v>0</v>
      </c>
      <c r="O54" s="173">
        <f t="shared" si="36"/>
        <v>0</v>
      </c>
      <c r="P54" s="173">
        <f t="shared" si="36"/>
        <v>0</v>
      </c>
      <c r="Q54" s="173">
        <f t="shared" si="36"/>
        <v>0</v>
      </c>
      <c r="R54" s="173">
        <f t="shared" ref="R54" si="37">+R55*Q103</f>
        <v>0</v>
      </c>
      <c r="S54" s="173">
        <f t="shared" ref="S54" si="38">+S55*R103</f>
        <v>0</v>
      </c>
      <c r="T54" s="173">
        <f t="shared" ref="T54" si="39">+T55*S103</f>
        <v>0</v>
      </c>
      <c r="U54" s="173">
        <f t="shared" ref="U54" si="40">+U55*T103</f>
        <v>0</v>
      </c>
      <c r="V54" s="173">
        <f t="shared" ref="V54" si="41">+V55*U103</f>
        <v>0</v>
      </c>
      <c r="W54" s="173">
        <f t="shared" ref="W54" si="42">+W55*V103</f>
        <v>0</v>
      </c>
      <c r="X54" s="173">
        <f t="shared" ref="X54" si="43">+X55*W103</f>
        <v>0</v>
      </c>
      <c r="Y54" s="173">
        <f t="shared" ref="Y54" si="44">+Y55*X103</f>
        <v>0</v>
      </c>
      <c r="Z54" s="173">
        <f t="shared" ref="Z54" si="45">+Z55*Y103</f>
        <v>0</v>
      </c>
      <c r="AA54" s="173">
        <f t="shared" ref="AA54" si="46">+AA55*Z103</f>
        <v>0</v>
      </c>
      <c r="AB54" s="173">
        <f t="shared" ref="AB54" si="47">+AB55*AA103</f>
        <v>0</v>
      </c>
      <c r="AC54" s="866"/>
      <c r="AD54" s="866"/>
      <c r="AE54" s="866"/>
      <c r="AF54" s="866"/>
      <c r="AG54" s="866"/>
      <c r="AH54" s="866"/>
      <c r="AI54" s="866"/>
      <c r="AJ54" s="866"/>
      <c r="AK54" s="866"/>
      <c r="AL54" s="866"/>
      <c r="AM54" s="866"/>
      <c r="AN54" s="866"/>
      <c r="AO54" s="866"/>
      <c r="AP54" s="866"/>
      <c r="AQ54" s="866"/>
    </row>
    <row r="55" spans="2:43" s="253" customFormat="1" ht="14.5" hidden="1" x14ac:dyDescent="0.35">
      <c r="B55" s="273" t="s">
        <v>496</v>
      </c>
      <c r="E55" s="940">
        <f>IFERROR(E54/AVERAGE(Inputs!N45:O45),"")</f>
        <v>0</v>
      </c>
      <c r="F55" s="940">
        <f>IFERROR(F54/AVERAGE(Inputs!O45:P45),"")</f>
        <v>0</v>
      </c>
      <c r="G55" s="941">
        <f>IFERROR(G54/AVERAGE(Inputs!P45:Q45),"")</f>
        <v>0</v>
      </c>
      <c r="H55" s="279"/>
      <c r="I55" s="279"/>
      <c r="J55" s="279"/>
      <c r="K55" s="279"/>
      <c r="L55" s="279"/>
      <c r="M55" s="279"/>
      <c r="N55" s="279"/>
      <c r="O55" s="279"/>
      <c r="P55" s="279"/>
      <c r="Q55" s="279"/>
      <c r="R55" s="279"/>
      <c r="S55" s="279"/>
      <c r="T55" s="279"/>
      <c r="U55" s="279"/>
      <c r="V55" s="279"/>
      <c r="W55" s="279"/>
      <c r="X55" s="279"/>
      <c r="Y55" s="279"/>
      <c r="Z55" s="279"/>
      <c r="AA55" s="279"/>
      <c r="AB55" s="279"/>
      <c r="AC55" s="864"/>
      <c r="AD55" s="864"/>
      <c r="AE55" s="864"/>
      <c r="AF55" s="864"/>
      <c r="AG55" s="864"/>
      <c r="AH55" s="864"/>
      <c r="AI55" s="864"/>
      <c r="AJ55" s="864"/>
      <c r="AK55" s="864"/>
      <c r="AL55" s="864"/>
      <c r="AM55" s="864"/>
      <c r="AN55" s="864"/>
      <c r="AO55" s="864"/>
      <c r="AP55" s="864"/>
      <c r="AQ55" s="864"/>
    </row>
    <row r="56" spans="2:43" ht="4.4000000000000004" hidden="1" customHeight="1" x14ac:dyDescent="0.35">
      <c r="G56" s="157"/>
      <c r="AC56" s="229"/>
      <c r="AD56" s="229"/>
      <c r="AE56" s="229"/>
      <c r="AF56" s="229"/>
      <c r="AG56" s="229"/>
      <c r="AH56" s="229"/>
      <c r="AI56" s="229"/>
      <c r="AJ56" s="229"/>
      <c r="AK56" s="229"/>
      <c r="AL56" s="229"/>
      <c r="AM56" s="229"/>
      <c r="AN56" s="229"/>
      <c r="AO56" s="229"/>
      <c r="AP56" s="229"/>
      <c r="AQ56" s="229"/>
    </row>
    <row r="57" spans="2:43" ht="15.5" x14ac:dyDescent="0.35">
      <c r="B57" s="127" t="s">
        <v>273</v>
      </c>
      <c r="E57" s="934">
        <f>+_xlfn.XLOOKUP($B57,Inputs!$B:$B,Inputs!O:O)</f>
        <v>8</v>
      </c>
      <c r="F57" s="934">
        <f>+_xlfn.XLOOKUP($B57,Inputs!$B:$B,Inputs!P:P)</f>
        <v>-77.268000000000001</v>
      </c>
      <c r="G57" s="935">
        <f>+_xlfn.XLOOKUP($B57,Inputs!$B:$B,Inputs!Q:Q)</f>
        <v>-72.786000000000001</v>
      </c>
      <c r="H57" s="160">
        <f>+IFERROR(H45-H48,"")</f>
        <v>-82.731013333333337</v>
      </c>
      <c r="I57" s="160">
        <f t="shared" ref="I57:AB57" si="48">+IFERROR(I45-I48,"")</f>
        <v>-104.75181244444444</v>
      </c>
      <c r="J57" s="160">
        <f t="shared" si="48"/>
        <v>-132.90496334814813</v>
      </c>
      <c r="K57" s="160">
        <f t="shared" si="48"/>
        <v>-168.57577526716045</v>
      </c>
      <c r="L57" s="160">
        <f t="shared" si="48"/>
        <v>-194.76306827186824</v>
      </c>
      <c r="M57" s="160">
        <f t="shared" si="48"/>
        <v>-224.96650171558838</v>
      </c>
      <c r="N57" s="160">
        <f t="shared" si="48"/>
        <v>-207.83540270730862</v>
      </c>
      <c r="O57" s="160">
        <f t="shared" si="48"/>
        <v>-164.59760650338268</v>
      </c>
      <c r="P57" s="160">
        <f t="shared" si="48"/>
        <v>-99.513569466163958</v>
      </c>
      <c r="Q57" s="160">
        <f t="shared" si="48"/>
        <v>-20.408528823365884</v>
      </c>
      <c r="R57" s="160">
        <f t="shared" si="48"/>
        <v>114.69174965629983</v>
      </c>
      <c r="S57" s="160">
        <f t="shared" si="48"/>
        <v>300.95750872889784</v>
      </c>
      <c r="T57" s="160">
        <f t="shared" si="48"/>
        <v>500.81447801819087</v>
      </c>
      <c r="U57" s="160">
        <f t="shared" si="48"/>
        <v>769.94838624232557</v>
      </c>
      <c r="V57" s="160">
        <f t="shared" si="48"/>
        <v>1101.0531619603444</v>
      </c>
      <c r="W57" s="160">
        <f t="shared" si="48"/>
        <v>1567.1208627483888</v>
      </c>
      <c r="X57" s="160">
        <f t="shared" si="48"/>
        <v>2141.227014131945</v>
      </c>
      <c r="Y57" s="160">
        <f t="shared" si="48"/>
        <v>2947.0286653865642</v>
      </c>
      <c r="Z57" s="160">
        <f t="shared" si="48"/>
        <v>3841.100455233423</v>
      </c>
      <c r="AA57" s="160">
        <f t="shared" si="48"/>
        <v>4890.9256750306422</v>
      </c>
      <c r="AB57" s="160">
        <f t="shared" si="48"/>
        <v>5935.953675351795</v>
      </c>
      <c r="AC57" s="868"/>
      <c r="AD57" s="868"/>
      <c r="AE57" s="868"/>
      <c r="AF57" s="868"/>
      <c r="AG57" s="868"/>
      <c r="AH57" s="868"/>
      <c r="AI57" s="868"/>
      <c r="AJ57" s="868"/>
      <c r="AK57" s="868"/>
      <c r="AL57" s="868"/>
      <c r="AM57" s="868"/>
      <c r="AN57" s="868"/>
      <c r="AO57" s="868"/>
      <c r="AP57" s="868"/>
      <c r="AQ57" s="868"/>
    </row>
    <row r="58" spans="2:43" s="263" customFormat="1" ht="14.5" x14ac:dyDescent="0.35">
      <c r="B58" s="253" t="s">
        <v>224</v>
      </c>
      <c r="E58" s="255">
        <f>IFERROR(E57/E$28,"")</f>
        <v>1.1152934615920813</v>
      </c>
      <c r="F58" s="255">
        <f>IFERROR(F57/F$28,"")</f>
        <v>-8.8225622288193666</v>
      </c>
      <c r="G58" s="259">
        <f>IFERROR(G57/G$28,"")</f>
        <v>-8.2458366375892158</v>
      </c>
      <c r="H58" s="255">
        <f t="shared" ref="H58:AB58" si="49">IFERROR(H57/H28,"")</f>
        <v>-5.857809372757826</v>
      </c>
      <c r="I58" s="255">
        <f t="shared" si="49"/>
        <v>-4.6356266835970432</v>
      </c>
      <c r="J58" s="255">
        <f t="shared" si="49"/>
        <v>-3.6759375572016508</v>
      </c>
      <c r="K58" s="255">
        <f t="shared" si="49"/>
        <v>-2.9140842821445627</v>
      </c>
      <c r="L58" s="255">
        <f t="shared" si="49"/>
        <v>-2.1042317434616256</v>
      </c>
      <c r="M58" s="255">
        <f t="shared" si="49"/>
        <v>-1.6203676200892652</v>
      </c>
      <c r="N58" s="255">
        <f t="shared" si="49"/>
        <v>-0.99798489786090738</v>
      </c>
      <c r="O58" s="255">
        <f t="shared" si="49"/>
        <v>-0.52691031259886412</v>
      </c>
      <c r="P58" s="255">
        <f t="shared" si="49"/>
        <v>-0.22754508104052984</v>
      </c>
      <c r="Q58" s="255">
        <f t="shared" si="49"/>
        <v>-3.3332570838203693E-2</v>
      </c>
      <c r="R58" s="255">
        <f t="shared" si="49"/>
        <v>0.13380158374904477</v>
      </c>
      <c r="S58" s="255">
        <f t="shared" si="49"/>
        <v>0.25078769477918972</v>
      </c>
      <c r="T58" s="255">
        <f t="shared" si="49"/>
        <v>0.32102182792589168</v>
      </c>
      <c r="U58" s="255">
        <f t="shared" si="49"/>
        <v>0.37964348262668962</v>
      </c>
      <c r="V58" s="255">
        <f t="shared" si="49"/>
        <v>0.4176180601921286</v>
      </c>
      <c r="W58" s="255">
        <f t="shared" si="49"/>
        <v>0.45722516293287413</v>
      </c>
      <c r="X58" s="255">
        <f t="shared" si="49"/>
        <v>0.48055930694544619</v>
      </c>
      <c r="Y58" s="255">
        <f t="shared" si="49"/>
        <v>0.50877444195801547</v>
      </c>
      <c r="Z58" s="255">
        <f t="shared" si="49"/>
        <v>0.53050145417834893</v>
      </c>
      <c r="AA58" s="255">
        <f t="shared" si="49"/>
        <v>0.54039579815660976</v>
      </c>
      <c r="AB58" s="255">
        <f t="shared" si="49"/>
        <v>0.54655032560073569</v>
      </c>
      <c r="AC58" s="865"/>
      <c r="AD58" s="865"/>
      <c r="AE58" s="865"/>
      <c r="AF58" s="865"/>
      <c r="AG58" s="865"/>
      <c r="AH58" s="865"/>
      <c r="AI58" s="865"/>
      <c r="AJ58" s="865"/>
      <c r="AK58" s="865"/>
      <c r="AL58" s="865"/>
      <c r="AM58" s="865"/>
      <c r="AN58" s="865"/>
      <c r="AO58" s="865"/>
      <c r="AP58" s="865"/>
      <c r="AQ58" s="865"/>
    </row>
    <row r="59" spans="2:43" customFormat="1" ht="3.75" customHeight="1" x14ac:dyDescent="0.35">
      <c r="B59" s="127"/>
      <c r="E59" s="255"/>
      <c r="F59" s="255"/>
      <c r="G59" s="260"/>
      <c r="H59" s="104"/>
      <c r="I59" s="104"/>
      <c r="J59" s="104"/>
      <c r="K59" s="104"/>
      <c r="L59" s="104"/>
      <c r="M59" s="104"/>
      <c r="N59" s="104"/>
      <c r="O59" s="104"/>
      <c r="P59" s="104"/>
      <c r="Q59" s="104"/>
      <c r="AC59" s="76"/>
      <c r="AD59" s="76"/>
      <c r="AE59" s="76"/>
      <c r="AF59" s="76"/>
      <c r="AG59" s="76"/>
      <c r="AH59" s="76"/>
      <c r="AI59" s="76"/>
      <c r="AJ59" s="76"/>
      <c r="AK59" s="76"/>
      <c r="AL59" s="76"/>
      <c r="AM59" s="76"/>
      <c r="AN59" s="76"/>
      <c r="AO59" s="76"/>
      <c r="AP59" s="76"/>
      <c r="AQ59" s="76"/>
    </row>
    <row r="60" spans="2:43" customFormat="1" ht="13.5" hidden="1" customHeight="1" x14ac:dyDescent="0.35">
      <c r="B60" s="252" t="s">
        <v>274</v>
      </c>
      <c r="E60" s="934">
        <f>+_xlfn.XLOOKUP($B60,Inputs!$B:$B,Inputs!O:O)</f>
        <v>2.335</v>
      </c>
      <c r="F60" s="934">
        <f>+_xlfn.XLOOKUP($B60,Inputs!$B:$B,Inputs!P:P)</f>
        <v>3.6999999999999998E-2</v>
      </c>
      <c r="G60" s="935">
        <f>+_xlfn.XLOOKUP($B60,Inputs!$B:$B,Inputs!Q:Q)</f>
        <v>3.8969999999999998</v>
      </c>
      <c r="H60" s="160">
        <f>-H63-H66</f>
        <v>-4.2866999999999997</v>
      </c>
      <c r="I60" s="160">
        <f t="shared" ref="I60:AB60" si="50">-I63-I66</f>
        <v>-4.7153700000000001</v>
      </c>
      <c r="J60" s="160">
        <f t="shared" si="50"/>
        <v>-5.1869070000000006</v>
      </c>
      <c r="K60" s="160">
        <f t="shared" si="50"/>
        <v>-5.7055977000000011</v>
      </c>
      <c r="L60" s="160">
        <f t="shared" si="50"/>
        <v>-6.276157470000002</v>
      </c>
      <c r="M60" s="160">
        <f t="shared" si="50"/>
        <v>-6.903773217000003</v>
      </c>
      <c r="N60" s="160">
        <f t="shared" si="50"/>
        <v>-7.5941505387000037</v>
      </c>
      <c r="O60" s="160">
        <f t="shared" si="50"/>
        <v>-8.3535655925700052</v>
      </c>
      <c r="P60" s="160">
        <f t="shared" si="50"/>
        <v>-9.1889221518270059</v>
      </c>
      <c r="Q60" s="160">
        <f t="shared" si="50"/>
        <v>-10.107814367009707</v>
      </c>
      <c r="R60" s="160">
        <f t="shared" si="50"/>
        <v>-11.118595803710679</v>
      </c>
      <c r="S60" s="160">
        <f t="shared" si="50"/>
        <v>-12.230455384081749</v>
      </c>
      <c r="T60" s="160">
        <f t="shared" si="50"/>
        <v>-13.453500922489924</v>
      </c>
      <c r="U60" s="160">
        <f t="shared" si="50"/>
        <v>-14.798851014738919</v>
      </c>
      <c r="V60" s="160">
        <f t="shared" si="50"/>
        <v>-16.278736116212812</v>
      </c>
      <c r="W60" s="160">
        <f t="shared" si="50"/>
        <v>-17.906609727834095</v>
      </c>
      <c r="X60" s="160">
        <f t="shared" si="50"/>
        <v>-19.697270700617505</v>
      </c>
      <c r="Y60" s="160">
        <f t="shared" si="50"/>
        <v>-21.666997770679256</v>
      </c>
      <c r="Z60" s="160">
        <f t="shared" si="50"/>
        <v>-23.833697547747182</v>
      </c>
      <c r="AA60" s="160">
        <f t="shared" si="50"/>
        <v>-26.217067302521901</v>
      </c>
      <c r="AB60" s="160">
        <f t="shared" si="50"/>
        <v>-28.838774032774094</v>
      </c>
      <c r="AC60" s="868"/>
      <c r="AD60" s="868"/>
      <c r="AE60" s="868"/>
      <c r="AF60" s="868"/>
      <c r="AG60" s="868"/>
      <c r="AH60" s="868"/>
      <c r="AI60" s="868"/>
      <c r="AJ60" s="868"/>
      <c r="AK60" s="868"/>
      <c r="AL60" s="868"/>
      <c r="AM60" s="868"/>
      <c r="AN60" s="868"/>
      <c r="AO60" s="868"/>
      <c r="AP60" s="868"/>
      <c r="AQ60" s="868"/>
    </row>
    <row r="61" spans="2:43" customFormat="1" ht="13.5" hidden="1" customHeight="1" x14ac:dyDescent="0.35">
      <c r="B61" s="273" t="s">
        <v>497</v>
      </c>
      <c r="E61" s="271">
        <f>IFERROR(E60/AVERAGE(Inputs!N116:O116),"")</f>
        <v>1.4259541984732835</v>
      </c>
      <c r="F61" s="271">
        <f>IFERROR(F60/AVERAGE(Inputs!O116:P116),"")</f>
        <v>-2.721188497462675E-3</v>
      </c>
      <c r="G61" s="259">
        <f>IFERROR(G60/AVERAGE(Inputs!P116:Q116),"")</f>
        <v>-4.5611488898512388E-2</v>
      </c>
      <c r="H61" s="271">
        <f>IFERROR(H60/AVERAGE(G114+G116,H114+H116),"")</f>
        <v>-3.7810225388602278E-2</v>
      </c>
      <c r="I61" s="271">
        <f t="shared" ref="I61:Q61" si="51">IFERROR(I60/AVERAGE(H114+H116,I114+I116),"")</f>
        <v>-2.8189916652998803E-2</v>
      </c>
      <c r="J61" s="271">
        <f t="shared" si="51"/>
        <v>-2.2051555395809174E-2</v>
      </c>
      <c r="K61" s="271">
        <f t="shared" si="51"/>
        <v>-1.7021124606614264E-2</v>
      </c>
      <c r="L61" s="271">
        <f t="shared" si="51"/>
        <v>-1.3547473806202056E-2</v>
      </c>
      <c r="M61" s="271">
        <f t="shared" si="51"/>
        <v>-1.1121753217636919E-2</v>
      </c>
      <c r="N61" s="271">
        <f t="shared" si="51"/>
        <v>-9.2798214346770675E-3</v>
      </c>
      <c r="O61" s="271">
        <f t="shared" si="51"/>
        <v>-8.0669724198569256E-3</v>
      </c>
      <c r="P61" s="271">
        <f t="shared" si="51"/>
        <v>-7.2698472312428637E-3</v>
      </c>
      <c r="Q61" s="271">
        <f t="shared" si="51"/>
        <v>-6.744259217351823E-3</v>
      </c>
      <c r="R61" s="271">
        <f t="shared" ref="R61" si="52">IFERROR(R60/AVERAGE(Q114+Q116,R114+R116),"")</f>
        <v>-6.3805671321617834E-3</v>
      </c>
      <c r="S61" s="271">
        <f t="shared" ref="S61" si="53">IFERROR(S60/AVERAGE(R114+R116,S114+S116),"")</f>
        <v>-6.1468680747258251E-3</v>
      </c>
      <c r="T61" s="271">
        <f t="shared" ref="T61" si="54">IFERROR(T60/AVERAGE(S114+S116,T114+T116),"")</f>
        <v>-6.0928272934541823E-3</v>
      </c>
      <c r="U61" s="271">
        <f t="shared" ref="U61" si="55">IFERROR(U60/AVERAGE(T114+T116,U114+U116),"")</f>
        <v>-6.0770680872463392E-3</v>
      </c>
      <c r="V61" s="271">
        <f t="shared" ref="V61" si="56">IFERROR(V60/AVERAGE(U114+U116,V114+V116),"")</f>
        <v>-6.0522562340297363E-3</v>
      </c>
      <c r="W61" s="271">
        <f t="shared" ref="W61" si="57">IFERROR(W60/AVERAGE(V114+V116,W114+W116),"")</f>
        <v>-5.9271644770856188E-3</v>
      </c>
      <c r="X61" s="271">
        <f t="shared" ref="X61" si="58">IFERROR(X60/AVERAGE(W114+W116,X114+X116),"")</f>
        <v>-5.7067489165662667E-3</v>
      </c>
      <c r="Y61" s="271">
        <f t="shared" ref="Y61" si="59">IFERROR(Y60/AVERAGE(X114+X116,Y114+Y116),"")</f>
        <v>-5.4016449842224567E-3</v>
      </c>
      <c r="Z61" s="271">
        <f t="shared" ref="Z61" si="60">IFERROR(Z60/AVERAGE(Y114+Y116,Z114+Z116),"")</f>
        <v>-5.1032040621132738E-3</v>
      </c>
      <c r="AA61" s="271">
        <f t="shared" ref="AA61" si="61">IFERROR(AA60/AVERAGE(Z114+Z116,AA114+AA116),"")</f>
        <v>-4.8180838525437135E-3</v>
      </c>
      <c r="AB61" s="271">
        <f t="shared" ref="AB61" si="62">IFERROR(AB60/AVERAGE(AA114+AA116,AB114+AB116),"")</f>
        <v>-4.5789362213687511E-3</v>
      </c>
      <c r="AC61" s="869"/>
      <c r="AD61" s="869"/>
      <c r="AE61" s="869"/>
      <c r="AF61" s="869"/>
      <c r="AG61" s="869"/>
      <c r="AH61" s="869"/>
      <c r="AI61" s="869"/>
      <c r="AJ61" s="869"/>
      <c r="AK61" s="869"/>
      <c r="AL61" s="869"/>
      <c r="AM61" s="869"/>
      <c r="AN61" s="869"/>
      <c r="AO61" s="869"/>
      <c r="AP61" s="869"/>
      <c r="AQ61" s="869"/>
    </row>
    <row r="62" spans="2:43" customFormat="1" ht="3.75" hidden="1" customHeight="1" x14ac:dyDescent="0.35">
      <c r="B62" s="127"/>
      <c r="E62" s="255"/>
      <c r="F62" s="255"/>
      <c r="G62" s="259"/>
      <c r="H62" s="104"/>
      <c r="I62" s="104"/>
      <c r="J62" s="104"/>
      <c r="K62" s="104"/>
      <c r="L62" s="104"/>
      <c r="M62" s="104"/>
      <c r="N62" s="104"/>
      <c r="O62" s="104"/>
      <c r="P62" s="104"/>
      <c r="Q62" s="104"/>
      <c r="AC62" s="76"/>
      <c r="AD62" s="76"/>
      <c r="AE62" s="76"/>
    </row>
    <row r="63" spans="2:43" customFormat="1" ht="15.5" hidden="1" x14ac:dyDescent="0.35">
      <c r="B63" s="272" t="s">
        <v>498</v>
      </c>
      <c r="E63" s="934">
        <f>+_xlfn.XLOOKUP($B63,Inputs!$B:$B,Inputs!O:O)</f>
        <v>2.335</v>
      </c>
      <c r="F63" s="934">
        <f>+_xlfn.XLOOKUP($B63,Inputs!$B:$B,Inputs!P:P)</f>
        <v>3.6999999999999998E-2</v>
      </c>
      <c r="G63" s="935">
        <f>+_xlfn.XLOOKUP($B63,Inputs!$B:$B,Inputs!Q:Q)</f>
        <v>3.8969999999999998</v>
      </c>
      <c r="H63" s="160">
        <f>G63*(1+H64)</f>
        <v>4.2866999999999997</v>
      </c>
      <c r="I63" s="160">
        <f t="shared" ref="I63:AB63" si="63">H63*(1+I64)</f>
        <v>4.7153700000000001</v>
      </c>
      <c r="J63" s="160">
        <f t="shared" si="63"/>
        <v>5.1869070000000006</v>
      </c>
      <c r="K63" s="160">
        <f t="shared" si="63"/>
        <v>5.7055977000000011</v>
      </c>
      <c r="L63" s="160">
        <f t="shared" si="63"/>
        <v>6.276157470000002</v>
      </c>
      <c r="M63" s="160">
        <f t="shared" si="63"/>
        <v>6.903773217000003</v>
      </c>
      <c r="N63" s="160">
        <f t="shared" si="63"/>
        <v>7.5941505387000037</v>
      </c>
      <c r="O63" s="160">
        <f t="shared" si="63"/>
        <v>8.3535655925700052</v>
      </c>
      <c r="P63" s="160">
        <f t="shared" si="63"/>
        <v>9.1889221518270059</v>
      </c>
      <c r="Q63" s="160">
        <f t="shared" si="63"/>
        <v>10.107814367009707</v>
      </c>
      <c r="R63" s="160">
        <f t="shared" si="63"/>
        <v>11.118595803710679</v>
      </c>
      <c r="S63" s="160">
        <f t="shared" si="63"/>
        <v>12.230455384081749</v>
      </c>
      <c r="T63" s="160">
        <f t="shared" si="63"/>
        <v>13.453500922489924</v>
      </c>
      <c r="U63" s="160">
        <f t="shared" si="63"/>
        <v>14.798851014738919</v>
      </c>
      <c r="V63" s="160">
        <f t="shared" si="63"/>
        <v>16.278736116212812</v>
      </c>
      <c r="W63" s="160">
        <f t="shared" si="63"/>
        <v>17.906609727834095</v>
      </c>
      <c r="X63" s="160">
        <f t="shared" si="63"/>
        <v>19.697270700617505</v>
      </c>
      <c r="Y63" s="160">
        <f t="shared" si="63"/>
        <v>21.666997770679256</v>
      </c>
      <c r="Z63" s="160">
        <f t="shared" si="63"/>
        <v>23.833697547747182</v>
      </c>
      <c r="AA63" s="160">
        <f t="shared" si="63"/>
        <v>26.217067302521901</v>
      </c>
      <c r="AB63" s="160">
        <f t="shared" si="63"/>
        <v>28.838774032774094</v>
      </c>
      <c r="AC63" s="76"/>
      <c r="AD63" s="76"/>
      <c r="AE63" s="76"/>
    </row>
    <row r="64" spans="2:43" s="263" customFormat="1" ht="14.5" hidden="1" x14ac:dyDescent="0.35">
      <c r="B64" s="273" t="s">
        <v>499</v>
      </c>
      <c r="E64" s="271">
        <f>+IFERROR(E63/AVERAGE(Inputs!N113:O113),"")</f>
        <v>0.23558492660041366</v>
      </c>
      <c r="F64" s="271">
        <f>+IFERROR(F63/AVERAGE(Inputs!O113:P113),"")</f>
        <v>3.4941920861271134E-3</v>
      </c>
      <c r="G64" s="259">
        <f>+IFERROR(G63/AVERAGE(Inputs!P113:Q113),"")</f>
        <v>0.16100311925468402</v>
      </c>
      <c r="H64" s="281">
        <v>0.1</v>
      </c>
      <c r="I64" s="281">
        <v>0.1</v>
      </c>
      <c r="J64" s="281">
        <v>0.1</v>
      </c>
      <c r="K64" s="281">
        <v>0.1</v>
      </c>
      <c r="L64" s="281">
        <v>0.1</v>
      </c>
      <c r="M64" s="281">
        <v>0.1</v>
      </c>
      <c r="N64" s="281">
        <v>0.1</v>
      </c>
      <c r="O64" s="281">
        <v>0.1</v>
      </c>
      <c r="P64" s="281">
        <v>0.1</v>
      </c>
      <c r="Q64" s="281">
        <v>0.1</v>
      </c>
      <c r="R64" s="281">
        <v>0.1</v>
      </c>
      <c r="S64" s="281">
        <v>0.1</v>
      </c>
      <c r="T64" s="281">
        <v>0.1</v>
      </c>
      <c r="U64" s="281">
        <v>0.1</v>
      </c>
      <c r="V64" s="281">
        <v>0.1</v>
      </c>
      <c r="W64" s="281">
        <v>0.1</v>
      </c>
      <c r="X64" s="281">
        <v>0.1</v>
      </c>
      <c r="Y64" s="281">
        <v>0.1</v>
      </c>
      <c r="Z64" s="281">
        <v>0.1</v>
      </c>
      <c r="AA64" s="281">
        <v>0.1</v>
      </c>
      <c r="AB64" s="281">
        <v>0.1</v>
      </c>
      <c r="AC64" s="870"/>
      <c r="AD64" s="870"/>
      <c r="AE64" s="870"/>
      <c r="AF64" s="870"/>
      <c r="AG64" s="870"/>
      <c r="AH64" s="870"/>
      <c r="AI64" s="870"/>
      <c r="AJ64" s="870"/>
      <c r="AK64" s="870"/>
      <c r="AL64" s="870"/>
      <c r="AM64" s="870"/>
      <c r="AN64" s="870"/>
      <c r="AO64" s="870"/>
      <c r="AP64" s="870"/>
      <c r="AQ64" s="870"/>
    </row>
    <row r="65" spans="2:43" customFormat="1" ht="3.75" hidden="1" customHeight="1" x14ac:dyDescent="0.35">
      <c r="B65" s="243"/>
      <c r="E65" s="255"/>
      <c r="F65" s="255"/>
      <c r="G65" s="260"/>
      <c r="H65" s="104"/>
      <c r="I65" s="104"/>
      <c r="J65" s="104"/>
      <c r="K65" s="104"/>
      <c r="L65" s="104"/>
      <c r="M65" s="104"/>
      <c r="N65" s="104"/>
      <c r="O65" s="104"/>
      <c r="P65" s="104"/>
      <c r="Q65" s="104"/>
      <c r="AC65" s="76"/>
      <c r="AD65" s="76"/>
      <c r="AE65" s="76"/>
      <c r="AF65" s="76"/>
      <c r="AG65" s="76"/>
      <c r="AH65" s="76"/>
      <c r="AI65" s="76"/>
      <c r="AJ65" s="76"/>
      <c r="AK65" s="76"/>
      <c r="AL65" s="76"/>
      <c r="AM65" s="76"/>
      <c r="AN65" s="76"/>
      <c r="AO65" s="76"/>
      <c r="AP65" s="76"/>
      <c r="AQ65" s="76"/>
    </row>
    <row r="66" spans="2:43" customFormat="1" ht="15.5" hidden="1" x14ac:dyDescent="0.35">
      <c r="B66" s="272" t="s">
        <v>500</v>
      </c>
      <c r="E66" s="149">
        <f>+_xlfn.XLOOKUP($B66,Inputs!$B:$B,Inputs!O:O)</f>
        <v>0</v>
      </c>
      <c r="F66" s="149">
        <f>+_xlfn.XLOOKUP($B66,Inputs!$B:$B,Inputs!P:P)</f>
        <v>0</v>
      </c>
      <c r="G66" s="246">
        <f>+_xlfn.XLOOKUP($B66,Inputs!$B:$B,Inputs!Q:Q)</f>
        <v>0</v>
      </c>
      <c r="H66" s="924"/>
      <c r="I66" s="924"/>
      <c r="J66" s="924"/>
      <c r="K66" s="924"/>
      <c r="L66" s="924"/>
      <c r="M66" s="924"/>
      <c r="N66" s="924"/>
      <c r="O66" s="924"/>
      <c r="P66" s="924"/>
      <c r="Q66" s="924"/>
      <c r="R66" s="924"/>
      <c r="S66" s="924"/>
      <c r="T66" s="924"/>
      <c r="U66" s="924"/>
      <c r="V66" s="924"/>
      <c r="W66" s="924"/>
      <c r="X66" s="924"/>
      <c r="Y66" s="924"/>
      <c r="Z66" s="924"/>
      <c r="AA66" s="924"/>
      <c r="AB66" s="924"/>
      <c r="AC66" s="76"/>
      <c r="AD66" s="76"/>
      <c r="AE66" s="76"/>
      <c r="AF66" s="76"/>
      <c r="AG66" s="76"/>
      <c r="AH66" s="76"/>
      <c r="AI66" s="76"/>
      <c r="AJ66" s="76"/>
      <c r="AK66" s="76"/>
      <c r="AL66" s="76"/>
      <c r="AM66" s="76"/>
      <c r="AN66" s="76"/>
      <c r="AO66" s="76"/>
      <c r="AP66" s="76"/>
      <c r="AQ66" s="76"/>
    </row>
    <row r="67" spans="2:43" s="263" customFormat="1" ht="14.5" hidden="1" x14ac:dyDescent="0.35">
      <c r="B67" s="273" t="s">
        <v>501</v>
      </c>
      <c r="E67" s="255">
        <f>IFERROR(E66/+AVERAGE(Inputs!N32:O32),"")</f>
        <v>0</v>
      </c>
      <c r="F67" s="255">
        <f>IFERROR(F66/+AVERAGE(Inputs!O32:P32),"")</f>
        <v>0</v>
      </c>
      <c r="G67" s="259">
        <f>IFERROR(G66/+AVERAGE(Inputs!P32:Q32),"")</f>
        <v>0</v>
      </c>
      <c r="H67" s="281"/>
      <c r="I67" s="281"/>
      <c r="J67" s="281"/>
      <c r="K67" s="281"/>
      <c r="L67" s="281"/>
      <c r="M67" s="281"/>
      <c r="N67" s="281"/>
      <c r="O67" s="281"/>
      <c r="P67" s="281"/>
      <c r="Q67" s="281"/>
      <c r="R67" s="281"/>
      <c r="S67" s="281"/>
      <c r="T67" s="281"/>
      <c r="U67" s="281"/>
      <c r="V67" s="281"/>
      <c r="W67" s="281"/>
      <c r="X67" s="281"/>
      <c r="Y67" s="281"/>
      <c r="Z67" s="281"/>
      <c r="AA67" s="281"/>
      <c r="AB67" s="281"/>
      <c r="AC67" s="870"/>
      <c r="AD67" s="870"/>
      <c r="AE67" s="870"/>
      <c r="AF67" s="870"/>
      <c r="AG67" s="870"/>
      <c r="AH67" s="870"/>
      <c r="AI67" s="870"/>
      <c r="AJ67" s="870"/>
      <c r="AK67" s="870"/>
      <c r="AL67" s="870"/>
      <c r="AM67" s="870"/>
      <c r="AN67" s="870"/>
      <c r="AO67" s="870"/>
      <c r="AP67" s="870"/>
      <c r="AQ67" s="870"/>
    </row>
    <row r="68" spans="2:43" s="263" customFormat="1" ht="3.75" hidden="1" customHeight="1" x14ac:dyDescent="0.35">
      <c r="B68" s="262"/>
      <c r="E68" s="255"/>
      <c r="F68" s="255"/>
      <c r="G68" s="259"/>
      <c r="H68" s="261"/>
      <c r="I68" s="261"/>
      <c r="J68" s="261"/>
      <c r="K68" s="261"/>
      <c r="L68" s="261"/>
      <c r="M68" s="261"/>
      <c r="N68" s="261"/>
      <c r="O68" s="261"/>
      <c r="P68" s="261"/>
      <c r="Q68" s="261"/>
      <c r="AC68" s="871"/>
      <c r="AD68" s="871"/>
      <c r="AE68" s="871"/>
      <c r="AF68" s="871"/>
      <c r="AG68" s="871"/>
      <c r="AH68" s="871"/>
      <c r="AI68" s="871"/>
      <c r="AJ68" s="871"/>
      <c r="AK68" s="871"/>
      <c r="AL68" s="871"/>
      <c r="AM68" s="871"/>
      <c r="AN68" s="871"/>
      <c r="AO68" s="871"/>
      <c r="AP68" s="871"/>
      <c r="AQ68" s="871"/>
    </row>
    <row r="69" spans="2:43" s="263" customFormat="1" ht="15.5" hidden="1" x14ac:dyDescent="0.35">
      <c r="B69" s="252" t="s">
        <v>502</v>
      </c>
      <c r="E69" s="268">
        <f>+_xlfn.XLOOKUP($B69,Inputs!$B:$B,Inputs!O:O)</f>
        <v>0</v>
      </c>
      <c r="F69" s="268">
        <f>+_xlfn.XLOOKUP($B69,Inputs!$B:$B,Inputs!P:P)</f>
        <v>0</v>
      </c>
      <c r="G69" s="269">
        <f>+_xlfn.XLOOKUP($B69,Inputs!$B:$B,Inputs!Q:Q)</f>
        <v>0</v>
      </c>
      <c r="H69" s="160">
        <f>+H70*H$18</f>
        <v>0</v>
      </c>
      <c r="I69" s="160">
        <f t="shared" ref="I69:AB69" si="64">+I70*I$18</f>
        <v>0</v>
      </c>
      <c r="J69" s="160">
        <f t="shared" si="64"/>
        <v>0</v>
      </c>
      <c r="K69" s="160">
        <f t="shared" si="64"/>
        <v>0</v>
      </c>
      <c r="L69" s="160">
        <f t="shared" si="64"/>
        <v>0</v>
      </c>
      <c r="M69" s="160">
        <f t="shared" si="64"/>
        <v>0</v>
      </c>
      <c r="N69" s="160">
        <f t="shared" si="64"/>
        <v>0</v>
      </c>
      <c r="O69" s="160">
        <f t="shared" si="64"/>
        <v>0</v>
      </c>
      <c r="P69" s="160">
        <f t="shared" si="64"/>
        <v>0</v>
      </c>
      <c r="Q69" s="160">
        <f t="shared" si="64"/>
        <v>0</v>
      </c>
      <c r="R69" s="160">
        <f t="shared" si="64"/>
        <v>0</v>
      </c>
      <c r="S69" s="160">
        <f t="shared" si="64"/>
        <v>0</v>
      </c>
      <c r="T69" s="160">
        <f t="shared" si="64"/>
        <v>0</v>
      </c>
      <c r="U69" s="160">
        <f t="shared" si="64"/>
        <v>0</v>
      </c>
      <c r="V69" s="160">
        <f t="shared" si="64"/>
        <v>0</v>
      </c>
      <c r="W69" s="160">
        <f t="shared" si="64"/>
        <v>0</v>
      </c>
      <c r="X69" s="160">
        <f t="shared" si="64"/>
        <v>0</v>
      </c>
      <c r="Y69" s="160">
        <f t="shared" si="64"/>
        <v>0</v>
      </c>
      <c r="Z69" s="160">
        <f t="shared" si="64"/>
        <v>0</v>
      </c>
      <c r="AA69" s="160">
        <f t="shared" si="64"/>
        <v>0</v>
      </c>
      <c r="AB69" s="160">
        <f t="shared" si="64"/>
        <v>0</v>
      </c>
      <c r="AC69" s="868"/>
      <c r="AD69" s="868"/>
      <c r="AE69" s="868"/>
      <c r="AF69" s="868"/>
      <c r="AG69" s="868"/>
      <c r="AH69" s="868"/>
      <c r="AI69" s="868"/>
      <c r="AJ69" s="868"/>
      <c r="AK69" s="868"/>
      <c r="AL69" s="868"/>
      <c r="AM69" s="868"/>
      <c r="AN69" s="868"/>
      <c r="AO69" s="868"/>
      <c r="AP69" s="868"/>
      <c r="AQ69" s="868"/>
    </row>
    <row r="70" spans="2:43" s="263" customFormat="1" ht="14.5" hidden="1" x14ac:dyDescent="0.35">
      <c r="B70" s="273" t="s">
        <v>478</v>
      </c>
      <c r="E70" s="255"/>
      <c r="F70" s="255"/>
      <c r="G70" s="259"/>
      <c r="H70" s="281"/>
      <c r="I70" s="281"/>
      <c r="J70" s="281"/>
      <c r="K70" s="281"/>
      <c r="L70" s="281"/>
      <c r="M70" s="281"/>
      <c r="N70" s="281"/>
      <c r="O70" s="281"/>
      <c r="P70" s="281"/>
      <c r="Q70" s="281"/>
      <c r="R70" s="281"/>
      <c r="S70" s="281"/>
      <c r="T70" s="281"/>
      <c r="U70" s="281"/>
      <c r="V70" s="281"/>
      <c r="W70" s="281"/>
      <c r="X70" s="281"/>
      <c r="Y70" s="281"/>
      <c r="Z70" s="281"/>
      <c r="AA70" s="281"/>
      <c r="AB70" s="281"/>
      <c r="AC70" s="870"/>
      <c r="AD70" s="870"/>
      <c r="AE70" s="870"/>
      <c r="AF70" s="870"/>
      <c r="AG70" s="870"/>
      <c r="AH70" s="870"/>
      <c r="AI70" s="870"/>
      <c r="AJ70" s="870"/>
      <c r="AK70" s="870"/>
      <c r="AL70" s="870"/>
      <c r="AM70" s="870"/>
      <c r="AN70" s="870"/>
      <c r="AO70" s="870"/>
      <c r="AP70" s="870"/>
      <c r="AQ70" s="870"/>
    </row>
    <row r="71" spans="2:43" s="263" customFormat="1" ht="5.25" hidden="1" customHeight="1" x14ac:dyDescent="0.35">
      <c r="B71" s="273"/>
      <c r="E71" s="255"/>
      <c r="F71" s="255"/>
      <c r="G71" s="259"/>
      <c r="H71" s="261"/>
      <c r="I71" s="261"/>
      <c r="J71" s="261"/>
      <c r="K71" s="261"/>
      <c r="L71" s="261"/>
      <c r="M71" s="261"/>
      <c r="N71" s="261"/>
      <c r="O71" s="261"/>
      <c r="P71" s="261"/>
      <c r="Q71" s="261"/>
      <c r="AC71" s="871"/>
      <c r="AD71" s="871"/>
      <c r="AE71" s="871"/>
      <c r="AF71" s="871"/>
      <c r="AG71" s="871"/>
      <c r="AH71" s="871"/>
      <c r="AI71" s="871"/>
      <c r="AJ71" s="871"/>
      <c r="AK71" s="871"/>
      <c r="AL71" s="871"/>
      <c r="AM71" s="871"/>
      <c r="AN71" s="871"/>
      <c r="AO71" s="871"/>
      <c r="AP71" s="871"/>
      <c r="AQ71" s="871"/>
    </row>
    <row r="72" spans="2:43" s="263" customFormat="1" ht="15.5" hidden="1" x14ac:dyDescent="0.35">
      <c r="B72" s="252" t="s">
        <v>503</v>
      </c>
      <c r="E72" s="268">
        <f>+_xlfn.XLOOKUP($B72,Inputs!$B:$B,Inputs!O:O)</f>
        <v>-8.0909999999999993</v>
      </c>
      <c r="F72" s="268">
        <f>+_xlfn.XLOOKUP($B72,Inputs!$B:$B,Inputs!P:P)</f>
        <v>2.1320000000000001</v>
      </c>
      <c r="G72" s="269">
        <f>+_xlfn.XLOOKUP($B72,Inputs!$B:$B,Inputs!Q:Q)</f>
        <v>64.254000000000005</v>
      </c>
      <c r="H72" s="280">
        <f t="shared" ref="H72:AB72" si="65">IFERROR(AVERAGE(E72:G72)*(1+H29),"")</f>
        <v>31.090666666666671</v>
      </c>
      <c r="I72" s="280">
        <f t="shared" si="65"/>
        <v>51.987555555555574</v>
      </c>
      <c r="J72" s="280">
        <f t="shared" si="65"/>
        <v>78.577185185185201</v>
      </c>
      <c r="K72" s="280">
        <f t="shared" si="65"/>
        <v>86.216217283950641</v>
      </c>
      <c r="L72" s="280">
        <f t="shared" si="65"/>
        <v>115.61651094650209</v>
      </c>
      <c r="M72" s="280">
        <f t="shared" si="65"/>
        <v>140.20495670781898</v>
      </c>
      <c r="N72" s="280">
        <f t="shared" si="65"/>
        <v>171.01884246913585</v>
      </c>
      <c r="O72" s="280">
        <f t="shared" si="65"/>
        <v>213.42015506172845</v>
      </c>
      <c r="P72" s="280">
        <f t="shared" si="65"/>
        <v>244.83384531138549</v>
      </c>
      <c r="Q72" s="280">
        <f t="shared" si="65"/>
        <v>293.66065999304993</v>
      </c>
      <c r="R72" s="280">
        <f t="shared" si="65"/>
        <v>350.89350817087643</v>
      </c>
      <c r="S72" s="280">
        <f t="shared" si="65"/>
        <v>415.04773962181218</v>
      </c>
      <c r="T72" s="280">
        <f t="shared" si="65"/>
        <v>459.16082670715338</v>
      </c>
      <c r="U72" s="280">
        <f t="shared" si="65"/>
        <v>530.87756561659819</v>
      </c>
      <c r="V72" s="280">
        <f t="shared" si="65"/>
        <v>608.8706571764111</v>
      </c>
      <c r="W72" s="280">
        <f t="shared" si="65"/>
        <v>692.86058811673729</v>
      </c>
      <c r="X72" s="280">
        <f t="shared" si="65"/>
        <v>794.13048472755679</v>
      </c>
      <c r="Y72" s="280">
        <f t="shared" si="65"/>
        <v>908.20674967563889</v>
      </c>
      <c r="Z72" s="280">
        <f t="shared" si="65"/>
        <v>997.99909271663876</v>
      </c>
      <c r="AA72" s="280">
        <f t="shared" si="65"/>
        <v>1125.1401362999311</v>
      </c>
      <c r="AB72" s="280">
        <f t="shared" si="65"/>
        <v>1212.5383914768834</v>
      </c>
      <c r="AC72" s="868"/>
      <c r="AD72" s="868"/>
      <c r="AE72" s="868"/>
      <c r="AF72" s="868"/>
      <c r="AG72" s="868"/>
      <c r="AH72" s="868"/>
      <c r="AI72" s="868"/>
      <c r="AJ72" s="868"/>
      <c r="AK72" s="868"/>
      <c r="AL72" s="868"/>
      <c r="AM72" s="868"/>
      <c r="AN72" s="868"/>
      <c r="AO72" s="868"/>
      <c r="AP72" s="868"/>
      <c r="AQ72" s="868"/>
    </row>
    <row r="73" spans="2:43" ht="3.75" hidden="1" customHeight="1" x14ac:dyDescent="0.35">
      <c r="B73" s="151"/>
      <c r="G73" s="147"/>
      <c r="H73" s="132"/>
      <c r="I73" s="132"/>
      <c r="J73" s="132"/>
      <c r="K73" s="132"/>
      <c r="L73" s="132"/>
      <c r="O73" s="132"/>
      <c r="P73" s="132"/>
      <c r="Q73" s="132"/>
      <c r="AC73" s="229"/>
      <c r="AD73" s="229"/>
      <c r="AE73" s="229"/>
      <c r="AF73" s="229"/>
      <c r="AG73" s="229"/>
      <c r="AH73" s="229"/>
      <c r="AI73" s="229"/>
      <c r="AJ73" s="229"/>
      <c r="AK73" s="229"/>
      <c r="AL73" s="229"/>
      <c r="AM73" s="229"/>
      <c r="AN73" s="229"/>
      <c r="AO73" s="229"/>
      <c r="AP73" s="229"/>
      <c r="AQ73" s="229"/>
    </row>
    <row r="74" spans="2:43" ht="13.5" hidden="1" customHeight="1" x14ac:dyDescent="0.35">
      <c r="B74" s="197" t="s">
        <v>275</v>
      </c>
      <c r="E74" s="268">
        <f>+_xlfn.XLOOKUP($B74,Inputs!$B:$B,Inputs!O:O)</f>
        <v>-53.701999999999998</v>
      </c>
      <c r="F74" s="268">
        <f>+_xlfn.XLOOKUP($B74,Inputs!$B:$B,Inputs!P:P)</f>
        <v>-82.715000000000003</v>
      </c>
      <c r="G74" s="269">
        <f>+_xlfn.XLOOKUP($B74,Inputs!$B:$B,Inputs!Q:Q)</f>
        <v>-143.87899999999999</v>
      </c>
      <c r="H74" s="156">
        <f>IFERROR(+H57-H60-H69-H72,"")</f>
        <v>-109.53498000000002</v>
      </c>
      <c r="I74" s="156">
        <f t="shared" ref="I74:AB74" si="66">IFERROR(+I57-I60-I69-I72,"")</f>
        <v>-152.02399800000001</v>
      </c>
      <c r="J74" s="156">
        <f t="shared" si="66"/>
        <v>-206.29524153333332</v>
      </c>
      <c r="K74" s="156">
        <f t="shared" si="66"/>
        <v>-249.08639485111109</v>
      </c>
      <c r="L74" s="156">
        <f t="shared" si="66"/>
        <v>-304.10342174837029</v>
      </c>
      <c r="M74" s="156">
        <f t="shared" si="66"/>
        <v>-358.26768520640735</v>
      </c>
      <c r="N74" s="156">
        <f t="shared" si="66"/>
        <v>-371.26009463774449</v>
      </c>
      <c r="O74" s="156">
        <f t="shared" si="66"/>
        <v>-369.66419597254117</v>
      </c>
      <c r="P74" s="156">
        <f t="shared" si="66"/>
        <v>-335.15849262572243</v>
      </c>
      <c r="Q74" s="156">
        <f t="shared" si="66"/>
        <v>-303.96137444940609</v>
      </c>
      <c r="R74" s="156">
        <f t="shared" si="66"/>
        <v>-225.08316271086591</v>
      </c>
      <c r="S74" s="156">
        <f t="shared" si="66"/>
        <v>-101.85977550883263</v>
      </c>
      <c r="T74" s="156">
        <f t="shared" si="66"/>
        <v>55.107152233527415</v>
      </c>
      <c r="U74" s="156">
        <f t="shared" si="66"/>
        <v>253.86967164046632</v>
      </c>
      <c r="V74" s="156">
        <f t="shared" si="66"/>
        <v>508.46124090014598</v>
      </c>
      <c r="W74" s="156">
        <f t="shared" si="66"/>
        <v>892.16688435948572</v>
      </c>
      <c r="X74" s="156">
        <f t="shared" si="66"/>
        <v>1366.7938001050056</v>
      </c>
      <c r="Y74" s="156">
        <f t="shared" si="66"/>
        <v>2060.4889134816044</v>
      </c>
      <c r="Z74" s="156">
        <f t="shared" si="66"/>
        <v>2866.9350600645316</v>
      </c>
      <c r="AA74" s="156">
        <f t="shared" si="66"/>
        <v>3792.002606033233</v>
      </c>
      <c r="AB74" s="156">
        <f t="shared" si="66"/>
        <v>4752.2540579076858</v>
      </c>
      <c r="AC74" s="863"/>
      <c r="AD74" s="863"/>
      <c r="AE74" s="863"/>
      <c r="AF74" s="863"/>
      <c r="AG74" s="863"/>
      <c r="AH74" s="863"/>
      <c r="AI74" s="863"/>
      <c r="AJ74" s="863"/>
      <c r="AK74" s="863"/>
      <c r="AL74" s="863"/>
      <c r="AM74" s="863"/>
      <c r="AN74" s="863"/>
      <c r="AO74" s="863"/>
      <c r="AP74" s="863"/>
      <c r="AQ74" s="863"/>
    </row>
    <row r="75" spans="2:43" ht="5.25" hidden="1" customHeight="1" x14ac:dyDescent="0.35">
      <c r="G75" s="147"/>
      <c r="H75" s="132"/>
      <c r="I75" s="132"/>
      <c r="J75" s="132"/>
      <c r="K75" s="132"/>
      <c r="L75" s="132"/>
      <c r="O75" s="132"/>
      <c r="P75" s="132"/>
      <c r="Q75" s="132"/>
      <c r="AC75" s="229"/>
      <c r="AD75" s="229"/>
      <c r="AE75" s="229"/>
      <c r="AF75" s="229"/>
      <c r="AG75" s="229"/>
      <c r="AH75" s="229"/>
      <c r="AI75" s="229"/>
      <c r="AJ75" s="229"/>
      <c r="AK75" s="229"/>
      <c r="AL75" s="229"/>
      <c r="AM75" s="229"/>
      <c r="AN75" s="229"/>
      <c r="AO75" s="229"/>
      <c r="AP75" s="229"/>
      <c r="AQ75" s="229"/>
    </row>
    <row r="76" spans="2:43" ht="15.5" hidden="1" x14ac:dyDescent="0.35">
      <c r="B76" s="127" t="s">
        <v>276</v>
      </c>
      <c r="E76" s="149">
        <f>+_xlfn.XLOOKUP($B76,Inputs!$B:$B,Inputs!O:O)</f>
        <v>0</v>
      </c>
      <c r="F76" s="149">
        <f>+_xlfn.XLOOKUP($B76,Inputs!$B:$B,Inputs!P:P)</f>
        <v>0</v>
      </c>
      <c r="G76" s="246">
        <f>+_xlfn.XLOOKUP($B76,Inputs!$B:$B,Inputs!Q:Q)</f>
        <v>0</v>
      </c>
      <c r="H76" s="156">
        <f t="shared" ref="H76:AB76" si="67">IFERROR(H77*H$57,"")</f>
        <v>0</v>
      </c>
      <c r="I76" s="156">
        <f t="shared" si="67"/>
        <v>0</v>
      </c>
      <c r="J76" s="156">
        <f t="shared" si="67"/>
        <v>0</v>
      </c>
      <c r="K76" s="156">
        <f t="shared" si="67"/>
        <v>0</v>
      </c>
      <c r="L76" s="156">
        <f t="shared" si="67"/>
        <v>0</v>
      </c>
      <c r="M76" s="156">
        <f t="shared" si="67"/>
        <v>0</v>
      </c>
      <c r="N76" s="156">
        <f t="shared" si="67"/>
        <v>0</v>
      </c>
      <c r="O76" s="156">
        <f t="shared" si="67"/>
        <v>0</v>
      </c>
      <c r="P76" s="156">
        <f t="shared" si="67"/>
        <v>0</v>
      </c>
      <c r="Q76" s="156">
        <f t="shared" si="67"/>
        <v>0</v>
      </c>
      <c r="R76" s="156">
        <f t="shared" si="67"/>
        <v>0</v>
      </c>
      <c r="S76" s="156">
        <f t="shared" si="67"/>
        <v>0</v>
      </c>
      <c r="T76" s="156">
        <f t="shared" si="67"/>
        <v>0</v>
      </c>
      <c r="U76" s="156">
        <f t="shared" si="67"/>
        <v>0</v>
      </c>
      <c r="V76" s="156">
        <f t="shared" si="67"/>
        <v>0</v>
      </c>
      <c r="W76" s="156">
        <f t="shared" si="67"/>
        <v>0</v>
      </c>
      <c r="X76" s="156">
        <f t="shared" si="67"/>
        <v>0</v>
      </c>
      <c r="Y76" s="156">
        <f t="shared" si="67"/>
        <v>0</v>
      </c>
      <c r="Z76" s="156">
        <f t="shared" si="67"/>
        <v>0</v>
      </c>
      <c r="AA76" s="156">
        <f t="shared" si="67"/>
        <v>0</v>
      </c>
      <c r="AB76" s="156">
        <f t="shared" si="67"/>
        <v>0</v>
      </c>
      <c r="AC76" s="863"/>
      <c r="AD76" s="863"/>
      <c r="AE76" s="863"/>
      <c r="AF76" s="863"/>
      <c r="AG76" s="863"/>
      <c r="AH76" s="863"/>
      <c r="AI76" s="863"/>
      <c r="AJ76" s="863"/>
      <c r="AK76" s="863"/>
      <c r="AL76" s="863"/>
      <c r="AM76" s="863"/>
      <c r="AN76" s="863"/>
      <c r="AO76" s="863"/>
      <c r="AP76" s="863"/>
      <c r="AQ76" s="863"/>
    </row>
    <row r="77" spans="2:43" s="253" customFormat="1" ht="14.5" hidden="1" x14ac:dyDescent="0.35">
      <c r="B77" s="253" t="s">
        <v>504</v>
      </c>
      <c r="E77" s="255">
        <v>0</v>
      </c>
      <c r="F77" s="255">
        <v>0</v>
      </c>
      <c r="G77" s="259">
        <v>0</v>
      </c>
      <c r="H77" s="279">
        <f>IFERROR(AVERAGE(E77:G77),"")</f>
        <v>0</v>
      </c>
      <c r="I77" s="279">
        <f t="shared" ref="I77:Q77" si="68">IFERROR(AVERAGE(F77:H77),"")</f>
        <v>0</v>
      </c>
      <c r="J77" s="279">
        <f t="shared" si="68"/>
        <v>0</v>
      </c>
      <c r="K77" s="279">
        <f t="shared" si="68"/>
        <v>0</v>
      </c>
      <c r="L77" s="279">
        <f t="shared" si="68"/>
        <v>0</v>
      </c>
      <c r="M77" s="279">
        <f t="shared" si="68"/>
        <v>0</v>
      </c>
      <c r="N77" s="279">
        <f t="shared" si="68"/>
        <v>0</v>
      </c>
      <c r="O77" s="279">
        <f t="shared" si="68"/>
        <v>0</v>
      </c>
      <c r="P77" s="279">
        <f t="shared" si="68"/>
        <v>0</v>
      </c>
      <c r="Q77" s="279">
        <f t="shared" si="68"/>
        <v>0</v>
      </c>
      <c r="R77" s="279">
        <f t="shared" ref="R77" si="69">IFERROR(AVERAGE(O77:Q77),"")</f>
        <v>0</v>
      </c>
      <c r="S77" s="279">
        <f t="shared" ref="S77" si="70">IFERROR(AVERAGE(P77:R77),"")</f>
        <v>0</v>
      </c>
      <c r="T77" s="279">
        <f t="shared" ref="T77" si="71">IFERROR(AVERAGE(Q77:S77),"")</f>
        <v>0</v>
      </c>
      <c r="U77" s="279">
        <f t="shared" ref="U77" si="72">IFERROR(AVERAGE(R77:T77),"")</f>
        <v>0</v>
      </c>
      <c r="V77" s="279">
        <f t="shared" ref="V77" si="73">IFERROR(AVERAGE(S77:U77),"")</f>
        <v>0</v>
      </c>
      <c r="W77" s="279">
        <f t="shared" ref="W77" si="74">IFERROR(AVERAGE(T77:V77),"")</f>
        <v>0</v>
      </c>
      <c r="X77" s="279">
        <f t="shared" ref="X77" si="75">IFERROR(AVERAGE(U77:W77),"")</f>
        <v>0</v>
      </c>
      <c r="Y77" s="279">
        <f t="shared" ref="Y77" si="76">IFERROR(AVERAGE(V77:X77),"")</f>
        <v>0</v>
      </c>
      <c r="Z77" s="279">
        <f t="shared" ref="Z77" si="77">IFERROR(AVERAGE(W77:Y77),"")</f>
        <v>0</v>
      </c>
      <c r="AA77" s="279">
        <f t="shared" ref="AA77" si="78">IFERROR(AVERAGE(X77:Z77),"")</f>
        <v>0</v>
      </c>
      <c r="AB77" s="279">
        <f t="shared" ref="AB77" si="79">IFERROR(AVERAGE(Y77:AA77),"")</f>
        <v>0</v>
      </c>
      <c r="AC77" s="864"/>
      <c r="AD77" s="864"/>
      <c r="AE77" s="864"/>
      <c r="AF77" s="864"/>
      <c r="AG77" s="864"/>
      <c r="AH77" s="864"/>
      <c r="AI77" s="864"/>
      <c r="AJ77" s="864"/>
      <c r="AK77" s="864"/>
      <c r="AL77" s="864"/>
      <c r="AM77" s="864"/>
      <c r="AN77" s="864"/>
      <c r="AO77" s="864"/>
      <c r="AP77" s="864"/>
      <c r="AQ77" s="864"/>
    </row>
    <row r="78" spans="2:43" s="253" customFormat="1" ht="3.75" hidden="1" customHeight="1" x14ac:dyDescent="0.35">
      <c r="E78" s="255"/>
      <c r="F78" s="255"/>
      <c r="G78" s="259"/>
      <c r="H78" s="271"/>
      <c r="I78" s="271"/>
      <c r="J78" s="271"/>
      <c r="K78" s="271"/>
      <c r="L78" s="271"/>
      <c r="M78" s="271"/>
      <c r="N78" s="271"/>
      <c r="O78" s="271"/>
      <c r="P78" s="271"/>
      <c r="Q78" s="271"/>
      <c r="AC78" s="872"/>
      <c r="AD78" s="872"/>
      <c r="AE78" s="872"/>
      <c r="AF78" s="872"/>
      <c r="AG78" s="872"/>
      <c r="AH78" s="872"/>
      <c r="AI78" s="872"/>
      <c r="AJ78" s="872"/>
      <c r="AK78" s="872"/>
      <c r="AL78" s="872"/>
      <c r="AM78" s="872"/>
      <c r="AN78" s="872"/>
      <c r="AO78" s="872"/>
      <c r="AP78" s="872"/>
      <c r="AQ78" s="872"/>
    </row>
    <row r="79" spans="2:43" s="253" customFormat="1" ht="15.5" hidden="1" x14ac:dyDescent="0.35">
      <c r="B79" s="127" t="s">
        <v>279</v>
      </c>
      <c r="E79" s="149">
        <f>+_xlfn.XLOOKUP($B79,Inputs!$B:$B,Inputs!O:O)</f>
        <v>-53.701999999999998</v>
      </c>
      <c r="F79" s="149">
        <f>+_xlfn.XLOOKUP($B79,Inputs!$B:$B,Inputs!P:P)</f>
        <v>-82.715000000000003</v>
      </c>
      <c r="G79" s="246">
        <f>+_xlfn.XLOOKUP($B79,Inputs!$B:$B,Inputs!Q:Q)</f>
        <v>-143.87899999999999</v>
      </c>
      <c r="H79" s="156">
        <f>IFERROR(+H74-H76,"")</f>
        <v>-109.53498000000002</v>
      </c>
      <c r="I79" s="156">
        <f t="shared" ref="I79:AB79" si="80">IFERROR(+I74-I76,"")</f>
        <v>-152.02399800000001</v>
      </c>
      <c r="J79" s="156">
        <f t="shared" si="80"/>
        <v>-206.29524153333332</v>
      </c>
      <c r="K79" s="156">
        <f t="shared" si="80"/>
        <v>-249.08639485111109</v>
      </c>
      <c r="L79" s="156">
        <f t="shared" si="80"/>
        <v>-304.10342174837029</v>
      </c>
      <c r="M79" s="156">
        <f t="shared" si="80"/>
        <v>-358.26768520640735</v>
      </c>
      <c r="N79" s="156">
        <f t="shared" si="80"/>
        <v>-371.26009463774449</v>
      </c>
      <c r="O79" s="156">
        <f t="shared" si="80"/>
        <v>-369.66419597254117</v>
      </c>
      <c r="P79" s="156">
        <f t="shared" si="80"/>
        <v>-335.15849262572243</v>
      </c>
      <c r="Q79" s="156">
        <f t="shared" si="80"/>
        <v>-303.96137444940609</v>
      </c>
      <c r="R79" s="156">
        <f t="shared" si="80"/>
        <v>-225.08316271086591</v>
      </c>
      <c r="S79" s="156">
        <f t="shared" si="80"/>
        <v>-101.85977550883263</v>
      </c>
      <c r="T79" s="156">
        <f t="shared" si="80"/>
        <v>55.107152233527415</v>
      </c>
      <c r="U79" s="156">
        <f t="shared" si="80"/>
        <v>253.86967164046632</v>
      </c>
      <c r="V79" s="156">
        <f t="shared" si="80"/>
        <v>508.46124090014598</v>
      </c>
      <c r="W79" s="156">
        <f t="shared" si="80"/>
        <v>892.16688435948572</v>
      </c>
      <c r="X79" s="156">
        <f t="shared" si="80"/>
        <v>1366.7938001050056</v>
      </c>
      <c r="Y79" s="156">
        <f t="shared" si="80"/>
        <v>2060.4889134816044</v>
      </c>
      <c r="Z79" s="156">
        <f t="shared" si="80"/>
        <v>2866.9350600645316</v>
      </c>
      <c r="AA79" s="156">
        <f t="shared" si="80"/>
        <v>3792.002606033233</v>
      </c>
      <c r="AB79" s="156">
        <f t="shared" si="80"/>
        <v>4752.2540579076858</v>
      </c>
      <c r="AC79" s="863"/>
      <c r="AD79" s="863"/>
      <c r="AE79" s="863"/>
      <c r="AF79" s="863"/>
      <c r="AG79" s="863"/>
      <c r="AH79" s="863"/>
      <c r="AI79" s="863"/>
      <c r="AJ79" s="863"/>
      <c r="AK79" s="863"/>
      <c r="AL79" s="863"/>
      <c r="AM79" s="863"/>
      <c r="AN79" s="863"/>
      <c r="AO79" s="863"/>
      <c r="AP79" s="863"/>
      <c r="AQ79" s="863"/>
    </row>
    <row r="80" spans="2:43" s="253" customFormat="1" ht="14.5" hidden="1" x14ac:dyDescent="0.35">
      <c r="B80" s="253" t="s">
        <v>35</v>
      </c>
      <c r="E80" s="255">
        <f t="shared" ref="E80:AB80" si="81">IFERROR(E79/E$28,"")</f>
        <v>-7.4866861843022443</v>
      </c>
      <c r="F80" s="255">
        <f t="shared" si="81"/>
        <v>-9.444507878511077</v>
      </c>
      <c r="G80" s="259">
        <f t="shared" si="81"/>
        <v>-16.299875382349608</v>
      </c>
      <c r="H80" s="255">
        <f t="shared" si="81"/>
        <v>-7.7556771836411018</v>
      </c>
      <c r="I80" s="255">
        <f t="shared" si="81"/>
        <v>-6.7275828955194283</v>
      </c>
      <c r="J80" s="255">
        <f t="shared" si="81"/>
        <v>-5.7057946303924263</v>
      </c>
      <c r="K80" s="255">
        <f t="shared" si="81"/>
        <v>-4.3058306982799248</v>
      </c>
      <c r="L80" s="255">
        <f t="shared" si="81"/>
        <v>-3.2855514087762376</v>
      </c>
      <c r="M80" s="255">
        <f t="shared" si="81"/>
        <v>-2.5804968828946793</v>
      </c>
      <c r="N80" s="255">
        <f t="shared" si="81"/>
        <v>-1.7827182607029972</v>
      </c>
      <c r="O80" s="255">
        <f t="shared" si="81"/>
        <v>-1.1833700452533402</v>
      </c>
      <c r="P80" s="255">
        <f t="shared" si="81"/>
        <v>-0.76636449456144351</v>
      </c>
      <c r="Q80" s="255">
        <f t="shared" si="81"/>
        <v>-0.49644999566615472</v>
      </c>
      <c r="R80" s="255">
        <f t="shared" si="81"/>
        <v>-0.26258631275753275</v>
      </c>
      <c r="S80" s="255">
        <f t="shared" si="81"/>
        <v>-8.4879684173611913E-2</v>
      </c>
      <c r="T80" s="255">
        <f t="shared" si="81"/>
        <v>3.5323656799623883E-2</v>
      </c>
      <c r="U80" s="255">
        <f t="shared" si="81"/>
        <v>0.12517717810313997</v>
      </c>
      <c r="V80" s="255">
        <f t="shared" si="81"/>
        <v>0.19285408229475601</v>
      </c>
      <c r="W80" s="255">
        <f t="shared" si="81"/>
        <v>0.26029973741092033</v>
      </c>
      <c r="X80" s="255">
        <f t="shared" si="81"/>
        <v>0.30675191232914262</v>
      </c>
      <c r="Y80" s="255">
        <f t="shared" si="81"/>
        <v>0.35572239572354869</v>
      </c>
      <c r="Z80" s="255">
        <f t="shared" si="81"/>
        <v>0.39595767830724454</v>
      </c>
      <c r="AA80" s="255">
        <f t="shared" si="81"/>
        <v>0.4189763678807969</v>
      </c>
      <c r="AB80" s="255">
        <f t="shared" si="81"/>
        <v>0.43756170360155838</v>
      </c>
      <c r="AC80" s="865"/>
      <c r="AD80" s="865"/>
      <c r="AE80" s="865"/>
      <c r="AF80" s="865"/>
      <c r="AG80" s="865"/>
      <c r="AH80" s="865"/>
      <c r="AI80" s="865"/>
      <c r="AJ80" s="865"/>
      <c r="AK80" s="865"/>
      <c r="AL80" s="865"/>
      <c r="AM80" s="865"/>
      <c r="AN80" s="865"/>
      <c r="AO80" s="865"/>
      <c r="AP80" s="865"/>
      <c r="AQ80" s="865"/>
    </row>
    <row r="81" spans="1:43" ht="3.75" hidden="1" customHeight="1" x14ac:dyDescent="0.35">
      <c r="B81" s="151"/>
      <c r="G81" s="147"/>
      <c r="AC81" s="229"/>
      <c r="AD81" s="229"/>
      <c r="AE81" s="229"/>
      <c r="AF81" s="229"/>
      <c r="AG81" s="229"/>
      <c r="AH81" s="229"/>
      <c r="AI81" s="229"/>
      <c r="AJ81" s="229"/>
      <c r="AK81" s="229"/>
      <c r="AL81" s="229"/>
      <c r="AM81" s="229"/>
      <c r="AN81" s="229"/>
      <c r="AO81" s="229"/>
      <c r="AP81" s="229"/>
      <c r="AQ81" s="229"/>
    </row>
    <row r="82" spans="1:43" ht="15.5" x14ac:dyDescent="0.35">
      <c r="A82" s="127" t="s">
        <v>431</v>
      </c>
      <c r="B82" s="49" t="s">
        <v>285</v>
      </c>
      <c r="C82" s="53"/>
      <c r="D82" s="53"/>
      <c r="E82" s="138">
        <f t="shared" ref="E82:Q82" si="82">E26</f>
        <v>2022</v>
      </c>
      <c r="F82" s="138">
        <f t="shared" si="82"/>
        <v>2023</v>
      </c>
      <c r="G82" s="139">
        <f t="shared" si="82"/>
        <v>2024</v>
      </c>
      <c r="H82" s="100">
        <f t="shared" si="82"/>
        <v>2025</v>
      </c>
      <c r="I82" s="100">
        <f t="shared" si="82"/>
        <v>2026</v>
      </c>
      <c r="J82" s="100">
        <f t="shared" si="82"/>
        <v>2027</v>
      </c>
      <c r="K82" s="100">
        <f t="shared" si="82"/>
        <v>2028</v>
      </c>
      <c r="L82" s="100">
        <f t="shared" si="82"/>
        <v>2029</v>
      </c>
      <c r="M82" s="100">
        <f t="shared" si="82"/>
        <v>2030</v>
      </c>
      <c r="N82" s="100">
        <f t="shared" si="82"/>
        <v>2031</v>
      </c>
      <c r="O82" s="100">
        <f t="shared" si="82"/>
        <v>2032</v>
      </c>
      <c r="P82" s="100">
        <f t="shared" si="82"/>
        <v>2033</v>
      </c>
      <c r="Q82" s="100">
        <f t="shared" si="82"/>
        <v>2034</v>
      </c>
      <c r="R82" s="348" t="s">
        <v>459</v>
      </c>
      <c r="S82" s="348" t="s">
        <v>460</v>
      </c>
      <c r="T82" s="348" t="s">
        <v>461</v>
      </c>
      <c r="U82" s="348" t="s">
        <v>462</v>
      </c>
      <c r="V82" s="348" t="s">
        <v>463</v>
      </c>
      <c r="W82" s="348" t="s">
        <v>464</v>
      </c>
      <c r="X82" s="348" t="s">
        <v>465</v>
      </c>
      <c r="Y82" s="348" t="s">
        <v>466</v>
      </c>
      <c r="Z82" s="348" t="s">
        <v>467</v>
      </c>
      <c r="AA82" s="348" t="s">
        <v>468</v>
      </c>
      <c r="AB82" s="348" t="s">
        <v>469</v>
      </c>
      <c r="AC82" s="861"/>
      <c r="AD82" s="861"/>
      <c r="AE82" s="861"/>
      <c r="AF82" s="861"/>
      <c r="AG82" s="861"/>
      <c r="AH82" s="861"/>
      <c r="AI82" s="861"/>
      <c r="AJ82" s="861"/>
      <c r="AK82" s="861"/>
      <c r="AL82" s="861"/>
      <c r="AM82" s="861"/>
      <c r="AN82" s="861"/>
      <c r="AO82" s="861"/>
      <c r="AP82" s="861"/>
      <c r="AQ82" s="861"/>
    </row>
    <row r="83" spans="1:43" ht="4.4000000000000004" customHeight="1" x14ac:dyDescent="0.35">
      <c r="B83" s="163"/>
      <c r="C83" s="50"/>
      <c r="D83" s="50"/>
      <c r="E83" s="50"/>
      <c r="F83" s="50"/>
      <c r="G83" s="164"/>
      <c r="H83" s="50"/>
      <c r="I83" s="50"/>
      <c r="J83" s="50"/>
      <c r="K83" s="50"/>
      <c r="L83" s="50"/>
      <c r="M83" s="50"/>
      <c r="N83" s="50"/>
      <c r="O83" s="50"/>
      <c r="P83" s="50"/>
      <c r="Q83" s="50"/>
      <c r="R83" s="50"/>
      <c r="S83" s="50"/>
      <c r="T83" s="50"/>
      <c r="U83" s="50"/>
      <c r="V83" s="50"/>
      <c r="W83" s="50"/>
      <c r="X83" s="50"/>
      <c r="Y83" s="50"/>
      <c r="Z83" s="50"/>
      <c r="AA83" s="50"/>
      <c r="AB83" s="50"/>
      <c r="AC83" s="229"/>
      <c r="AD83" s="229"/>
      <c r="AE83" s="229"/>
      <c r="AF83" s="229"/>
      <c r="AG83" s="229"/>
      <c r="AH83" s="229"/>
      <c r="AI83" s="229"/>
      <c r="AJ83" s="229"/>
      <c r="AK83" s="229"/>
      <c r="AL83" s="229"/>
      <c r="AM83" s="229"/>
      <c r="AN83" s="229"/>
      <c r="AO83" s="229"/>
      <c r="AP83" s="229"/>
      <c r="AQ83" s="229"/>
    </row>
    <row r="84" spans="1:43" ht="13.5" hidden="1" customHeight="1" x14ac:dyDescent="0.35">
      <c r="B84" s="148" t="s">
        <v>505</v>
      </c>
      <c r="G84" s="157"/>
      <c r="AC84" s="229"/>
      <c r="AD84" s="229"/>
      <c r="AE84" s="229"/>
      <c r="AF84" s="229"/>
      <c r="AG84" s="229"/>
      <c r="AH84" s="229"/>
      <c r="AI84" s="229"/>
      <c r="AJ84" s="229"/>
      <c r="AK84" s="229"/>
      <c r="AL84" s="229"/>
      <c r="AM84" s="229"/>
      <c r="AN84" s="229"/>
      <c r="AO84" s="229"/>
      <c r="AP84" s="229"/>
      <c r="AQ84" s="229"/>
    </row>
    <row r="85" spans="1:43" ht="5.25" hidden="1" customHeight="1" x14ac:dyDescent="0.35">
      <c r="B85" s="151"/>
      <c r="G85" s="157"/>
      <c r="AC85" s="229"/>
      <c r="AD85" s="229"/>
      <c r="AE85" s="229"/>
      <c r="AF85" s="229"/>
      <c r="AG85" s="229"/>
      <c r="AH85" s="229"/>
      <c r="AI85" s="229"/>
      <c r="AJ85" s="229"/>
      <c r="AK85" s="229"/>
      <c r="AL85" s="229"/>
      <c r="AM85" s="229"/>
      <c r="AN85" s="229"/>
      <c r="AO85" s="229"/>
      <c r="AP85" s="229"/>
      <c r="AQ85" s="229"/>
    </row>
    <row r="86" spans="1:43" ht="13.5" hidden="1" customHeight="1" x14ac:dyDescent="0.35">
      <c r="B86" s="127" t="s">
        <v>506</v>
      </c>
      <c r="E86" s="149">
        <f>+_xlfn.XLOOKUP($B86,Inputs!$B:$B,Inputs!O:O)</f>
        <v>7.0650000000000004</v>
      </c>
      <c r="F86" s="149">
        <f>+_xlfn.XLOOKUP($B86,Inputs!$B:$B,Inputs!P:P)</f>
        <v>41.307000000000002</v>
      </c>
      <c r="G86" s="246">
        <f>+_xlfn.XLOOKUP($B86,Inputs!$B:$B,Inputs!Q:Q)</f>
        <v>177.98</v>
      </c>
      <c r="H86" s="167">
        <f t="shared" ref="H86:AB86" si="83">IFERROR(G86+H164,"")</f>
        <v>190.31468300987578</v>
      </c>
      <c r="I86" s="167">
        <f t="shared" si="83"/>
        <v>131.11334950690446</v>
      </c>
      <c r="J86" s="167">
        <f t="shared" si="83"/>
        <v>137.38999654293406</v>
      </c>
      <c r="K86" s="167">
        <f t="shared" si="83"/>
        <v>67.245073401902616</v>
      </c>
      <c r="L86" s="167">
        <f t="shared" si="83"/>
        <v>57.128641407423586</v>
      </c>
      <c r="M86" s="167">
        <f t="shared" si="83"/>
        <v>-18.118464504490873</v>
      </c>
      <c r="N86" s="167">
        <f t="shared" si="83"/>
        <v>14.280128909064274</v>
      </c>
      <c r="O86" s="167">
        <f t="shared" si="83"/>
        <v>11.771367121317638</v>
      </c>
      <c r="P86" s="167">
        <f t="shared" si="83"/>
        <v>142.07818637589131</v>
      </c>
      <c r="Q86" s="167">
        <f t="shared" si="83"/>
        <v>256.41618952585327</v>
      </c>
      <c r="R86" s="167">
        <f t="shared" si="83"/>
        <v>563.17802526150308</v>
      </c>
      <c r="S86" s="167">
        <f t="shared" si="83"/>
        <v>911.89794177348722</v>
      </c>
      <c r="T86" s="167">
        <f t="shared" si="83"/>
        <v>1471.6004792505428</v>
      </c>
      <c r="U86" s="167">
        <f t="shared" si="83"/>
        <v>2235.2293211526794</v>
      </c>
      <c r="V86" s="167">
        <f t="shared" si="83"/>
        <v>3317.8640739039611</v>
      </c>
      <c r="W86" s="167">
        <f t="shared" si="83"/>
        <v>4836.2327041927892</v>
      </c>
      <c r="X86" s="167">
        <f t="shared" si="83"/>
        <v>6907.095521332174</v>
      </c>
      <c r="Y86" s="167">
        <f t="shared" si="83"/>
        <v>9729.000198116164</v>
      </c>
      <c r="Z86" s="167">
        <f t="shared" si="83"/>
        <v>13399.946124393849</v>
      </c>
      <c r="AA86" s="167">
        <f t="shared" si="83"/>
        <v>18084.060104184518</v>
      </c>
      <c r="AB86" s="167">
        <f t="shared" si="83"/>
        <v>23806.285755252989</v>
      </c>
      <c r="AC86" s="199"/>
      <c r="AD86" s="199"/>
      <c r="AE86" s="199"/>
      <c r="AF86" s="199"/>
      <c r="AG86" s="199"/>
      <c r="AH86" s="199"/>
      <c r="AI86" s="199"/>
      <c r="AJ86" s="199"/>
      <c r="AK86" s="199"/>
      <c r="AL86" s="199"/>
      <c r="AM86" s="199"/>
      <c r="AN86" s="199"/>
      <c r="AO86" s="199"/>
      <c r="AP86" s="199"/>
      <c r="AQ86" s="199"/>
    </row>
    <row r="87" spans="1:43" ht="3.75" hidden="1" customHeight="1" x14ac:dyDescent="0.35">
      <c r="E87" s="149"/>
      <c r="F87" s="149"/>
      <c r="G87" s="246"/>
      <c r="AC87" s="229"/>
      <c r="AD87" s="229"/>
      <c r="AE87" s="229"/>
      <c r="AF87" s="229"/>
      <c r="AG87" s="229"/>
      <c r="AH87" s="229"/>
      <c r="AI87" s="229"/>
      <c r="AJ87" s="229"/>
      <c r="AK87" s="229"/>
      <c r="AL87" s="229"/>
      <c r="AM87" s="229"/>
      <c r="AN87" s="229"/>
      <c r="AO87" s="229"/>
      <c r="AP87" s="229"/>
      <c r="AQ87" s="229"/>
    </row>
    <row r="88" spans="1:43" ht="15.5" x14ac:dyDescent="0.35">
      <c r="B88" s="127" t="s">
        <v>287</v>
      </c>
      <c r="E88" s="934">
        <f>+_xlfn.XLOOKUP($B88,Inputs!$B:$B,Inputs!O:O)</f>
        <v>0.75700000000000001</v>
      </c>
      <c r="F88" s="934">
        <f>+_xlfn.XLOOKUP($B88,Inputs!$B:$B,Inputs!P:P)</f>
        <v>1.6519999999999999</v>
      </c>
      <c r="G88" s="935">
        <f>+_xlfn.XLOOKUP($B88,Inputs!$B:$B,Inputs!Q:Q)</f>
        <v>1.42</v>
      </c>
      <c r="H88" s="167">
        <f t="shared" ref="H88:AB88" si="84">IFERROR(H89*H28/365,"")</f>
        <v>2.1442453397899666</v>
      </c>
      <c r="I88" s="167">
        <f t="shared" si="84"/>
        <v>3.7794637214929114</v>
      </c>
      <c r="J88" s="167">
        <f t="shared" si="84"/>
        <v>5.7895550491795493</v>
      </c>
      <c r="K88" s="167">
        <f t="shared" si="84"/>
        <v>9.2405147058296109</v>
      </c>
      <c r="L88" s="167">
        <f t="shared" si="84"/>
        <v>15.02892261948733</v>
      </c>
      <c r="M88" s="167">
        <f t="shared" si="84"/>
        <v>22.317503537357176</v>
      </c>
      <c r="N88" s="167">
        <f t="shared" si="84"/>
        <v>33.519061380289621</v>
      </c>
      <c r="O88" s="167">
        <f t="shared" si="84"/>
        <v>50.405196290085932</v>
      </c>
      <c r="P88" s="167">
        <f t="shared" si="84"/>
        <v>70.419146615801196</v>
      </c>
      <c r="Q88" s="167">
        <f t="shared" si="84"/>
        <v>98.642343482913844</v>
      </c>
      <c r="R88" s="167">
        <f t="shared" si="84"/>
        <v>138.1442222876818</v>
      </c>
      <c r="S88" s="167">
        <f t="shared" si="84"/>
        <v>193.32368091434134</v>
      </c>
      <c r="T88" s="167">
        <f t="shared" si="84"/>
        <v>251.36132031556303</v>
      </c>
      <c r="U88" s="167">
        <f t="shared" si="84"/>
        <v>326.77865569604131</v>
      </c>
      <c r="V88" s="167">
        <f t="shared" si="84"/>
        <v>424.78167023565436</v>
      </c>
      <c r="W88" s="167">
        <f t="shared" si="84"/>
        <v>552.23764005531746</v>
      </c>
      <c r="X88" s="167">
        <f t="shared" si="84"/>
        <v>717.90755377812377</v>
      </c>
      <c r="Y88" s="167">
        <f t="shared" si="84"/>
        <v>933.26892037092671</v>
      </c>
      <c r="Z88" s="167">
        <f t="shared" si="84"/>
        <v>1166.5959799899892</v>
      </c>
      <c r="AA88" s="167">
        <f t="shared" si="84"/>
        <v>1458.2424605596245</v>
      </c>
      <c r="AB88" s="167">
        <f t="shared" si="84"/>
        <v>1749.8880494506736</v>
      </c>
      <c r="AC88" s="199"/>
      <c r="AD88" s="199"/>
      <c r="AE88" s="199"/>
      <c r="AF88" s="199"/>
      <c r="AG88" s="199"/>
      <c r="AH88" s="199"/>
      <c r="AI88" s="199"/>
      <c r="AJ88" s="199"/>
      <c r="AK88" s="199"/>
      <c r="AL88" s="199"/>
      <c r="AM88" s="199"/>
      <c r="AN88" s="199"/>
      <c r="AO88" s="199"/>
      <c r="AP88" s="199"/>
      <c r="AQ88" s="199"/>
    </row>
    <row r="89" spans="1:43" ht="15.5" x14ac:dyDescent="0.35">
      <c r="B89" s="151" t="s">
        <v>507</v>
      </c>
      <c r="E89" s="286">
        <f>IFERROR(E88/E28*365,"")</f>
        <v>38.520144988150008</v>
      </c>
      <c r="F89" s="286">
        <f>IFERROR(F88/F28*365,"")</f>
        <v>68.84905229504453</v>
      </c>
      <c r="G89" s="287">
        <f>IFERROR(G88/G28*366,"")</f>
        <v>58.87844114648238</v>
      </c>
      <c r="H89" s="288">
        <f>IFERROR(AVERAGE(E89:G89),"")</f>
        <v>55.415879476558978</v>
      </c>
      <c r="I89" s="288">
        <f>IFERROR(AVERAGE(F89:H89),"")</f>
        <v>61.047790972695303</v>
      </c>
      <c r="J89" s="288">
        <f t="shared" ref="J89:Q89" si="85">IFERROR(AVERAGE(G89:I89),"")</f>
        <v>58.44737053191222</v>
      </c>
      <c r="K89" s="288">
        <f t="shared" si="85"/>
        <v>58.303680327055503</v>
      </c>
      <c r="L89" s="288">
        <f t="shared" si="85"/>
        <v>59.26628061055434</v>
      </c>
      <c r="M89" s="288">
        <f t="shared" si="85"/>
        <v>58.672443823174014</v>
      </c>
      <c r="N89" s="288">
        <f t="shared" si="85"/>
        <v>58.747468253594612</v>
      </c>
      <c r="O89" s="288">
        <f t="shared" si="85"/>
        <v>58.895397562440991</v>
      </c>
      <c r="P89" s="288">
        <f t="shared" si="85"/>
        <v>58.771769879736532</v>
      </c>
      <c r="Q89" s="288">
        <f t="shared" si="85"/>
        <v>58.804878565257376</v>
      </c>
      <c r="R89" s="288">
        <f t="shared" ref="R89" si="86">IFERROR(AVERAGE(O89:Q89),"")</f>
        <v>58.82401533581163</v>
      </c>
      <c r="S89" s="288">
        <f t="shared" ref="S89" si="87">IFERROR(AVERAGE(P89:R89),"")</f>
        <v>58.800221260268508</v>
      </c>
      <c r="T89" s="288">
        <f t="shared" ref="T89" si="88">IFERROR(AVERAGE(Q89:S89),"")</f>
        <v>58.809705053779169</v>
      </c>
      <c r="U89" s="288">
        <f t="shared" ref="U89" si="89">IFERROR(AVERAGE(R89:T89),"")</f>
        <v>58.811313883286438</v>
      </c>
      <c r="V89" s="288">
        <f t="shared" ref="V89" si="90">IFERROR(AVERAGE(S89:U89),"")</f>
        <v>58.807080065778031</v>
      </c>
      <c r="W89" s="288">
        <f t="shared" ref="W89" si="91">IFERROR(AVERAGE(T89:V89),"")</f>
        <v>58.809366334281208</v>
      </c>
      <c r="X89" s="288">
        <f t="shared" ref="X89" si="92">IFERROR(AVERAGE(U89:W89),"")</f>
        <v>58.80925342778189</v>
      </c>
      <c r="Y89" s="288">
        <f t="shared" ref="Y89" si="93">IFERROR(AVERAGE(V89:X89),"")</f>
        <v>58.808566609280376</v>
      </c>
      <c r="Z89" s="288">
        <f t="shared" ref="Z89" si="94">IFERROR(AVERAGE(W89:Y89),"")</f>
        <v>58.80906212378116</v>
      </c>
      <c r="AA89" s="288">
        <f t="shared" ref="AA89" si="95">IFERROR(AVERAGE(X89:Z89),"")</f>
        <v>58.808960720281142</v>
      </c>
      <c r="AB89" s="288">
        <f t="shared" ref="AB89" si="96">IFERROR(AVERAGE(Y89:AA89),"")</f>
        <v>58.808863151114224</v>
      </c>
      <c r="AC89" s="873"/>
      <c r="AD89" s="873"/>
      <c r="AE89" s="873"/>
      <c r="AF89" s="873"/>
      <c r="AG89" s="873"/>
      <c r="AH89" s="873"/>
      <c r="AI89" s="873"/>
      <c r="AJ89" s="873"/>
      <c r="AK89" s="873"/>
      <c r="AL89" s="873"/>
      <c r="AM89" s="873"/>
      <c r="AN89" s="873"/>
      <c r="AO89" s="873"/>
      <c r="AP89" s="873"/>
      <c r="AQ89" s="873"/>
    </row>
    <row r="90" spans="1:43" ht="3.75" customHeight="1" x14ac:dyDescent="0.35">
      <c r="E90" s="168"/>
      <c r="F90" s="168"/>
      <c r="G90" s="169"/>
      <c r="H90" s="167"/>
      <c r="I90" s="167"/>
      <c r="J90" s="167"/>
      <c r="K90" s="167"/>
      <c r="L90" s="167"/>
      <c r="O90" s="167"/>
      <c r="P90" s="167"/>
      <c r="Q90" s="167"/>
      <c r="AC90" s="229"/>
      <c r="AD90" s="229"/>
      <c r="AE90" s="229"/>
      <c r="AF90" s="229"/>
      <c r="AG90" s="229"/>
      <c r="AH90" s="229"/>
      <c r="AI90" s="229"/>
      <c r="AJ90" s="229"/>
      <c r="AK90" s="229"/>
      <c r="AL90" s="229"/>
      <c r="AM90" s="229"/>
      <c r="AN90" s="229"/>
      <c r="AO90" s="229"/>
      <c r="AP90" s="229"/>
      <c r="AQ90" s="229"/>
    </row>
    <row r="91" spans="1:43" ht="15.5" x14ac:dyDescent="0.35">
      <c r="B91" s="127" t="s">
        <v>508</v>
      </c>
      <c r="E91" s="934">
        <f>+_xlfn.XLOOKUP($B91,Inputs!$B:$B,Inputs!O:O)</f>
        <v>2.1960000000000002</v>
      </c>
      <c r="F91" s="934">
        <f>+_xlfn.XLOOKUP($B91,Inputs!$B:$B,Inputs!P:P)</f>
        <v>2.0779999999999998</v>
      </c>
      <c r="G91" s="935">
        <f>+_xlfn.XLOOKUP($B91,Inputs!$B:$B,Inputs!Q:Q)</f>
        <v>1.6859999999999999</v>
      </c>
      <c r="H91" s="167">
        <f t="shared" ref="H91:AB91" si="97">+IFERROR(H92*H31/365,"")</f>
        <v>3.3335362586735737</v>
      </c>
      <c r="I91" s="167">
        <f t="shared" si="97"/>
        <v>4.8479666199405038</v>
      </c>
      <c r="J91" s="167">
        <f t="shared" si="97"/>
        <v>7.9203138125461896</v>
      </c>
      <c r="K91" s="167">
        <f t="shared" si="97"/>
        <v>12.912487054216184</v>
      </c>
      <c r="L91" s="167">
        <f t="shared" si="97"/>
        <v>20.264417974046818</v>
      </c>
      <c r="M91" s="167">
        <f t="shared" si="97"/>
        <v>30.600200310455484</v>
      </c>
      <c r="N91" s="167">
        <f t="shared" si="97"/>
        <v>45.99339810082229</v>
      </c>
      <c r="O91" s="167">
        <f t="shared" si="97"/>
        <v>68.744319504055426</v>
      </c>
      <c r="P91" s="167">
        <f t="shared" si="97"/>
        <v>96.406271431779714</v>
      </c>
      <c r="Q91" s="167">
        <f t="shared" si="97"/>
        <v>134.97607888295255</v>
      </c>
      <c r="R91" s="167">
        <f t="shared" si="97"/>
        <v>188.85240505384994</v>
      </c>
      <c r="S91" s="167">
        <f t="shared" si="97"/>
        <v>264.4950968315934</v>
      </c>
      <c r="T91" s="167">
        <f t="shared" si="97"/>
        <v>343.82468402428043</v>
      </c>
      <c r="U91" s="167">
        <f t="shared" si="97"/>
        <v>446.93119774478885</v>
      </c>
      <c r="V91" s="167">
        <f t="shared" si="97"/>
        <v>581.05666693608998</v>
      </c>
      <c r="W91" s="167">
        <f t="shared" si="97"/>
        <v>755.35674066898468</v>
      </c>
      <c r="X91" s="167">
        <f t="shared" si="97"/>
        <v>981.95245714565783</v>
      </c>
      <c r="Y91" s="167">
        <f t="shared" si="97"/>
        <v>1276.5575277595094</v>
      </c>
      <c r="Z91" s="167">
        <f t="shared" si="97"/>
        <v>1595.6869224081036</v>
      </c>
      <c r="AA91" s="167">
        <f t="shared" si="97"/>
        <v>1994.60690623716</v>
      </c>
      <c r="AB91" s="167">
        <f t="shared" si="97"/>
        <v>2393.534678548609</v>
      </c>
      <c r="AC91" s="258" t="s">
        <v>509</v>
      </c>
      <c r="AD91" s="199"/>
      <c r="AE91" s="199"/>
      <c r="AF91" s="199"/>
      <c r="AG91" s="199"/>
      <c r="AH91" s="199"/>
      <c r="AI91" s="199"/>
      <c r="AJ91" s="199"/>
      <c r="AK91" s="199"/>
      <c r="AL91" s="199"/>
      <c r="AM91" s="199"/>
      <c r="AN91" s="199"/>
      <c r="AO91" s="199"/>
      <c r="AP91" s="199"/>
      <c r="AQ91" s="199"/>
    </row>
    <row r="92" spans="1:43" ht="15.5" x14ac:dyDescent="0.35">
      <c r="B92" s="151" t="s">
        <v>510</v>
      </c>
      <c r="E92" s="286">
        <f>IFERROR(E91/E31*365,"")</f>
        <v>274.21826890181319</v>
      </c>
      <c r="F92" s="286">
        <f>IFERROR(F91/F31*365,"")</f>
        <v>183.38249516441002</v>
      </c>
      <c r="G92" s="287">
        <f>IFERROR(G91/G31*365,"")</f>
        <v>188.53860294117649</v>
      </c>
      <c r="H92" s="288">
        <f>IFERROR(AVERAGE(E92:G92),"")</f>
        <v>215.37978900246654</v>
      </c>
      <c r="I92" s="288">
        <f t="shared" ref="I92:Q92" si="98">IFERROR(AVERAGE(F92:H92),"")</f>
        <v>195.76696236935103</v>
      </c>
      <c r="J92" s="288">
        <f t="shared" si="98"/>
        <v>199.89511810433135</v>
      </c>
      <c r="K92" s="288">
        <f t="shared" si="98"/>
        <v>203.68062315871632</v>
      </c>
      <c r="L92" s="288">
        <f t="shared" si="98"/>
        <v>199.78090121079958</v>
      </c>
      <c r="M92" s="288">
        <f t="shared" si="98"/>
        <v>201.11888082461576</v>
      </c>
      <c r="N92" s="288">
        <f t="shared" si="98"/>
        <v>201.52680173137722</v>
      </c>
      <c r="O92" s="288">
        <f t="shared" si="98"/>
        <v>200.80886125559752</v>
      </c>
      <c r="P92" s="288">
        <f t="shared" si="98"/>
        <v>201.15151460386349</v>
      </c>
      <c r="Q92" s="288">
        <f t="shared" si="98"/>
        <v>201.16239253027939</v>
      </c>
      <c r="R92" s="288">
        <f t="shared" ref="R92" si="99">IFERROR(AVERAGE(O92:Q92),"")</f>
        <v>201.04092279658013</v>
      </c>
      <c r="S92" s="288">
        <f t="shared" ref="S92" si="100">IFERROR(AVERAGE(P92:R92),"")</f>
        <v>201.11827664357432</v>
      </c>
      <c r="T92" s="288">
        <f t="shared" ref="T92" si="101">IFERROR(AVERAGE(Q92:S92),"")</f>
        <v>201.10719732347795</v>
      </c>
      <c r="U92" s="288">
        <f t="shared" ref="U92" si="102">IFERROR(AVERAGE(R92:T92),"")</f>
        <v>201.08879892121081</v>
      </c>
      <c r="V92" s="288">
        <f t="shared" ref="V92" si="103">IFERROR(AVERAGE(S92:U92),"")</f>
        <v>201.10475762942102</v>
      </c>
      <c r="W92" s="288">
        <f t="shared" ref="W92" si="104">IFERROR(AVERAGE(T92:V92),"")</f>
        <v>201.10025129136991</v>
      </c>
      <c r="X92" s="288">
        <f t="shared" ref="X92" si="105">IFERROR(AVERAGE(U92:W92),"")</f>
        <v>201.09793594733389</v>
      </c>
      <c r="Y92" s="288">
        <f t="shared" ref="Y92" si="106">IFERROR(AVERAGE(V92:X92),"")</f>
        <v>201.10098162270825</v>
      </c>
      <c r="Z92" s="288">
        <f t="shared" ref="Z92" si="107">IFERROR(AVERAGE(W92:Y92),"")</f>
        <v>201.09972295380399</v>
      </c>
      <c r="AA92" s="288">
        <f t="shared" ref="AA92" si="108">IFERROR(AVERAGE(X92:Z92),"")</f>
        <v>201.09954684128203</v>
      </c>
      <c r="AB92" s="288">
        <f t="shared" ref="AB92" si="109">IFERROR(AVERAGE(Y92:AA92),"")</f>
        <v>201.1000838059314</v>
      </c>
      <c r="AD92" s="873"/>
      <c r="AE92" s="873"/>
      <c r="AF92" s="873"/>
      <c r="AG92" s="873"/>
      <c r="AH92" s="873"/>
      <c r="AI92" s="873"/>
      <c r="AJ92" s="873"/>
      <c r="AK92" s="873"/>
      <c r="AL92" s="873"/>
      <c r="AM92" s="873"/>
      <c r="AN92" s="873"/>
      <c r="AO92" s="873"/>
      <c r="AP92" s="873"/>
      <c r="AQ92" s="873"/>
    </row>
    <row r="93" spans="1:43" ht="4.4000000000000004" customHeight="1" x14ac:dyDescent="0.35">
      <c r="G93" s="157"/>
      <c r="AC93" s="229"/>
      <c r="AD93" s="229"/>
      <c r="AE93" s="229"/>
      <c r="AF93" s="229"/>
      <c r="AG93" s="229"/>
      <c r="AH93" s="229"/>
      <c r="AI93" s="229"/>
      <c r="AJ93" s="229"/>
      <c r="AK93" s="229"/>
      <c r="AL93" s="229"/>
      <c r="AM93" s="229"/>
      <c r="AN93" s="229"/>
      <c r="AO93" s="229"/>
      <c r="AP93" s="229"/>
      <c r="AQ93" s="229"/>
    </row>
    <row r="94" spans="1:43" ht="15.5" x14ac:dyDescent="0.35">
      <c r="B94" s="127" t="s">
        <v>511</v>
      </c>
      <c r="E94" s="934">
        <f>+_xlfn.XLOOKUP($B94,Inputs!$B:$B,Inputs!O:O)</f>
        <v>3.907</v>
      </c>
      <c r="F94" s="934">
        <f>+_xlfn.XLOOKUP($B94,Inputs!$B:$B,Inputs!P:P)</f>
        <v>2.0089999999999999</v>
      </c>
      <c r="G94" s="935">
        <f>+_xlfn.XLOOKUP($B94,Inputs!$B:$B,Inputs!Q:Q)</f>
        <v>3.9540000000000002</v>
      </c>
      <c r="H94" s="167">
        <f t="shared" ref="H94:AB94" si="110">IFERROR(AVERAGE(E94:G94)*(1+H29),"")</f>
        <v>5.2640000000000011</v>
      </c>
      <c r="I94" s="167">
        <f t="shared" si="110"/>
        <v>5.9877333333333338</v>
      </c>
      <c r="J94" s="167">
        <f t="shared" si="110"/>
        <v>8.1097244444444456</v>
      </c>
      <c r="K94" s="167">
        <f t="shared" si="110"/>
        <v>10.326110814814816</v>
      </c>
      <c r="L94" s="167">
        <f t="shared" si="110"/>
        <v>13.025903249382717</v>
      </c>
      <c r="M94" s="167">
        <f t="shared" si="110"/>
        <v>15.730869254320989</v>
      </c>
      <c r="N94" s="167">
        <f t="shared" si="110"/>
        <v>19.541441659259263</v>
      </c>
      <c r="O94" s="167">
        <f t="shared" si="110"/>
        <v>24.149107081481485</v>
      </c>
      <c r="P94" s="167">
        <f t="shared" si="110"/>
        <v>27.729995064362146</v>
      </c>
      <c r="Q94" s="167">
        <f t="shared" si="110"/>
        <v>33.329587109048013</v>
      </c>
      <c r="R94" s="167">
        <f t="shared" si="110"/>
        <v>39.764054985616099</v>
      </c>
      <c r="S94" s="167">
        <f t="shared" si="110"/>
        <v>47.051030674212249</v>
      </c>
      <c r="T94" s="167">
        <f t="shared" si="110"/>
        <v>52.062691533179759</v>
      </c>
      <c r="U94" s="167">
        <f t="shared" si="110"/>
        <v>60.180370116970188</v>
      </c>
      <c r="V94" s="167">
        <f t="shared" si="110"/>
        <v>69.027440007223618</v>
      </c>
      <c r="W94" s="167">
        <f t="shared" si="110"/>
        <v>78.550550718195211</v>
      </c>
      <c r="X94" s="167">
        <f t="shared" si="110"/>
        <v>90.028623031701912</v>
      </c>
      <c r="Y94" s="167">
        <f t="shared" si="110"/>
        <v>102.96286596141898</v>
      </c>
      <c r="Z94" s="167">
        <f t="shared" si="110"/>
        <v>113.1425165463817</v>
      </c>
      <c r="AA94" s="167">
        <f t="shared" si="110"/>
        <v>127.55583564145942</v>
      </c>
      <c r="AB94" s="167">
        <f t="shared" si="110"/>
        <v>137.46448725970401</v>
      </c>
      <c r="AC94" s="258" t="s">
        <v>512</v>
      </c>
      <c r="AD94" s="199"/>
      <c r="AE94" s="199"/>
      <c r="AF94" s="199"/>
      <c r="AG94" s="199"/>
      <c r="AH94" s="199"/>
      <c r="AI94" s="199"/>
      <c r="AJ94" s="199"/>
      <c r="AK94" s="199"/>
      <c r="AL94" s="199"/>
      <c r="AM94" s="199"/>
      <c r="AN94" s="199"/>
      <c r="AO94" s="199"/>
      <c r="AP94" s="199"/>
      <c r="AQ94" s="199"/>
    </row>
    <row r="95" spans="1:43" s="253" customFormat="1" ht="14.5" x14ac:dyDescent="0.35">
      <c r="B95" s="253" t="s">
        <v>478</v>
      </c>
      <c r="E95" s="283">
        <f>IFERROR(E94/E$28,"")</f>
        <v>0.54468144430503274</v>
      </c>
      <c r="F95" s="283">
        <f>IFERROR(F94/F$28,"")</f>
        <v>0.22939027175154145</v>
      </c>
      <c r="G95" s="284">
        <f>IFERROR(G94/G$28,"")</f>
        <v>0.44794380876855105</v>
      </c>
      <c r="H95" s="283">
        <f>IFERROR(AVERAGE(E95:G95),"")</f>
        <v>0.40733850827504176</v>
      </c>
      <c r="I95" s="283">
        <f t="shared" ref="I95:Q95" si="111">IFERROR(AVERAGE(F95:H95),"")</f>
        <v>0.36155752959837811</v>
      </c>
      <c r="J95" s="283">
        <f t="shared" si="111"/>
        <v>0.40561328221399034</v>
      </c>
      <c r="K95" s="283">
        <f t="shared" si="111"/>
        <v>0.3915031066958034</v>
      </c>
      <c r="L95" s="283">
        <f t="shared" si="111"/>
        <v>0.38622463950272395</v>
      </c>
      <c r="M95" s="283">
        <f t="shared" si="111"/>
        <v>0.39444700947083922</v>
      </c>
      <c r="N95" s="283">
        <f t="shared" si="111"/>
        <v>0.39072491855645558</v>
      </c>
      <c r="O95" s="283">
        <f t="shared" si="111"/>
        <v>0.39046552251000627</v>
      </c>
      <c r="P95" s="283">
        <f t="shared" si="111"/>
        <v>0.39187915017910036</v>
      </c>
      <c r="Q95" s="283">
        <f t="shared" si="111"/>
        <v>0.39102319708185407</v>
      </c>
      <c r="R95" s="283">
        <f t="shared" ref="R95" si="112">IFERROR(AVERAGE(O95:Q95),"")</f>
        <v>0.39112262325698688</v>
      </c>
      <c r="S95" s="283">
        <f t="shared" ref="S95" si="113">IFERROR(AVERAGE(P95:R95),"")</f>
        <v>0.39134165683931377</v>
      </c>
      <c r="T95" s="283">
        <f t="shared" ref="T95" si="114">IFERROR(AVERAGE(Q95:S95),"")</f>
        <v>0.39116249239271822</v>
      </c>
      <c r="U95" s="283">
        <f t="shared" ref="U95" si="115">IFERROR(AVERAGE(R95:T95),"")</f>
        <v>0.39120892416300629</v>
      </c>
      <c r="V95" s="283">
        <f t="shared" ref="V95" si="116">IFERROR(AVERAGE(S95:U95),"")</f>
        <v>0.39123769113167944</v>
      </c>
      <c r="W95" s="283">
        <f t="shared" ref="W95" si="117">IFERROR(AVERAGE(T95:V95),"")</f>
        <v>0.39120303589580135</v>
      </c>
      <c r="X95" s="283">
        <f t="shared" ref="X95" si="118">IFERROR(AVERAGE(U95:W95),"")</f>
        <v>0.39121655039682901</v>
      </c>
      <c r="Y95" s="283">
        <f t="shared" ref="Y95" si="119">IFERROR(AVERAGE(V95:X95),"")</f>
        <v>0.39121909247476988</v>
      </c>
      <c r="Z95" s="283">
        <f t="shared" ref="Z95" si="120">IFERROR(AVERAGE(W95:Y95),"")</f>
        <v>0.39121289292246675</v>
      </c>
      <c r="AA95" s="283">
        <f t="shared" ref="AA95" si="121">IFERROR(AVERAGE(X95:Z95),"")</f>
        <v>0.39121617859802188</v>
      </c>
      <c r="AB95" s="283">
        <f t="shared" ref="AB95" si="122">IFERROR(AVERAGE(Y95:AA95),"")</f>
        <v>0.39121605466508619</v>
      </c>
      <c r="AC95" s="874"/>
      <c r="AD95" s="874"/>
      <c r="AE95" s="874"/>
      <c r="AF95" s="874"/>
      <c r="AG95" s="874"/>
      <c r="AH95" s="874"/>
      <c r="AI95" s="874"/>
      <c r="AJ95" s="874"/>
      <c r="AK95" s="874"/>
      <c r="AL95" s="874"/>
      <c r="AM95" s="874"/>
      <c r="AN95" s="874"/>
      <c r="AO95" s="874"/>
      <c r="AP95" s="874"/>
      <c r="AQ95" s="874"/>
    </row>
    <row r="96" spans="1:43" ht="3.75" hidden="1" customHeight="1" x14ac:dyDescent="0.35">
      <c r="E96" s="168"/>
      <c r="F96" s="168"/>
      <c r="G96" s="169"/>
      <c r="H96" s="167"/>
      <c r="I96" s="167"/>
      <c r="J96" s="167"/>
      <c r="K96" s="167"/>
      <c r="L96" s="167"/>
      <c r="O96" s="167"/>
      <c r="P96" s="167"/>
      <c r="Q96" s="167"/>
      <c r="AC96" s="229"/>
      <c r="AD96" s="229"/>
      <c r="AE96" s="229"/>
      <c r="AF96" s="229"/>
      <c r="AG96" s="229"/>
      <c r="AH96" s="229"/>
      <c r="AI96" s="229"/>
      <c r="AJ96" s="229"/>
      <c r="AK96" s="229"/>
      <c r="AL96" s="229"/>
      <c r="AM96" s="229"/>
      <c r="AN96" s="229"/>
      <c r="AO96" s="229"/>
      <c r="AP96" s="229"/>
      <c r="AQ96" s="229"/>
    </row>
    <row r="97" spans="2:43" ht="15.5" hidden="1" x14ac:dyDescent="0.35">
      <c r="B97" s="127" t="s">
        <v>513</v>
      </c>
      <c r="E97" s="149">
        <f>+E98+E99-E101</f>
        <v>20.559999999999992</v>
      </c>
      <c r="F97" s="149">
        <f t="shared" ref="F97:G97" si="123">+F98+F99-F101</f>
        <v>18.996999999999996</v>
      </c>
      <c r="G97" s="246">
        <f t="shared" si="123"/>
        <v>18.655000000000005</v>
      </c>
      <c r="H97" s="167">
        <f>IFERROR(H98+H99-H101,"")</f>
        <v>25.680792195208273</v>
      </c>
      <c r="I97" s="167">
        <f t="shared" ref="I97:AB97" si="124">IFERROR(I98+I99-I101,"")</f>
        <v>32.28191903452138</v>
      </c>
      <c r="J97" s="167">
        <f t="shared" si="124"/>
        <v>44.639304824989125</v>
      </c>
      <c r="K97" s="167">
        <f t="shared" si="124"/>
        <v>66.455420426643471</v>
      </c>
      <c r="L97" s="167">
        <f t="shared" si="124"/>
        <v>97.648389800000444</v>
      </c>
      <c r="M97" s="167">
        <f t="shared" si="124"/>
        <v>141.1243214173011</v>
      </c>
      <c r="N97" s="167">
        <f t="shared" si="124"/>
        <v>207.02365757062304</v>
      </c>
      <c r="O97" s="167">
        <f t="shared" si="124"/>
        <v>303.54275837328782</v>
      </c>
      <c r="P97" s="167">
        <f t="shared" si="124"/>
        <v>420.88768502846989</v>
      </c>
      <c r="Q97" s="167">
        <f t="shared" si="124"/>
        <v>585.07863956971119</v>
      </c>
      <c r="R97" s="167">
        <f t="shared" si="124"/>
        <v>813.86810367656608</v>
      </c>
      <c r="S97" s="167">
        <f t="shared" si="124"/>
        <v>1135.2394368073158</v>
      </c>
      <c r="T97" s="167">
        <f t="shared" si="124"/>
        <v>1472.4774660548283</v>
      </c>
      <c r="U97" s="167">
        <f t="shared" si="124"/>
        <v>1910.5143411247986</v>
      </c>
      <c r="V97" s="167">
        <f t="shared" si="124"/>
        <v>2480.4526419201902</v>
      </c>
      <c r="W97" s="167">
        <f t="shared" si="124"/>
        <v>3221.1573286398716</v>
      </c>
      <c r="X97" s="167">
        <f t="shared" si="124"/>
        <v>4183.9836071760465</v>
      </c>
      <c r="Y97" s="167">
        <f t="shared" si="124"/>
        <v>5435.8567836763013</v>
      </c>
      <c r="Z97" s="167">
        <f t="shared" si="124"/>
        <v>6791.9478743360605</v>
      </c>
      <c r="AA97" s="167">
        <f t="shared" si="124"/>
        <v>8487.0566939968812</v>
      </c>
      <c r="AB97" s="167">
        <f t="shared" si="124"/>
        <v>10182.22525456447</v>
      </c>
      <c r="AC97" s="199"/>
      <c r="AD97" s="199"/>
      <c r="AE97" s="199"/>
      <c r="AF97" s="199"/>
      <c r="AG97" s="199"/>
      <c r="AH97" s="199"/>
      <c r="AI97" s="199"/>
      <c r="AJ97" s="199"/>
      <c r="AK97" s="199"/>
      <c r="AL97" s="199"/>
      <c r="AM97" s="199"/>
      <c r="AN97" s="199"/>
      <c r="AO97" s="199"/>
      <c r="AP97" s="199"/>
      <c r="AQ97" s="199"/>
    </row>
    <row r="98" spans="2:43" ht="15.5" hidden="1" x14ac:dyDescent="0.35">
      <c r="B98" s="252" t="s">
        <v>514</v>
      </c>
      <c r="E98" s="291">
        <f>+_xlfn.XLOOKUP("Gross PP&amp;E (Property, Plant and Equipment)",Inputs!$B:$B,Inputs!O:O)</f>
        <v>34.537999999999997</v>
      </c>
      <c r="F98" s="291">
        <f>+_xlfn.XLOOKUP("Gross PP&amp;E (Property, Plant and Equipment)",Inputs!$B:$B,Inputs!P:P)</f>
        <v>34.826999999999998</v>
      </c>
      <c r="G98" s="298">
        <f>+_xlfn.XLOOKUP("Gross PP&amp;E (Property, Plant and Equipment)",Inputs!$B:$B,Inputs!Q:Q)</f>
        <v>36.401000000000003</v>
      </c>
      <c r="H98" s="296">
        <f>+IFERROR(G98-H132,"")</f>
        <v>36.401000000000003</v>
      </c>
      <c r="I98" s="296">
        <f t="shared" ref="I98:Q98" si="125">+IFERROR(H98-I132,"")</f>
        <v>36.401000000000003</v>
      </c>
      <c r="J98" s="296">
        <f t="shared" si="125"/>
        <v>36.401000000000003</v>
      </c>
      <c r="K98" s="296">
        <f t="shared" si="125"/>
        <v>36.401000000000003</v>
      </c>
      <c r="L98" s="296">
        <f t="shared" si="125"/>
        <v>36.401000000000003</v>
      </c>
      <c r="M98" s="296">
        <f t="shared" si="125"/>
        <v>36.401000000000003</v>
      </c>
      <c r="N98" s="296">
        <f t="shared" si="125"/>
        <v>36.401000000000003</v>
      </c>
      <c r="O98" s="296">
        <f t="shared" si="125"/>
        <v>36.401000000000003</v>
      </c>
      <c r="P98" s="296">
        <f t="shared" si="125"/>
        <v>36.401000000000003</v>
      </c>
      <c r="Q98" s="296">
        <f t="shared" si="125"/>
        <v>36.401000000000003</v>
      </c>
      <c r="R98" s="296">
        <f t="shared" ref="R98" si="126">+IFERROR(Q98-R132,"")</f>
        <v>36.401000000000003</v>
      </c>
      <c r="S98" s="296">
        <f t="shared" ref="S98" si="127">+IFERROR(R98-S132,"")</f>
        <v>36.401000000000003</v>
      </c>
      <c r="T98" s="296">
        <f t="shared" ref="T98" si="128">+IFERROR(S98-T132,"")</f>
        <v>36.401000000000003</v>
      </c>
      <c r="U98" s="296">
        <f t="shared" ref="U98" si="129">+IFERROR(T98-U132,"")</f>
        <v>36.401000000000003</v>
      </c>
      <c r="V98" s="296">
        <f t="shared" ref="V98" si="130">+IFERROR(U98-V132,"")</f>
        <v>36.401000000000003</v>
      </c>
      <c r="W98" s="296">
        <f t="shared" ref="W98" si="131">+IFERROR(V98-W132,"")</f>
        <v>36.401000000000003</v>
      </c>
      <c r="X98" s="296">
        <f t="shared" ref="X98" si="132">+IFERROR(W98-X132,"")</f>
        <v>36.401000000000003</v>
      </c>
      <c r="Y98" s="296">
        <f t="shared" ref="Y98" si="133">+IFERROR(X98-Y132,"")</f>
        <v>36.401000000000003</v>
      </c>
      <c r="Z98" s="296">
        <f t="shared" ref="Z98" si="134">+IFERROR(Y98-Z132,"")</f>
        <v>36.401000000000003</v>
      </c>
      <c r="AA98" s="296">
        <f t="shared" ref="AA98" si="135">+IFERROR(Z98-AA132,"")</f>
        <v>36.401000000000003</v>
      </c>
      <c r="AB98" s="296">
        <f t="shared" ref="AB98" si="136">+IFERROR(AA98-AB132,"")</f>
        <v>36.401000000000003</v>
      </c>
      <c r="AC98" s="875"/>
      <c r="AD98" s="875"/>
      <c r="AE98" s="875"/>
      <c r="AF98" s="875"/>
      <c r="AG98" s="875"/>
      <c r="AH98" s="875"/>
      <c r="AI98" s="875"/>
      <c r="AJ98" s="875"/>
      <c r="AK98" s="875"/>
      <c r="AL98" s="875"/>
      <c r="AM98" s="875"/>
      <c r="AN98" s="875"/>
      <c r="AO98" s="875"/>
      <c r="AP98" s="875"/>
      <c r="AQ98" s="875"/>
    </row>
    <row r="99" spans="2:43" ht="15.5" hidden="1" x14ac:dyDescent="0.35">
      <c r="B99" s="289" t="s">
        <v>515</v>
      </c>
      <c r="C99" s="151"/>
      <c r="D99" s="151"/>
      <c r="E99" s="291">
        <f>+_xlfn.XLOOKUP("Right-of-Use Assets",Inputs!$B:$B,Inputs!O:O)</f>
        <v>9.1329999999999991</v>
      </c>
      <c r="F99" s="291">
        <f>+_xlfn.XLOOKUP("Right-of-Use Assets",Inputs!$B:$B,Inputs!P:P)</f>
        <v>8.2230000000000008</v>
      </c>
      <c r="G99" s="298">
        <f>+_xlfn.XLOOKUP("Right-of-Use Assets",Inputs!$B:$B,Inputs!Q:Q)</f>
        <v>7.2610000000000001</v>
      </c>
      <c r="H99" s="296">
        <f t="shared" ref="H99:AB99" si="137">IFERROR(H100*H$28,"")</f>
        <v>14.286792195208275</v>
      </c>
      <c r="I99" s="296">
        <f t="shared" si="137"/>
        <v>20.887919034521374</v>
      </c>
      <c r="J99" s="296">
        <f t="shared" si="137"/>
        <v>33.245304824989127</v>
      </c>
      <c r="K99" s="296">
        <f t="shared" si="137"/>
        <v>55.061420426643473</v>
      </c>
      <c r="L99" s="296">
        <f t="shared" si="137"/>
        <v>86.254389800000439</v>
      </c>
      <c r="M99" s="296">
        <f t="shared" si="137"/>
        <v>129.7303214173011</v>
      </c>
      <c r="N99" s="296">
        <f t="shared" si="137"/>
        <v>195.62965757062304</v>
      </c>
      <c r="O99" s="296">
        <f t="shared" si="137"/>
        <v>292.14875837328782</v>
      </c>
      <c r="P99" s="296">
        <f t="shared" si="137"/>
        <v>409.49368502846988</v>
      </c>
      <c r="Q99" s="296">
        <f t="shared" si="137"/>
        <v>573.68463956971118</v>
      </c>
      <c r="R99" s="296">
        <f t="shared" si="137"/>
        <v>802.47410367656607</v>
      </c>
      <c r="S99" s="296">
        <f t="shared" si="137"/>
        <v>1123.8454368073158</v>
      </c>
      <c r="T99" s="296">
        <f t="shared" si="137"/>
        <v>1461.0834660548282</v>
      </c>
      <c r="U99" s="296">
        <f t="shared" si="137"/>
        <v>1899.1203411247986</v>
      </c>
      <c r="V99" s="296">
        <f t="shared" si="137"/>
        <v>2469.0586419201904</v>
      </c>
      <c r="W99" s="296">
        <f t="shared" si="137"/>
        <v>3209.7633286398718</v>
      </c>
      <c r="X99" s="296">
        <f t="shared" si="137"/>
        <v>4172.5896071760462</v>
      </c>
      <c r="Y99" s="296">
        <f t="shared" si="137"/>
        <v>5424.4627836763011</v>
      </c>
      <c r="Z99" s="296">
        <f t="shared" si="137"/>
        <v>6780.5538743360603</v>
      </c>
      <c r="AA99" s="296">
        <f t="shared" si="137"/>
        <v>8475.662693996881</v>
      </c>
      <c r="AB99" s="296">
        <f t="shared" si="137"/>
        <v>10170.831254564469</v>
      </c>
      <c r="AC99" s="875"/>
      <c r="AD99" s="875"/>
      <c r="AE99" s="875"/>
      <c r="AF99" s="875"/>
      <c r="AG99" s="875"/>
      <c r="AH99" s="875"/>
      <c r="AI99" s="875"/>
      <c r="AJ99" s="875"/>
      <c r="AK99" s="875"/>
      <c r="AL99" s="875"/>
      <c r="AM99" s="875"/>
      <c r="AN99" s="875"/>
      <c r="AO99" s="875"/>
      <c r="AP99" s="875"/>
      <c r="AQ99" s="875"/>
    </row>
    <row r="100" spans="2:43" ht="15.5" hidden="1" x14ac:dyDescent="0.35">
      <c r="B100" s="299" t="s">
        <v>478</v>
      </c>
      <c r="E100" s="283">
        <f>IFERROR(E99/E$28,"")</f>
        <v>1.2732468980900598</v>
      </c>
      <c r="F100" s="283">
        <f>IFERROR(F99/F$28,"")</f>
        <v>0.9389129938342089</v>
      </c>
      <c r="G100" s="284">
        <f>IFERROR(G99/G$28,"")</f>
        <v>0.82258978135266791</v>
      </c>
      <c r="H100" s="282">
        <f>IFERROR(AVERAGE(E100:G100),"")</f>
        <v>1.0115832244256453</v>
      </c>
      <c r="I100" s="282">
        <f t="shared" ref="I100:Q100" si="138">IFERROR(AVERAGE(F100:H100),"")</f>
        <v>0.92436199987084067</v>
      </c>
      <c r="J100" s="282">
        <f t="shared" si="138"/>
        <v>0.91951166854971789</v>
      </c>
      <c r="K100" s="282">
        <f t="shared" si="138"/>
        <v>0.95181896428206791</v>
      </c>
      <c r="L100" s="282">
        <f t="shared" si="138"/>
        <v>0.9318975442342089</v>
      </c>
      <c r="M100" s="282">
        <f t="shared" si="138"/>
        <v>0.93440939235533149</v>
      </c>
      <c r="N100" s="282">
        <f t="shared" si="138"/>
        <v>0.93937530029053606</v>
      </c>
      <c r="O100" s="282">
        <f t="shared" si="138"/>
        <v>0.93522741229335882</v>
      </c>
      <c r="P100" s="282">
        <f t="shared" si="138"/>
        <v>0.93633736831307546</v>
      </c>
      <c r="Q100" s="282">
        <f t="shared" si="138"/>
        <v>0.93698002696565685</v>
      </c>
      <c r="R100" s="282">
        <f t="shared" ref="R100" si="139">IFERROR(AVERAGE(O100:Q100),"")</f>
        <v>0.93618160252403049</v>
      </c>
      <c r="S100" s="282">
        <f t="shared" ref="S100" si="140">IFERROR(AVERAGE(P100:R100),"")</f>
        <v>0.93649966593425427</v>
      </c>
      <c r="T100" s="282">
        <f t="shared" ref="T100" si="141">IFERROR(AVERAGE(Q100:S100),"")</f>
        <v>0.93655376514131383</v>
      </c>
      <c r="U100" s="282">
        <f t="shared" ref="U100" si="142">IFERROR(AVERAGE(R100:T100),"")</f>
        <v>0.9364116778665329</v>
      </c>
      <c r="V100" s="282">
        <f t="shared" ref="V100" si="143">IFERROR(AVERAGE(S100:U100),"")</f>
        <v>0.93648836964736704</v>
      </c>
      <c r="W100" s="282">
        <f t="shared" ref="W100" si="144">IFERROR(AVERAGE(T100:V100),"")</f>
        <v>0.93648460421840463</v>
      </c>
      <c r="X100" s="282">
        <f t="shared" ref="X100" si="145">IFERROR(AVERAGE(U100:W100),"")</f>
        <v>0.93646155057743485</v>
      </c>
      <c r="Y100" s="282">
        <f t="shared" ref="Y100" si="146">IFERROR(AVERAGE(V100:X100),"")</f>
        <v>0.93647817481440221</v>
      </c>
      <c r="Z100" s="282">
        <f t="shared" ref="Z100" si="147">IFERROR(AVERAGE(W100:Y100),"")</f>
        <v>0.93647477653674727</v>
      </c>
      <c r="AA100" s="282">
        <f t="shared" ref="AA100" si="148">IFERROR(AVERAGE(X100:Z100),"")</f>
        <v>0.93647150064286144</v>
      </c>
      <c r="AB100" s="282">
        <f t="shared" ref="AB100" si="149">IFERROR(AVERAGE(Y100:AA100),"")</f>
        <v>0.93647481733133697</v>
      </c>
      <c r="AC100" s="876"/>
      <c r="AD100" s="876"/>
      <c r="AE100" s="876"/>
      <c r="AF100" s="876"/>
      <c r="AG100" s="876"/>
      <c r="AH100" s="876"/>
      <c r="AI100" s="876"/>
      <c r="AJ100" s="876"/>
      <c r="AK100" s="876"/>
      <c r="AL100" s="876"/>
      <c r="AM100" s="876"/>
      <c r="AN100" s="876"/>
      <c r="AO100" s="876"/>
      <c r="AP100" s="876"/>
      <c r="AQ100" s="876"/>
    </row>
    <row r="101" spans="2:43" ht="15.5" hidden="1" x14ac:dyDescent="0.35">
      <c r="B101" s="252" t="s">
        <v>516</v>
      </c>
      <c r="E101" s="291">
        <f>+_xlfn.XLOOKUP($B101,Inputs!$B:$B,Inputs!O:O)</f>
        <v>23.111000000000001</v>
      </c>
      <c r="F101" s="291">
        <f>+_xlfn.XLOOKUP($B101,Inputs!$B:$B,Inputs!P:P)</f>
        <v>24.053000000000001</v>
      </c>
      <c r="G101" s="292">
        <f>+_xlfn.XLOOKUP($B101,Inputs!$B:$B,Inputs!Q:Q)</f>
        <v>25.007000000000001</v>
      </c>
      <c r="H101" s="293">
        <f>+IFERROR(G101+H51,"")</f>
        <v>25.007000000000001</v>
      </c>
      <c r="I101" s="293">
        <f t="shared" ref="I101:Q101" si="150">+IFERROR(H101+I51,"")</f>
        <v>25.007000000000001</v>
      </c>
      <c r="J101" s="293">
        <f t="shared" si="150"/>
        <v>25.007000000000001</v>
      </c>
      <c r="K101" s="293">
        <f t="shared" si="150"/>
        <v>25.007000000000001</v>
      </c>
      <c r="L101" s="293">
        <f t="shared" si="150"/>
        <v>25.007000000000001</v>
      </c>
      <c r="M101" s="293">
        <f t="shared" si="150"/>
        <v>25.007000000000001</v>
      </c>
      <c r="N101" s="293">
        <f t="shared" si="150"/>
        <v>25.007000000000001</v>
      </c>
      <c r="O101" s="293">
        <f t="shared" si="150"/>
        <v>25.007000000000001</v>
      </c>
      <c r="P101" s="293">
        <f t="shared" si="150"/>
        <v>25.007000000000001</v>
      </c>
      <c r="Q101" s="293">
        <f t="shared" si="150"/>
        <v>25.007000000000001</v>
      </c>
      <c r="R101" s="293">
        <f t="shared" ref="R101" si="151">+IFERROR(Q101+R51,"")</f>
        <v>25.007000000000001</v>
      </c>
      <c r="S101" s="293">
        <f t="shared" ref="S101" si="152">+IFERROR(R101+S51,"")</f>
        <v>25.007000000000001</v>
      </c>
      <c r="T101" s="293">
        <f t="shared" ref="T101" si="153">+IFERROR(S101+T51,"")</f>
        <v>25.007000000000001</v>
      </c>
      <c r="U101" s="293">
        <f t="shared" ref="U101" si="154">+IFERROR(T101+U51,"")</f>
        <v>25.007000000000001</v>
      </c>
      <c r="V101" s="293">
        <f t="shared" ref="V101" si="155">+IFERROR(U101+V51,"")</f>
        <v>25.007000000000001</v>
      </c>
      <c r="W101" s="293">
        <f t="shared" ref="W101" si="156">+IFERROR(V101+W51,"")</f>
        <v>25.007000000000001</v>
      </c>
      <c r="X101" s="293">
        <f t="shared" ref="X101" si="157">+IFERROR(W101+X51,"")</f>
        <v>25.007000000000001</v>
      </c>
      <c r="Y101" s="293">
        <f t="shared" ref="Y101" si="158">+IFERROR(X101+Y51,"")</f>
        <v>25.007000000000001</v>
      </c>
      <c r="Z101" s="293">
        <f t="shared" ref="Z101" si="159">+IFERROR(Y101+Z51,"")</f>
        <v>25.007000000000001</v>
      </c>
      <c r="AA101" s="293">
        <f t="shared" ref="AA101" si="160">+IFERROR(Z101+AA51,"")</f>
        <v>25.007000000000001</v>
      </c>
      <c r="AB101" s="293">
        <f t="shared" ref="AB101" si="161">+IFERROR(AA101+AB51,"")</f>
        <v>25.007000000000001</v>
      </c>
      <c r="AC101" s="877"/>
      <c r="AD101" s="877"/>
      <c r="AE101" s="877"/>
      <c r="AF101" s="877"/>
      <c r="AG101" s="877"/>
      <c r="AH101" s="877"/>
      <c r="AI101" s="877"/>
      <c r="AJ101" s="877"/>
      <c r="AK101" s="877"/>
      <c r="AL101" s="877"/>
      <c r="AM101" s="877"/>
      <c r="AN101" s="877"/>
      <c r="AO101" s="877"/>
      <c r="AP101" s="877"/>
      <c r="AQ101" s="877"/>
    </row>
    <row r="102" spans="2:43" ht="5.25" hidden="1" customHeight="1" x14ac:dyDescent="0.35">
      <c r="E102" s="165"/>
      <c r="F102" s="165"/>
      <c r="G102" s="166"/>
      <c r="H102" s="167"/>
      <c r="I102" s="167"/>
      <c r="J102" s="167"/>
      <c r="K102" s="167"/>
      <c r="L102" s="167"/>
      <c r="M102" s="167"/>
      <c r="N102" s="167"/>
      <c r="O102" s="167"/>
      <c r="P102" s="167"/>
      <c r="Q102" s="167"/>
      <c r="AC102" s="229"/>
      <c r="AD102" s="229"/>
      <c r="AE102" s="229"/>
      <c r="AF102" s="229"/>
      <c r="AG102" s="229"/>
      <c r="AH102" s="229"/>
      <c r="AI102" s="229"/>
      <c r="AJ102" s="229"/>
      <c r="AK102" s="229"/>
      <c r="AL102" s="229"/>
      <c r="AM102" s="229"/>
      <c r="AN102" s="229"/>
      <c r="AO102" s="229"/>
      <c r="AP102" s="229"/>
      <c r="AQ102" s="229"/>
    </row>
    <row r="103" spans="2:43" ht="15.5" hidden="1" x14ac:dyDescent="0.35">
      <c r="B103" s="127" t="s">
        <v>517</v>
      </c>
      <c r="E103" s="149">
        <f>+_xlfn.XLOOKUP($B103,Inputs!$B:$B,Inputs!O:O)</f>
        <v>0.24399999999999999</v>
      </c>
      <c r="F103" s="149">
        <f>+_xlfn.XLOOKUP($B103,Inputs!$B:$B,Inputs!P:P)</f>
        <v>0.17899999999999999</v>
      </c>
      <c r="G103" s="246">
        <f>+_xlfn.XLOOKUP($B103,Inputs!$B:$B,Inputs!Q:Q)</f>
        <v>0.49</v>
      </c>
      <c r="H103" s="167">
        <f t="shared" ref="H103:Q103" si="162">+G103+H104*H40</f>
        <v>0.49</v>
      </c>
      <c r="I103" s="167">
        <f t="shared" si="162"/>
        <v>0.49</v>
      </c>
      <c r="J103" s="167">
        <f t="shared" si="162"/>
        <v>0.49</v>
      </c>
      <c r="K103" s="167">
        <f t="shared" si="162"/>
        <v>0.49</v>
      </c>
      <c r="L103" s="167">
        <f t="shared" si="162"/>
        <v>0.49</v>
      </c>
      <c r="M103" s="167">
        <f t="shared" si="162"/>
        <v>0.49</v>
      </c>
      <c r="N103" s="167">
        <f t="shared" si="162"/>
        <v>0.49</v>
      </c>
      <c r="O103" s="167">
        <f t="shared" si="162"/>
        <v>0.49</v>
      </c>
      <c r="P103" s="167">
        <f t="shared" si="162"/>
        <v>0.49</v>
      </c>
      <c r="Q103" s="167">
        <f t="shared" si="162"/>
        <v>0.49</v>
      </c>
      <c r="R103" s="167">
        <f t="shared" ref="R103" si="163">+Q103+R104*R40</f>
        <v>0.49</v>
      </c>
      <c r="S103" s="167">
        <f t="shared" ref="S103" si="164">+R103+S104*S40</f>
        <v>0.49</v>
      </c>
      <c r="T103" s="167">
        <f t="shared" ref="T103" si="165">+S103+T104*T40</f>
        <v>0.49</v>
      </c>
      <c r="U103" s="167">
        <f t="shared" ref="U103" si="166">+T103+U104*U40</f>
        <v>0.49</v>
      </c>
      <c r="V103" s="167">
        <f t="shared" ref="V103" si="167">+U103+V104*V40</f>
        <v>0.49</v>
      </c>
      <c r="W103" s="167">
        <f t="shared" ref="W103" si="168">+V103+W104*W40</f>
        <v>0.49</v>
      </c>
      <c r="X103" s="167">
        <f t="shared" ref="X103" si="169">+W103+X104*X40</f>
        <v>0.49</v>
      </c>
      <c r="Y103" s="167">
        <f t="shared" ref="Y103" si="170">+X103+Y104*Y40</f>
        <v>0.49</v>
      </c>
      <c r="Z103" s="167">
        <f t="shared" ref="Z103" si="171">+Y103+Z104*Z40</f>
        <v>0.49</v>
      </c>
      <c r="AA103" s="167">
        <f t="shared" ref="AA103" si="172">+Z103+AA104*AA40</f>
        <v>0.49</v>
      </c>
      <c r="AB103" s="167">
        <f t="shared" ref="AB103" si="173">+AA103+AB104*AB40</f>
        <v>0.49</v>
      </c>
      <c r="AC103" s="199"/>
      <c r="AD103" s="199"/>
      <c r="AE103" s="199"/>
      <c r="AF103" s="199"/>
      <c r="AG103" s="199"/>
      <c r="AH103" s="199"/>
      <c r="AI103" s="199"/>
      <c r="AJ103" s="199"/>
      <c r="AK103" s="199"/>
      <c r="AL103" s="199"/>
      <c r="AM103" s="199"/>
      <c r="AN103" s="199"/>
      <c r="AO103" s="199"/>
      <c r="AP103" s="199"/>
      <c r="AQ103" s="199"/>
    </row>
    <row r="104" spans="2:43" s="85" customFormat="1" ht="14.5" hidden="1" x14ac:dyDescent="0.35">
      <c r="B104" s="85" t="s">
        <v>518</v>
      </c>
      <c r="E104" s="341">
        <f>IFERROR((E103-Inputs!N45)/E40,"")</f>
        <v>-8.7224697049936221E-4</v>
      </c>
      <c r="F104" s="341">
        <f>IFERROR((F103-E103)/F40,"")</f>
        <v>-1.7160356935424258E-3</v>
      </c>
      <c r="G104" s="342">
        <f>IFERROR((G103-F103)/G40,"")</f>
        <v>8.8101983002832861E-3</v>
      </c>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876"/>
      <c r="AD104" s="876"/>
      <c r="AE104" s="876"/>
      <c r="AF104" s="876"/>
      <c r="AG104" s="876"/>
      <c r="AH104" s="876"/>
      <c r="AI104" s="876"/>
      <c r="AJ104" s="876"/>
      <c r="AK104" s="876"/>
      <c r="AL104" s="876"/>
      <c r="AM104" s="876"/>
      <c r="AN104" s="876"/>
      <c r="AO104" s="876"/>
      <c r="AP104" s="876"/>
      <c r="AQ104" s="876"/>
    </row>
    <row r="105" spans="2:43" s="85" customFormat="1" ht="3.75" customHeight="1" x14ac:dyDescent="0.35">
      <c r="E105" s="343"/>
      <c r="F105" s="343"/>
      <c r="G105" s="344"/>
      <c r="H105" s="308"/>
      <c r="I105" s="308"/>
      <c r="J105" s="308"/>
      <c r="K105" s="308"/>
      <c r="L105" s="308"/>
      <c r="M105" s="308"/>
      <c r="N105" s="308"/>
      <c r="O105" s="308"/>
      <c r="P105" s="308"/>
      <c r="Q105" s="308"/>
      <c r="AC105" s="878"/>
      <c r="AD105" s="878"/>
      <c r="AE105" s="878"/>
      <c r="AF105" s="878"/>
      <c r="AG105" s="878"/>
      <c r="AH105" s="878"/>
      <c r="AI105" s="878"/>
      <c r="AJ105" s="878"/>
      <c r="AK105" s="878"/>
      <c r="AL105" s="878"/>
      <c r="AM105" s="878"/>
      <c r="AN105" s="878"/>
      <c r="AO105" s="878"/>
      <c r="AP105" s="878"/>
      <c r="AQ105" s="878"/>
    </row>
    <row r="106" spans="2:43" ht="13.5" hidden="1" customHeight="1" x14ac:dyDescent="0.35">
      <c r="B106" s="148" t="s">
        <v>519</v>
      </c>
      <c r="E106" s="265"/>
      <c r="F106" s="265"/>
      <c r="G106" s="264"/>
      <c r="H106" s="167"/>
      <c r="I106" s="167"/>
      <c r="J106" s="167"/>
      <c r="K106" s="167"/>
      <c r="L106" s="167"/>
      <c r="M106" s="167"/>
      <c r="N106" s="167"/>
      <c r="O106" s="167"/>
      <c r="P106" s="167"/>
      <c r="Q106" s="167"/>
      <c r="AC106" s="229"/>
      <c r="AD106" s="229"/>
      <c r="AE106" s="229"/>
      <c r="AF106" s="229"/>
      <c r="AG106" s="229"/>
      <c r="AH106" s="229"/>
      <c r="AI106" s="229"/>
      <c r="AJ106" s="229"/>
      <c r="AK106" s="229"/>
      <c r="AL106" s="229"/>
      <c r="AM106" s="229"/>
      <c r="AN106" s="229"/>
      <c r="AO106" s="229"/>
      <c r="AP106" s="229"/>
      <c r="AQ106" s="229"/>
    </row>
    <row r="107" spans="2:43" ht="5.25" hidden="1" customHeight="1" x14ac:dyDescent="0.35">
      <c r="E107" s="265"/>
      <c r="F107" s="265"/>
      <c r="G107" s="264"/>
      <c r="H107" s="167"/>
      <c r="I107" s="167"/>
      <c r="J107" s="167"/>
      <c r="K107" s="167"/>
      <c r="L107" s="167"/>
      <c r="M107" s="167"/>
      <c r="N107" s="167"/>
      <c r="O107" s="167"/>
      <c r="P107" s="167"/>
      <c r="Q107" s="167"/>
      <c r="AC107" s="229"/>
      <c r="AD107" s="229"/>
      <c r="AE107" s="229"/>
      <c r="AF107" s="229"/>
      <c r="AG107" s="229"/>
      <c r="AH107" s="229"/>
      <c r="AI107" s="229"/>
      <c r="AJ107" s="229"/>
      <c r="AK107" s="229"/>
      <c r="AL107" s="229"/>
      <c r="AM107" s="229"/>
      <c r="AN107" s="229"/>
      <c r="AO107" s="229"/>
      <c r="AP107" s="229"/>
      <c r="AQ107" s="229"/>
    </row>
    <row r="108" spans="2:43" ht="15.5" x14ac:dyDescent="0.35">
      <c r="B108" s="127" t="s">
        <v>293</v>
      </c>
      <c r="E108" s="934">
        <f>+_xlfn.XLOOKUP($B108,Inputs!$B:$B,Inputs!O:O)</f>
        <v>3.7559999999999998</v>
      </c>
      <c r="F108" s="934">
        <f>+_xlfn.XLOOKUP($B108,Inputs!$B:$B,Inputs!P:P)</f>
        <v>1.4650000000000001</v>
      </c>
      <c r="G108" s="935">
        <f>+_xlfn.XLOOKUP($B108,Inputs!$B:$B,Inputs!Q:Q)</f>
        <v>0.81499999999999995</v>
      </c>
      <c r="H108" s="167">
        <f t="shared" ref="H108:AB108" si="174">+IFERROR(H109*H31/365,"")</f>
        <v>3.5582288861867331</v>
      </c>
      <c r="I108" s="167">
        <f t="shared" si="174"/>
        <v>3.7193050897106232</v>
      </c>
      <c r="J108" s="167">
        <f t="shared" si="174"/>
        <v>6.2269853106605471</v>
      </c>
      <c r="K108" s="167">
        <f t="shared" si="174"/>
        <v>11.353034348178978</v>
      </c>
      <c r="L108" s="167">
        <f t="shared" si="174"/>
        <v>16.446736999944029</v>
      </c>
      <c r="M108" s="167">
        <f t="shared" si="174"/>
        <v>25.276337176160698</v>
      </c>
      <c r="N108" s="167">
        <f t="shared" si="174"/>
        <v>38.596862555853143</v>
      </c>
      <c r="O108" s="167">
        <f t="shared" si="174"/>
        <v>56.758263284984118</v>
      </c>
      <c r="P108" s="167">
        <f t="shared" si="174"/>
        <v>80.045147357058511</v>
      </c>
      <c r="Q108" s="167">
        <f t="shared" si="174"/>
        <v>112.26139275088633</v>
      </c>
      <c r="R108" s="167">
        <f t="shared" si="174"/>
        <v>156.59970437502392</v>
      </c>
      <c r="S108" s="167">
        <f t="shared" si="174"/>
        <v>219.63860008817969</v>
      </c>
      <c r="T108" s="167">
        <f t="shared" si="174"/>
        <v>285.5278902688118</v>
      </c>
      <c r="U108" s="167">
        <f t="shared" si="174"/>
        <v>370.96346401659514</v>
      </c>
      <c r="V108" s="167">
        <f t="shared" si="174"/>
        <v>482.44688072319889</v>
      </c>
      <c r="W108" s="167">
        <f t="shared" si="174"/>
        <v>627.13799134959459</v>
      </c>
      <c r="X108" s="167">
        <f t="shared" si="174"/>
        <v>815.20711587371272</v>
      </c>
      <c r="Y108" s="167">
        <f t="shared" si="174"/>
        <v>1059.8560843218363</v>
      </c>
      <c r="Z108" s="167">
        <f t="shared" si="174"/>
        <v>1324.786891807699</v>
      </c>
      <c r="AA108" s="167">
        <f t="shared" si="174"/>
        <v>1655.9660668769909</v>
      </c>
      <c r="AB108" s="167">
        <f t="shared" si="174"/>
        <v>1987.1899253557938</v>
      </c>
      <c r="AC108" s="258" t="s">
        <v>520</v>
      </c>
      <c r="AD108" s="199"/>
      <c r="AE108" s="199"/>
      <c r="AF108" s="199"/>
      <c r="AG108" s="199"/>
      <c r="AH108" s="199"/>
      <c r="AI108" s="199"/>
      <c r="AJ108" s="199"/>
      <c r="AK108" s="199"/>
      <c r="AL108" s="199"/>
      <c r="AM108" s="199"/>
      <c r="AN108" s="199"/>
      <c r="AO108" s="199"/>
      <c r="AP108" s="199"/>
      <c r="AQ108" s="199"/>
    </row>
    <row r="109" spans="2:43" ht="15.5" x14ac:dyDescent="0.35">
      <c r="B109" s="151" t="s">
        <v>521</v>
      </c>
      <c r="E109" s="286">
        <f>IFERROR(E108/E$31*365,"")</f>
        <v>469.01813205610671</v>
      </c>
      <c r="F109" s="286">
        <f>IFERROR(F108/F$31*365,"")</f>
        <v>129.28554158607349</v>
      </c>
      <c r="G109" s="287">
        <f>IFERROR(G108/G$31*366,"")</f>
        <v>91.387867647058826</v>
      </c>
      <c r="H109" s="285">
        <f>IFERROR(AVERAGE(E109:G109),"")</f>
        <v>229.89718042974633</v>
      </c>
      <c r="I109" s="285">
        <f t="shared" ref="I109:Q109" si="175">IFERROR(AVERAGE(F109:H109),"")</f>
        <v>150.1901965542929</v>
      </c>
      <c r="J109" s="285">
        <f t="shared" si="175"/>
        <v>157.15841487703267</v>
      </c>
      <c r="K109" s="285">
        <f t="shared" si="175"/>
        <v>179.0819306203573</v>
      </c>
      <c r="L109" s="285">
        <f t="shared" si="175"/>
        <v>162.14351401722763</v>
      </c>
      <c r="M109" s="285">
        <f t="shared" si="175"/>
        <v>166.12795317153919</v>
      </c>
      <c r="N109" s="285">
        <f t="shared" si="175"/>
        <v>169.11779926970803</v>
      </c>
      <c r="O109" s="285">
        <f t="shared" si="175"/>
        <v>165.79642215282493</v>
      </c>
      <c r="P109" s="285">
        <f t="shared" si="175"/>
        <v>167.01405819802403</v>
      </c>
      <c r="Q109" s="285">
        <f t="shared" si="175"/>
        <v>167.30942654018565</v>
      </c>
      <c r="R109" s="285">
        <f t="shared" ref="R109" si="176">IFERROR(AVERAGE(O109:Q109),"")</f>
        <v>166.70663563034486</v>
      </c>
      <c r="S109" s="285">
        <f t="shared" ref="S109" si="177">IFERROR(AVERAGE(P109:R109),"")</f>
        <v>167.01004012285151</v>
      </c>
      <c r="T109" s="285">
        <f t="shared" ref="T109" si="178">IFERROR(AVERAGE(Q109:S109),"")</f>
        <v>167.00870076446066</v>
      </c>
      <c r="U109" s="285">
        <f t="shared" ref="U109" si="179">IFERROR(AVERAGE(R109:T109),"")</f>
        <v>166.90845883921898</v>
      </c>
      <c r="V109" s="285">
        <f t="shared" ref="V109" si="180">IFERROR(AVERAGE(S109:U109),"")</f>
        <v>166.97573324217706</v>
      </c>
      <c r="W109" s="285">
        <f t="shared" ref="W109" si="181">IFERROR(AVERAGE(T109:V109),"")</f>
        <v>166.96429761528557</v>
      </c>
      <c r="X109" s="285">
        <f t="shared" ref="X109" si="182">IFERROR(AVERAGE(U109:W109),"")</f>
        <v>166.94949656556051</v>
      </c>
      <c r="Y109" s="285">
        <f t="shared" ref="Y109" si="183">IFERROR(AVERAGE(V109:X109),"")</f>
        <v>166.96317580767436</v>
      </c>
      <c r="Z109" s="285">
        <f t="shared" ref="Z109" si="184">IFERROR(AVERAGE(W109:Y109),"")</f>
        <v>166.95898999617347</v>
      </c>
      <c r="AA109" s="285">
        <f t="shared" ref="AA109" si="185">IFERROR(AVERAGE(X109:Z109),"")</f>
        <v>166.95722078980279</v>
      </c>
      <c r="AB109" s="285">
        <f t="shared" ref="AB109" si="186">IFERROR(AVERAGE(Y109:AA109),"")</f>
        <v>166.95979553121688</v>
      </c>
      <c r="AC109" s="879"/>
      <c r="AD109" s="879"/>
      <c r="AE109" s="879"/>
      <c r="AF109" s="879"/>
      <c r="AG109" s="879"/>
      <c r="AH109" s="879"/>
      <c r="AI109" s="879"/>
      <c r="AJ109" s="879"/>
      <c r="AK109" s="879"/>
      <c r="AL109" s="879"/>
      <c r="AM109" s="879"/>
      <c r="AN109" s="879"/>
      <c r="AO109" s="879"/>
      <c r="AP109" s="879"/>
      <c r="AQ109" s="879"/>
    </row>
    <row r="110" spans="2:43" ht="3.75" customHeight="1" x14ac:dyDescent="0.35">
      <c r="E110" s="168"/>
      <c r="F110" s="168"/>
      <c r="G110" s="169"/>
      <c r="H110" s="167"/>
      <c r="I110" s="167"/>
      <c r="J110" s="167"/>
      <c r="K110" s="167"/>
      <c r="L110" s="167"/>
      <c r="O110" s="167"/>
      <c r="P110" s="167"/>
      <c r="Q110" s="167"/>
      <c r="AC110" s="229"/>
      <c r="AD110" s="229"/>
      <c r="AE110" s="229"/>
      <c r="AF110" s="229"/>
      <c r="AG110" s="229"/>
      <c r="AH110" s="229"/>
      <c r="AI110" s="229"/>
      <c r="AJ110" s="229"/>
      <c r="AK110" s="229"/>
      <c r="AL110" s="229"/>
      <c r="AM110" s="229"/>
      <c r="AN110" s="229"/>
      <c r="AO110" s="229"/>
      <c r="AP110" s="229"/>
      <c r="AQ110" s="229"/>
    </row>
    <row r="111" spans="2:43" ht="15.5" x14ac:dyDescent="0.35">
      <c r="B111" s="127" t="s">
        <v>522</v>
      </c>
      <c r="E111" s="932">
        <f>+_xlfn.XLOOKUP($B111,Inputs!$B:$B,Inputs!O:O)</f>
        <v>12.284000000000001</v>
      </c>
      <c r="F111" s="932">
        <f>+_xlfn.XLOOKUP($B111,Inputs!$B:$B,Inputs!P:P)</f>
        <v>9.7850000000000001</v>
      </c>
      <c r="G111" s="933">
        <f>+_xlfn.XLOOKUP($B111,Inputs!$B:$B,Inputs!Q:Q)</f>
        <v>29.33</v>
      </c>
      <c r="H111" s="167">
        <f t="shared" ref="H111:AB111" si="187">IFERROR(AVERAGE(E111:G111)*(1+H29),"")</f>
        <v>27.412800000000001</v>
      </c>
      <c r="I111" s="167">
        <f t="shared" si="187"/>
        <v>35.481493333333333</v>
      </c>
      <c r="J111" s="167">
        <f t="shared" si="187"/>
        <v>49.18628977777778</v>
      </c>
      <c r="K111" s="167">
        <f t="shared" si="187"/>
        <v>59.776310992592599</v>
      </c>
      <c r="L111" s="167">
        <f t="shared" si="187"/>
        <v>77.036850188641992</v>
      </c>
      <c r="M111" s="167">
        <f t="shared" si="187"/>
        <v>92.999725479506196</v>
      </c>
      <c r="N111" s="167">
        <f t="shared" si="187"/>
        <v>114.90644333037039</v>
      </c>
      <c r="O111" s="167">
        <f t="shared" si="187"/>
        <v>142.4715094992593</v>
      </c>
      <c r="P111" s="167">
        <f t="shared" si="187"/>
        <v>163.50958321093006</v>
      </c>
      <c r="Q111" s="167">
        <f t="shared" si="187"/>
        <v>196.41418348559458</v>
      </c>
      <c r="R111" s="167">
        <f t="shared" si="187"/>
        <v>234.45112889136581</v>
      </c>
      <c r="S111" s="167">
        <f t="shared" si="187"/>
        <v>277.37495127434886</v>
      </c>
      <c r="T111" s="167">
        <f t="shared" si="187"/>
        <v>306.90411424890073</v>
      </c>
      <c r="U111" s="167">
        <f t="shared" si="187"/>
        <v>354.78308424633337</v>
      </c>
      <c r="V111" s="167">
        <f t="shared" si="187"/>
        <v>406.92693156681929</v>
      </c>
      <c r="W111" s="167">
        <f t="shared" si="187"/>
        <v>463.06612302688978</v>
      </c>
      <c r="X111" s="167">
        <f t="shared" si="187"/>
        <v>530.73632683068513</v>
      </c>
      <c r="Y111" s="167">
        <f t="shared" si="187"/>
        <v>606.98273195057084</v>
      </c>
      <c r="Z111" s="167">
        <f t="shared" si="187"/>
        <v>666.99382575339416</v>
      </c>
      <c r="AA111" s="167">
        <f t="shared" si="187"/>
        <v>751.96370188943763</v>
      </c>
      <c r="AB111" s="167">
        <f t="shared" si="187"/>
        <v>810.37610383736103</v>
      </c>
      <c r="AC111" s="258" t="s">
        <v>512</v>
      </c>
      <c r="AD111" s="199"/>
      <c r="AE111" s="199"/>
      <c r="AF111" s="199"/>
      <c r="AG111" s="199"/>
      <c r="AH111" s="199"/>
      <c r="AI111" s="199"/>
      <c r="AJ111" s="199"/>
      <c r="AK111" s="199"/>
      <c r="AL111" s="199"/>
      <c r="AM111" s="199"/>
      <c r="AN111" s="199"/>
      <c r="AO111" s="199"/>
      <c r="AP111" s="199"/>
      <c r="AQ111" s="199"/>
    </row>
    <row r="112" spans="2:43" s="304" customFormat="1" ht="15.5" x14ac:dyDescent="0.35">
      <c r="B112" s="253" t="s">
        <v>523</v>
      </c>
      <c r="E112" s="283">
        <f t="shared" ref="E112:AB112" si="188">IFERROR(E111/E$28,"")</f>
        <v>1.7125331102746411</v>
      </c>
      <c r="F112" s="283">
        <f t="shared" si="188"/>
        <v>1.1172642155743322</v>
      </c>
      <c r="G112" s="284">
        <f t="shared" si="188"/>
        <v>3.3227597145122916</v>
      </c>
      <c r="H112" s="283">
        <f t="shared" si="188"/>
        <v>1.9409765492239719</v>
      </c>
      <c r="I112" s="283">
        <f t="shared" si="188"/>
        <v>1.5701776745591176</v>
      </c>
      <c r="J112" s="283">
        <f t="shared" si="188"/>
        <v>1.3604136771018214</v>
      </c>
      <c r="K112" s="283">
        <f t="shared" si="188"/>
        <v>1.033322896080628</v>
      </c>
      <c r="L112" s="283">
        <f t="shared" si="188"/>
        <v>0.83231069946464065</v>
      </c>
      <c r="M112" s="283">
        <f t="shared" si="188"/>
        <v>0.66984970071097727</v>
      </c>
      <c r="N112" s="283">
        <f t="shared" si="188"/>
        <v>0.55175823568477755</v>
      </c>
      <c r="O112" s="283">
        <f t="shared" si="188"/>
        <v>0.45608018975138614</v>
      </c>
      <c r="P112" s="283">
        <f t="shared" si="188"/>
        <v>0.37387666387833518</v>
      </c>
      <c r="Q112" s="283">
        <f t="shared" si="188"/>
        <v>0.32079674832640653</v>
      </c>
      <c r="R112" s="283">
        <f t="shared" si="188"/>
        <v>0.27351516086748506</v>
      </c>
      <c r="S112" s="283">
        <f t="shared" si="188"/>
        <v>0.23113636510809099</v>
      </c>
      <c r="T112" s="283">
        <f t="shared" si="188"/>
        <v>0.19672538250897012</v>
      </c>
      <c r="U112" s="283">
        <f t="shared" si="188"/>
        <v>0.17493521395332201</v>
      </c>
      <c r="V112" s="283">
        <f t="shared" si="188"/>
        <v>0.15434317040451012</v>
      </c>
      <c r="W112" s="283">
        <f t="shared" si="188"/>
        <v>0.13510475712660963</v>
      </c>
      <c r="X112" s="283">
        <f t="shared" si="188"/>
        <v>0.11911407791383738</v>
      </c>
      <c r="Y112" s="283">
        <f t="shared" si="188"/>
        <v>0.10478937797701929</v>
      </c>
      <c r="Z112" s="283">
        <f t="shared" si="188"/>
        <v>9.2119745009025811E-2</v>
      </c>
      <c r="AA112" s="283">
        <f t="shared" si="188"/>
        <v>8.3084072804847059E-2</v>
      </c>
      <c r="AB112" s="283">
        <f t="shared" si="188"/>
        <v>7.4615023572453351E-2</v>
      </c>
      <c r="AC112" s="874"/>
      <c r="AD112" s="874"/>
      <c r="AE112" s="874"/>
      <c r="AF112" s="874"/>
      <c r="AG112" s="874"/>
      <c r="AH112" s="874"/>
      <c r="AI112" s="874"/>
      <c r="AJ112" s="874"/>
      <c r="AK112" s="874"/>
      <c r="AL112" s="874"/>
      <c r="AM112" s="874"/>
      <c r="AN112" s="874"/>
      <c r="AO112" s="874"/>
      <c r="AP112" s="874"/>
      <c r="AQ112" s="874"/>
    </row>
    <row r="113" spans="1:43" s="229" customFormat="1" ht="5.25" hidden="1" customHeight="1" x14ac:dyDescent="0.35">
      <c r="B113" s="247"/>
      <c r="E113" s="300"/>
      <c r="F113" s="300"/>
      <c r="G113" s="301"/>
      <c r="H113" s="302"/>
      <c r="I113" s="302"/>
      <c r="J113" s="302"/>
      <c r="K113" s="302"/>
      <c r="L113" s="302"/>
      <c r="M113" s="302"/>
      <c r="N113" s="302"/>
      <c r="O113" s="302"/>
      <c r="P113" s="302"/>
      <c r="Q113" s="302"/>
    </row>
    <row r="114" spans="1:43" ht="15.5" hidden="1" x14ac:dyDescent="0.35">
      <c r="B114" s="127" t="s">
        <v>524</v>
      </c>
      <c r="E114" s="268">
        <f>+_xlfn.XLOOKUP($B114,Inputs!$B:$B,Inputs!O:O)</f>
        <v>2.3119999999999998</v>
      </c>
      <c r="F114" s="268">
        <f>+_xlfn.XLOOKUP($B114,Inputs!$B:$B,Inputs!P:P)</f>
        <v>1.63</v>
      </c>
      <c r="G114" s="269">
        <f>+_xlfn.XLOOKUP($B114,Inputs!$B:$B,Inputs!Q:Q)</f>
        <v>69.875</v>
      </c>
      <c r="H114" s="167">
        <f t="shared" ref="H114:AB114" si="189">IFERROR(G114+H155-H157,"")</f>
        <v>147.32400000000001</v>
      </c>
      <c r="I114" s="167">
        <f t="shared" si="189"/>
        <v>166.96691699012422</v>
      </c>
      <c r="J114" s="167">
        <f t="shared" si="189"/>
        <v>277.60110382642887</v>
      </c>
      <c r="K114" s="167">
        <f t="shared" si="189"/>
        <v>348.69749856817702</v>
      </c>
      <c r="L114" s="167">
        <f t="shared" si="189"/>
        <v>504.59361910180104</v>
      </c>
      <c r="M114" s="167">
        <f t="shared" si="189"/>
        <v>629.14050043158863</v>
      </c>
      <c r="N114" s="167">
        <f t="shared" si="189"/>
        <v>843.16495059634258</v>
      </c>
      <c r="O114" s="167">
        <f t="shared" si="189"/>
        <v>980.24585267315774</v>
      </c>
      <c r="P114" s="167">
        <f t="shared" si="189"/>
        <v>1194.0982590001636</v>
      </c>
      <c r="Q114" s="167">
        <f t="shared" si="189"/>
        <v>1306.2716657440756</v>
      </c>
      <c r="R114" s="167">
        <f t="shared" si="189"/>
        <v>1482.8085667405674</v>
      </c>
      <c r="S114" s="167">
        <f t="shared" si="189"/>
        <v>1523.5728258575436</v>
      </c>
      <c r="T114" s="167">
        <f t="shared" si="189"/>
        <v>1585.9308143444234</v>
      </c>
      <c r="U114" s="167">
        <f t="shared" si="189"/>
        <v>1585.9308143444234</v>
      </c>
      <c r="V114" s="167">
        <f t="shared" si="189"/>
        <v>1585.9308143444234</v>
      </c>
      <c r="W114" s="167">
        <f t="shared" si="189"/>
        <v>1585.9308143444234</v>
      </c>
      <c r="X114" s="167">
        <f t="shared" si="189"/>
        <v>1585.9308143444234</v>
      </c>
      <c r="Y114" s="167">
        <f t="shared" si="189"/>
        <v>1585.9308143444234</v>
      </c>
      <c r="Z114" s="167">
        <f t="shared" si="189"/>
        <v>1585.9308143444234</v>
      </c>
      <c r="AA114" s="167">
        <f t="shared" si="189"/>
        <v>1585.9308143444234</v>
      </c>
      <c r="AB114" s="167">
        <f t="shared" si="189"/>
        <v>1585.9308143444234</v>
      </c>
      <c r="AC114" s="199"/>
      <c r="AD114" s="199"/>
      <c r="AE114" s="199"/>
      <c r="AF114" s="199"/>
      <c r="AG114" s="199"/>
      <c r="AH114" s="199"/>
      <c r="AI114" s="199"/>
      <c r="AJ114" s="199"/>
      <c r="AK114" s="199"/>
      <c r="AL114" s="199"/>
      <c r="AM114" s="199"/>
      <c r="AN114" s="199"/>
      <c r="AO114" s="199"/>
      <c r="AP114" s="199"/>
      <c r="AQ114" s="199"/>
    </row>
    <row r="115" spans="1:43" ht="3.75" hidden="1" customHeight="1" x14ac:dyDescent="0.35">
      <c r="B115" s="151"/>
      <c r="E115" s="170"/>
      <c r="F115" s="170"/>
      <c r="G115" s="303"/>
      <c r="H115" s="270"/>
      <c r="I115" s="270"/>
      <c r="J115" s="270"/>
      <c r="K115" s="270"/>
      <c r="L115" s="270"/>
      <c r="M115" s="270"/>
      <c r="N115" s="270"/>
      <c r="O115" s="270"/>
      <c r="P115" s="270"/>
      <c r="Q115" s="270"/>
      <c r="AC115" s="229"/>
      <c r="AD115" s="229"/>
      <c r="AE115" s="229"/>
      <c r="AF115" s="229"/>
      <c r="AG115" s="229"/>
      <c r="AH115" s="229"/>
      <c r="AI115" s="229"/>
      <c r="AJ115" s="229"/>
      <c r="AK115" s="229"/>
      <c r="AL115" s="229"/>
      <c r="AM115" s="229"/>
      <c r="AN115" s="229"/>
      <c r="AO115" s="229"/>
      <c r="AP115" s="229"/>
      <c r="AQ115" s="229"/>
    </row>
    <row r="116" spans="1:43" ht="15.5" hidden="1" x14ac:dyDescent="0.35">
      <c r="B116" s="127" t="s">
        <v>525</v>
      </c>
      <c r="E116" s="268">
        <f>+_xlfn.XLOOKUP($B116,Inputs!$B:$B,Inputs!O:O)</f>
        <v>7.3010000000000002</v>
      </c>
      <c r="F116" s="268">
        <f>+_xlfn.XLOOKUP($B116,Inputs!$B:$B,Inputs!P:P)</f>
        <v>7.0279999999999996</v>
      </c>
      <c r="G116" s="269">
        <f>+_xlfn.XLOOKUP($B116,Inputs!$B:$B,Inputs!Q:Q)</f>
        <v>0.63890000000000002</v>
      </c>
      <c r="H116" s="167">
        <f t="shared" ref="H116:AB116" si="190">+IFERROR(H117*H28,"")</f>
        <v>8.9102854944036309</v>
      </c>
      <c r="I116" s="167">
        <f t="shared" si="190"/>
        <v>11.341822813731417</v>
      </c>
      <c r="J116" s="167">
        <f t="shared" si="190"/>
        <v>14.524727255881189</v>
      </c>
      <c r="K116" s="167">
        <f t="shared" si="190"/>
        <v>29.590386465879867</v>
      </c>
      <c r="L116" s="167">
        <f t="shared" si="190"/>
        <v>43.661342121835837</v>
      </c>
      <c r="M116" s="167">
        <f t="shared" si="190"/>
        <v>64.094631121149746</v>
      </c>
      <c r="N116" s="167">
        <f t="shared" si="190"/>
        <v>100.30178591100761</v>
      </c>
      <c r="O116" s="167">
        <f t="shared" si="190"/>
        <v>147.34087618343142</v>
      </c>
      <c r="P116" s="167">
        <f t="shared" si="190"/>
        <v>206.26968836718052</v>
      </c>
      <c r="Q116" s="167">
        <f t="shared" si="190"/>
        <v>290.8176438706468</v>
      </c>
      <c r="R116" s="167">
        <f t="shared" si="190"/>
        <v>405.24555162197157</v>
      </c>
      <c r="S116" s="167">
        <f t="shared" si="190"/>
        <v>567.78345971225701</v>
      </c>
      <c r="T116" s="167">
        <f t="shared" si="190"/>
        <v>738.88958605344351</v>
      </c>
      <c r="U116" s="167">
        <f t="shared" si="190"/>
        <v>959.64049464025857</v>
      </c>
      <c r="V116" s="167">
        <f t="shared" si="190"/>
        <v>1247.8921014834946</v>
      </c>
      <c r="W116" s="167">
        <f t="shared" si="190"/>
        <v>1622.4641961433317</v>
      </c>
      <c r="X116" s="167">
        <f t="shared" si="190"/>
        <v>2108.8237577393616</v>
      </c>
      <c r="Y116" s="167">
        <f t="shared" si="190"/>
        <v>2741.6847745008795</v>
      </c>
      <c r="Z116" s="167">
        <f t="shared" si="190"/>
        <v>3427.1333962684503</v>
      </c>
      <c r="AA116" s="167">
        <f t="shared" si="190"/>
        <v>4283.7824878004221</v>
      </c>
      <c r="AB116" s="167">
        <f t="shared" si="190"/>
        <v>5140.6326773174433</v>
      </c>
      <c r="AC116" s="199"/>
      <c r="AD116" s="199"/>
      <c r="AE116" s="199"/>
      <c r="AF116" s="199"/>
      <c r="AG116" s="199"/>
      <c r="AH116" s="199"/>
      <c r="AI116" s="199"/>
      <c r="AJ116" s="199"/>
      <c r="AK116" s="199"/>
      <c r="AL116" s="199"/>
      <c r="AM116" s="199"/>
      <c r="AN116" s="199"/>
      <c r="AO116" s="199"/>
      <c r="AP116" s="199"/>
      <c r="AQ116" s="199"/>
    </row>
    <row r="117" spans="1:43" ht="15.5" hidden="1" x14ac:dyDescent="0.35">
      <c r="B117" s="151" t="s">
        <v>526</v>
      </c>
      <c r="E117" s="266">
        <f>IFERROR(E116/E$28,"")</f>
        <v>1.0178446953854734</v>
      </c>
      <c r="F117" s="266">
        <f>IFERROR(F116/F$28,"")</f>
        <v>0.80246631651061895</v>
      </c>
      <c r="G117" s="267">
        <f>IFERROR(G116/G$28,"")</f>
        <v>7.238019712246517E-2</v>
      </c>
      <c r="H117" s="144">
        <f>+IFERROR(AVERAGE(E117:G117),"")</f>
        <v>0.63089706967285253</v>
      </c>
      <c r="I117" s="144">
        <f t="shared" ref="I117:Q117" si="191">+IFERROR(AVERAGE(F117:H117),"")</f>
        <v>0.50191452776864554</v>
      </c>
      <c r="J117" s="144">
        <f t="shared" si="191"/>
        <v>0.40173059818798773</v>
      </c>
      <c r="K117" s="144">
        <f t="shared" si="191"/>
        <v>0.51151406520982856</v>
      </c>
      <c r="L117" s="144">
        <f t="shared" si="191"/>
        <v>0.47171973038882059</v>
      </c>
      <c r="M117" s="144">
        <f t="shared" si="191"/>
        <v>0.46165479792887898</v>
      </c>
      <c r="N117" s="144">
        <f t="shared" si="191"/>
        <v>0.48162953117584273</v>
      </c>
      <c r="O117" s="144">
        <f t="shared" si="191"/>
        <v>0.47166801983118073</v>
      </c>
      <c r="P117" s="144">
        <f t="shared" si="191"/>
        <v>0.47165078297863411</v>
      </c>
      <c r="Q117" s="144">
        <f t="shared" si="191"/>
        <v>0.47498277799521915</v>
      </c>
      <c r="R117" s="144">
        <f t="shared" ref="R117" si="192">+IFERROR(AVERAGE(O117:Q117),"")</f>
        <v>0.47276719360167796</v>
      </c>
      <c r="S117" s="144">
        <f t="shared" ref="S117" si="193">+IFERROR(AVERAGE(P117:R117),"")</f>
        <v>0.47313358485851037</v>
      </c>
      <c r="T117" s="144">
        <f t="shared" ref="T117" si="194">+IFERROR(AVERAGE(Q117:S117),"")</f>
        <v>0.47362785215180248</v>
      </c>
      <c r="U117" s="144">
        <f t="shared" ref="U117" si="195">+IFERROR(AVERAGE(R117:T117),"")</f>
        <v>0.47317621020399692</v>
      </c>
      <c r="V117" s="144">
        <f t="shared" ref="V117" si="196">+IFERROR(AVERAGE(S117:U117),"")</f>
        <v>0.47331254907143655</v>
      </c>
      <c r="W117" s="144">
        <f t="shared" ref="W117" si="197">+IFERROR(AVERAGE(T117:V117),"")</f>
        <v>0.47337220380907863</v>
      </c>
      <c r="X117" s="144">
        <f t="shared" ref="X117" si="198">+IFERROR(AVERAGE(U117:W117),"")</f>
        <v>0.47328698769483735</v>
      </c>
      <c r="Y117" s="144">
        <f t="shared" ref="Y117" si="199">+IFERROR(AVERAGE(V117:X117),"")</f>
        <v>0.47332391352511749</v>
      </c>
      <c r="Z117" s="144">
        <f t="shared" ref="Z117" si="200">+IFERROR(AVERAGE(W117:Y117),"")</f>
        <v>0.47332770167634447</v>
      </c>
      <c r="AA117" s="144">
        <f t="shared" ref="AA117" si="201">+IFERROR(AVERAGE(X117:Z117),"")</f>
        <v>0.47331286763209973</v>
      </c>
      <c r="AB117" s="144">
        <f t="shared" ref="AB117" si="202">+IFERROR(AVERAGE(Y117:AA117),"")</f>
        <v>0.47332149427785386</v>
      </c>
      <c r="AC117" s="302"/>
      <c r="AD117" s="302"/>
      <c r="AE117" s="302"/>
      <c r="AF117" s="302"/>
      <c r="AG117" s="302"/>
      <c r="AH117" s="302"/>
      <c r="AI117" s="302"/>
      <c r="AJ117" s="302"/>
      <c r="AK117" s="302"/>
      <c r="AL117" s="302"/>
      <c r="AM117" s="302"/>
      <c r="AN117" s="302"/>
      <c r="AO117" s="302"/>
      <c r="AP117" s="302"/>
      <c r="AQ117" s="302"/>
    </row>
    <row r="118" spans="1:43" ht="3.75" customHeight="1" x14ac:dyDescent="0.35">
      <c r="G118" s="157"/>
    </row>
    <row r="119" spans="1:43" ht="15.5" x14ac:dyDescent="0.35">
      <c r="A119" s="127" t="s">
        <v>431</v>
      </c>
      <c r="B119" s="49" t="s">
        <v>241</v>
      </c>
      <c r="C119" s="49"/>
      <c r="D119" s="49"/>
      <c r="E119" s="138">
        <f t="shared" ref="E119:Q119" si="203">E26</f>
        <v>2022</v>
      </c>
      <c r="F119" s="138">
        <f t="shared" si="203"/>
        <v>2023</v>
      </c>
      <c r="G119" s="162">
        <f t="shared" si="203"/>
        <v>2024</v>
      </c>
      <c r="H119" s="100">
        <f t="shared" si="203"/>
        <v>2025</v>
      </c>
      <c r="I119" s="100">
        <f t="shared" si="203"/>
        <v>2026</v>
      </c>
      <c r="J119" s="100">
        <f t="shared" si="203"/>
        <v>2027</v>
      </c>
      <c r="K119" s="100">
        <f t="shared" si="203"/>
        <v>2028</v>
      </c>
      <c r="L119" s="100">
        <f t="shared" si="203"/>
        <v>2029</v>
      </c>
      <c r="M119" s="100">
        <f t="shared" si="203"/>
        <v>2030</v>
      </c>
      <c r="N119" s="100">
        <f t="shared" si="203"/>
        <v>2031</v>
      </c>
      <c r="O119" s="100">
        <f t="shared" si="203"/>
        <v>2032</v>
      </c>
      <c r="P119" s="100">
        <f t="shared" si="203"/>
        <v>2033</v>
      </c>
      <c r="Q119" s="100">
        <f t="shared" si="203"/>
        <v>2034</v>
      </c>
      <c r="R119" s="348" t="s">
        <v>459</v>
      </c>
      <c r="S119" s="348" t="s">
        <v>460</v>
      </c>
      <c r="T119" s="348" t="s">
        <v>461</v>
      </c>
      <c r="U119" s="348" t="s">
        <v>462</v>
      </c>
      <c r="V119" s="348" t="s">
        <v>463</v>
      </c>
      <c r="W119" s="348" t="s">
        <v>464</v>
      </c>
      <c r="X119" s="348" t="s">
        <v>465</v>
      </c>
      <c r="Y119" s="348" t="s">
        <v>466</v>
      </c>
      <c r="Z119" s="348" t="s">
        <v>467</v>
      </c>
      <c r="AA119" s="348" t="s">
        <v>468</v>
      </c>
      <c r="AB119" s="348" t="s">
        <v>469</v>
      </c>
      <c r="AC119" s="861"/>
      <c r="AD119" s="861"/>
      <c r="AE119" s="861"/>
      <c r="AF119" s="861"/>
      <c r="AG119" s="861"/>
      <c r="AH119" s="861"/>
      <c r="AI119" s="861"/>
      <c r="AJ119" s="861"/>
      <c r="AK119" s="861"/>
      <c r="AL119" s="861"/>
      <c r="AM119" s="861"/>
      <c r="AN119" s="861"/>
      <c r="AO119" s="861"/>
      <c r="AP119" s="861"/>
      <c r="AQ119" s="861"/>
    </row>
    <row r="120" spans="1:43" ht="4.4000000000000004" customHeight="1" x14ac:dyDescent="0.35">
      <c r="B120" s="50"/>
      <c r="C120" s="50"/>
      <c r="D120" s="50"/>
      <c r="E120" s="171"/>
      <c r="F120" s="171"/>
      <c r="G120" s="172"/>
      <c r="H120" s="50"/>
      <c r="I120" s="50"/>
      <c r="J120" s="50"/>
      <c r="K120" s="50"/>
      <c r="L120" s="50"/>
      <c r="M120" s="50"/>
      <c r="N120" s="50"/>
      <c r="O120" s="50"/>
      <c r="P120" s="50"/>
      <c r="Q120" s="50"/>
      <c r="R120" s="50"/>
      <c r="S120" s="50"/>
      <c r="T120" s="50"/>
      <c r="U120" s="50"/>
      <c r="V120" s="50"/>
      <c r="W120" s="50"/>
      <c r="X120" s="50"/>
      <c r="Y120" s="50"/>
      <c r="Z120" s="50"/>
      <c r="AA120" s="50"/>
      <c r="AB120" s="50"/>
      <c r="AC120" s="229"/>
      <c r="AD120" s="229"/>
      <c r="AE120" s="229"/>
      <c r="AF120" s="229"/>
      <c r="AG120" s="229"/>
      <c r="AH120" s="229"/>
      <c r="AI120" s="229"/>
      <c r="AJ120" s="229"/>
      <c r="AK120" s="229"/>
      <c r="AL120" s="229"/>
      <c r="AM120" s="229"/>
      <c r="AN120" s="229"/>
      <c r="AO120" s="229"/>
      <c r="AP120" s="229"/>
      <c r="AQ120" s="229"/>
    </row>
    <row r="121" spans="1:43" ht="15.5" hidden="1" x14ac:dyDescent="0.35">
      <c r="B121" s="127" t="s">
        <v>488</v>
      </c>
      <c r="E121" s="165">
        <f>+E48</f>
        <v>2.3330000000000002</v>
      </c>
      <c r="F121" s="165">
        <f t="shared" ref="F121:AB121" si="204">+F48</f>
        <v>1.845</v>
      </c>
      <c r="G121" s="166">
        <f t="shared" si="204"/>
        <v>1.9319999999999999</v>
      </c>
      <c r="H121" s="167">
        <f>+H48</f>
        <v>0</v>
      </c>
      <c r="I121" s="167">
        <f t="shared" si="204"/>
        <v>0</v>
      </c>
      <c r="J121" s="167">
        <f t="shared" si="204"/>
        <v>0</v>
      </c>
      <c r="K121" s="167">
        <f t="shared" si="204"/>
        <v>0</v>
      </c>
      <c r="L121" s="167">
        <f t="shared" si="204"/>
        <v>0</v>
      </c>
      <c r="M121" s="167">
        <f t="shared" si="204"/>
        <v>0</v>
      </c>
      <c r="N121" s="167">
        <f t="shared" si="204"/>
        <v>0</v>
      </c>
      <c r="O121" s="167">
        <f t="shared" si="204"/>
        <v>0</v>
      </c>
      <c r="P121" s="167">
        <f t="shared" si="204"/>
        <v>0</v>
      </c>
      <c r="Q121" s="167">
        <f t="shared" si="204"/>
        <v>0</v>
      </c>
      <c r="R121" s="167">
        <f t="shared" si="204"/>
        <v>0</v>
      </c>
      <c r="S121" s="167">
        <f t="shared" si="204"/>
        <v>0</v>
      </c>
      <c r="T121" s="167">
        <f t="shared" si="204"/>
        <v>0</v>
      </c>
      <c r="U121" s="167">
        <f t="shared" si="204"/>
        <v>0</v>
      </c>
      <c r="V121" s="167">
        <f t="shared" si="204"/>
        <v>0</v>
      </c>
      <c r="W121" s="167">
        <f t="shared" si="204"/>
        <v>0</v>
      </c>
      <c r="X121" s="167">
        <f t="shared" si="204"/>
        <v>0</v>
      </c>
      <c r="Y121" s="167">
        <f t="shared" si="204"/>
        <v>0</v>
      </c>
      <c r="Z121" s="167">
        <f t="shared" si="204"/>
        <v>0</v>
      </c>
      <c r="AA121" s="167">
        <f t="shared" si="204"/>
        <v>0</v>
      </c>
      <c r="AB121" s="167">
        <f t="shared" si="204"/>
        <v>0</v>
      </c>
      <c r="AC121" s="199"/>
      <c r="AD121" s="199"/>
      <c r="AE121" s="199"/>
      <c r="AF121" s="199"/>
      <c r="AG121" s="199"/>
      <c r="AH121" s="199"/>
      <c r="AI121" s="199"/>
      <c r="AJ121" s="199"/>
      <c r="AK121" s="199"/>
      <c r="AL121" s="199"/>
      <c r="AM121" s="199"/>
      <c r="AN121" s="199"/>
      <c r="AO121" s="199"/>
      <c r="AP121" s="199"/>
      <c r="AQ121" s="199"/>
    </row>
    <row r="122" spans="1:43" ht="4.4000000000000004" hidden="1" customHeight="1" x14ac:dyDescent="0.35">
      <c r="G122" s="147"/>
      <c r="AC122" s="229"/>
      <c r="AD122" s="229"/>
      <c r="AE122" s="229"/>
      <c r="AF122" s="229"/>
      <c r="AG122" s="229"/>
      <c r="AH122" s="229"/>
      <c r="AI122" s="229"/>
      <c r="AJ122" s="229"/>
      <c r="AK122" s="229"/>
      <c r="AL122" s="229"/>
      <c r="AM122" s="229"/>
      <c r="AN122" s="229"/>
      <c r="AO122" s="229"/>
      <c r="AP122" s="229"/>
      <c r="AQ122" s="229"/>
    </row>
    <row r="123" spans="1:43" ht="13.5" hidden="1" customHeight="1" x14ac:dyDescent="0.35">
      <c r="B123" s="127" t="s">
        <v>527</v>
      </c>
      <c r="E123" s="268">
        <f>+_xlfn.XLOOKUP($B123,Inputs!$B:$B,Inputs!O:O)</f>
        <v>9.1639999999999997</v>
      </c>
      <c r="F123" s="268">
        <f>+_xlfn.XLOOKUP($B123,Inputs!$B:$B,Inputs!P:P)</f>
        <v>21.919</v>
      </c>
      <c r="G123" s="269">
        <f>+_xlfn.XLOOKUP($B123,Inputs!$B:$B,Inputs!Q:Q)</f>
        <v>15.661</v>
      </c>
      <c r="H123" s="167">
        <f t="shared" ref="H123:AB123" si="205">IFERROR(H124*H37,"")</f>
        <v>15.298815722152627</v>
      </c>
      <c r="I123" s="167">
        <f t="shared" si="205"/>
        <v>17.390506713017157</v>
      </c>
      <c r="J123" s="167">
        <f t="shared" si="205"/>
        <v>15.556612921289579</v>
      </c>
      <c r="K123" s="167">
        <f t="shared" si="205"/>
        <v>17.03732859209612</v>
      </c>
      <c r="L123" s="167">
        <f t="shared" si="205"/>
        <v>17.146309305200418</v>
      </c>
      <c r="M123" s="167">
        <f t="shared" si="205"/>
        <v>15.233207504001628</v>
      </c>
      <c r="N123" s="167">
        <f t="shared" si="205"/>
        <v>15.332827203856175</v>
      </c>
      <c r="O123" s="167">
        <f t="shared" si="205"/>
        <v>17.249142405951819</v>
      </c>
      <c r="P123" s="167">
        <f t="shared" si="205"/>
        <v>16.064512007379687</v>
      </c>
      <c r="Q123" s="167">
        <f t="shared" si="205"/>
        <v>22.52281740348128</v>
      </c>
      <c r="R123" s="167">
        <f t="shared" si="205"/>
        <v>25.219418419722441</v>
      </c>
      <c r="S123" s="167">
        <f t="shared" si="205"/>
        <v>30.883935901837066</v>
      </c>
      <c r="T123" s="167">
        <f t="shared" si="205"/>
        <v>34.423639321898676</v>
      </c>
      <c r="U123" s="167">
        <f t="shared" si="205"/>
        <v>37.288937848193967</v>
      </c>
      <c r="V123" s="167">
        <f t="shared" si="205"/>
        <v>48.473765775331572</v>
      </c>
      <c r="W123" s="167">
        <f t="shared" si="205"/>
        <v>50.415505812414665</v>
      </c>
      <c r="X123" s="167">
        <f t="shared" si="205"/>
        <v>65.538575348791014</v>
      </c>
      <c r="Y123" s="167">
        <f t="shared" si="205"/>
        <v>63.899960875782966</v>
      </c>
      <c r="Z123" s="167">
        <f t="shared" si="205"/>
        <v>53.250479293913834</v>
      </c>
      <c r="AA123" s="167">
        <f t="shared" si="205"/>
        <v>66.562724650538485</v>
      </c>
      <c r="AB123" s="167">
        <f t="shared" si="205"/>
        <v>79.87531320541521</v>
      </c>
      <c r="AC123" s="199"/>
      <c r="AD123" s="199"/>
      <c r="AE123" s="199"/>
      <c r="AF123" s="199"/>
      <c r="AG123" s="199"/>
      <c r="AH123" s="199"/>
      <c r="AI123" s="199"/>
      <c r="AJ123" s="199"/>
      <c r="AK123" s="199"/>
      <c r="AL123" s="199"/>
      <c r="AM123" s="199"/>
      <c r="AN123" s="199"/>
      <c r="AO123" s="199"/>
      <c r="AP123" s="199"/>
      <c r="AQ123" s="199"/>
    </row>
    <row r="124" spans="1:43" ht="13.5" hidden="1" customHeight="1" x14ac:dyDescent="0.35">
      <c r="B124" s="253" t="s">
        <v>528</v>
      </c>
      <c r="E124" s="266">
        <f>+IFERROR(E123/E37,"")</f>
        <v>0.28993577372101115</v>
      </c>
      <c r="F124" s="266">
        <f>+IFERROR(F123/F37,"")</f>
        <v>0.46350179742017339</v>
      </c>
      <c r="G124" s="267">
        <f>+IFERROR(G123/G37,"")</f>
        <v>0.32980246809585984</v>
      </c>
      <c r="H124" s="144">
        <f>IFERROR(AVERAGE(E124:G124),"")</f>
        <v>0.36108001307901477</v>
      </c>
      <c r="I124" s="144">
        <f t="shared" ref="I124:P124" si="206">IFERROR(AVERAGE(F124:H124),"")</f>
        <v>0.38479475953168268</v>
      </c>
      <c r="J124" s="144">
        <f t="shared" si="206"/>
        <v>0.35855908023551913</v>
      </c>
      <c r="K124" s="144">
        <f t="shared" si="206"/>
        <v>0.36814461761540551</v>
      </c>
      <c r="L124" s="144">
        <f t="shared" si="206"/>
        <v>0.3704994857942025</v>
      </c>
      <c r="M124" s="144">
        <f t="shared" si="206"/>
        <v>0.36573439454837575</v>
      </c>
      <c r="N124" s="144">
        <f t="shared" si="206"/>
        <v>0.36812616598599462</v>
      </c>
      <c r="O124" s="144">
        <f t="shared" si="206"/>
        <v>0.36812001544285766</v>
      </c>
      <c r="P124" s="144">
        <f t="shared" si="206"/>
        <v>0.36732685865907605</v>
      </c>
      <c r="Q124" s="144">
        <f t="shared" ref="Q124:AB124" si="207">IFERROR(AVERAGE(N124:P124),"")</f>
        <v>0.36785768002930946</v>
      </c>
      <c r="R124" s="144">
        <f t="shared" si="207"/>
        <v>0.36776818471041439</v>
      </c>
      <c r="S124" s="144">
        <f t="shared" si="207"/>
        <v>0.36765090779959997</v>
      </c>
      <c r="T124" s="144">
        <f t="shared" si="207"/>
        <v>0.36775892417977457</v>
      </c>
      <c r="U124" s="144">
        <f t="shared" si="207"/>
        <v>0.36772600556326296</v>
      </c>
      <c r="V124" s="144">
        <f t="shared" si="207"/>
        <v>0.3677119458475458</v>
      </c>
      <c r="W124" s="144">
        <f t="shared" si="207"/>
        <v>0.36773229186352774</v>
      </c>
      <c r="X124" s="144">
        <f t="shared" si="207"/>
        <v>0.36772341442477879</v>
      </c>
      <c r="Y124" s="144">
        <f t="shared" si="207"/>
        <v>0.36772255071195076</v>
      </c>
      <c r="Z124" s="144">
        <f t="shared" si="207"/>
        <v>0.36772608566675241</v>
      </c>
      <c r="AA124" s="144">
        <f t="shared" si="207"/>
        <v>0.36772401693449397</v>
      </c>
      <c r="AB124" s="144">
        <f t="shared" si="207"/>
        <v>0.36772421777106573</v>
      </c>
      <c r="AC124" s="302"/>
      <c r="AD124" s="302"/>
      <c r="AE124" s="302"/>
      <c r="AF124" s="302"/>
      <c r="AG124" s="302"/>
      <c r="AH124" s="302"/>
      <c r="AI124" s="302"/>
      <c r="AJ124" s="302"/>
      <c r="AK124" s="302"/>
      <c r="AL124" s="302"/>
      <c r="AM124" s="302"/>
      <c r="AN124" s="302"/>
      <c r="AO124" s="302"/>
      <c r="AP124" s="302"/>
      <c r="AQ124" s="302"/>
    </row>
    <row r="125" spans="1:43" ht="3.75" hidden="1" customHeight="1" x14ac:dyDescent="0.35">
      <c r="B125" s="253"/>
      <c r="E125" s="266"/>
      <c r="F125" s="266"/>
      <c r="G125" s="267"/>
      <c r="H125" s="144"/>
      <c r="I125" s="144"/>
      <c r="J125" s="144"/>
      <c r="K125" s="144"/>
      <c r="L125" s="144"/>
      <c r="M125" s="144"/>
      <c r="N125" s="144"/>
      <c r="O125" s="144"/>
      <c r="P125" s="144"/>
      <c r="Q125" s="144"/>
      <c r="R125" s="144"/>
      <c r="S125" s="144"/>
      <c r="T125" s="144"/>
      <c r="U125" s="144"/>
      <c r="V125" s="144"/>
      <c r="W125" s="144"/>
      <c r="X125" s="144"/>
      <c r="Y125" s="144"/>
      <c r="Z125" s="144"/>
      <c r="AA125" s="144"/>
      <c r="AB125" s="144"/>
      <c r="AC125" s="302"/>
      <c r="AD125" s="302"/>
      <c r="AE125" s="302"/>
      <c r="AF125" s="302"/>
      <c r="AG125" s="302"/>
      <c r="AH125" s="302"/>
      <c r="AI125" s="302"/>
      <c r="AJ125" s="302"/>
      <c r="AK125" s="302"/>
      <c r="AL125" s="302"/>
      <c r="AM125" s="302"/>
      <c r="AN125" s="302"/>
      <c r="AO125" s="302"/>
      <c r="AP125" s="302"/>
      <c r="AQ125" s="302"/>
    </row>
    <row r="126" spans="1:43" ht="13.5" customHeight="1" x14ac:dyDescent="0.35">
      <c r="B126" s="127" t="s">
        <v>529</v>
      </c>
      <c r="E126" s="934">
        <f>+_xlfn.XLOOKUP($B126,Inputs!$B:$B,Inputs!O:O)</f>
        <v>3.0219999999999998</v>
      </c>
      <c r="F126" s="934">
        <f>+_xlfn.XLOOKUP($B126,Inputs!$B:$B,Inputs!P:P)</f>
        <v>-2.698</v>
      </c>
      <c r="G126" s="935">
        <f>+_xlfn.XLOOKUP($B126,Inputs!$B:$B,Inputs!Q:Q)</f>
        <v>20.861999999999998</v>
      </c>
      <c r="H126" s="173">
        <f>IFERROR(-((H88+H91+H94-H108-H111)-(G88+G91+G94-G108-G111)),"")</f>
        <v>-2.8557527122768072</v>
      </c>
      <c r="I126" s="173">
        <f t="shared" ref="I126:Q126" si="208">IFERROR(-((I88+I91+I94-I108-I111)-(H88+H91+H94-H108-H111)),"")</f>
        <v>4.3563874605540178</v>
      </c>
      <c r="J126" s="173">
        <f t="shared" si="208"/>
        <v>9.008047033990934</v>
      </c>
      <c r="K126" s="173">
        <f t="shared" si="208"/>
        <v>5.056550983642822</v>
      </c>
      <c r="L126" s="173">
        <f t="shared" si="208"/>
        <v>6.5141105797581957</v>
      </c>
      <c r="M126" s="173">
        <f t="shared" si="208"/>
        <v>4.463146207864078</v>
      </c>
      <c r="N126" s="173">
        <f t="shared" si="208"/>
        <v>4.8219151923191319</v>
      </c>
      <c r="O126" s="173">
        <f t="shared" si="208"/>
        <v>1.481745162768199</v>
      </c>
      <c r="P126" s="173">
        <f t="shared" si="208"/>
        <v>-6.9318324525750654</v>
      </c>
      <c r="Q126" s="173">
        <f t="shared" si="208"/>
        <v>-7.2717506944789818</v>
      </c>
      <c r="R126" s="173">
        <f t="shared" ref="R126" si="209">IFERROR(-((R88+R91+R94-R108-R111)-(Q88+Q91+Q94-Q108-Q111)),"")</f>
        <v>-17.437415822324624</v>
      </c>
      <c r="S126" s="173">
        <f t="shared" ref="S126" si="210">IFERROR(-((S88+S91+S94-S108-S111)-(R88+R91+R94-R108-R111)),"")</f>
        <v>-32.146407996860347</v>
      </c>
      <c r="T126" s="173">
        <f t="shared" ref="T126" si="211">IFERROR(-((T88+T91+T94-T108-T111)-(S88+S91+S94-S108-S111)),"")</f>
        <v>-46.960434297692302</v>
      </c>
      <c r="U126" s="173">
        <f t="shared" ref="U126" si="212">IFERROR(-((U88+U91+U94-U108-U111)-(T88+T91+T94-T108-T111)),"")</f>
        <v>-53.326983939560989</v>
      </c>
      <c r="V126" s="173">
        <f t="shared" ref="V126" si="213">IFERROR(-((V88+V91+V94-V108-V111)-(U88+U91+U94-U108-U111)),"")</f>
        <v>-77.348289594078153</v>
      </c>
      <c r="W126" s="173">
        <f t="shared" ref="W126" si="214">IFERROR(-((W88+W91+W94-W108-W111)-(V88+V91+V94-V108-V111)),"")</f>
        <v>-110.44885217706292</v>
      </c>
      <c r="X126" s="173">
        <f t="shared" ref="X126" si="215">IFERROR(-((X88+X91+X94-X108-X111)-(W88+W91+W94-W108-W111)),"")</f>
        <v>-148.00437418507289</v>
      </c>
      <c r="Y126" s="173">
        <f t="shared" ref="Y126" si="216">IFERROR(-((Y88+Y91+Y94-Y108-Y111)-(X88+X91+X94-X108-X111)),"")</f>
        <v>-202.00530656836213</v>
      </c>
      <c r="Z126" s="173">
        <f t="shared" ref="Z126" si="217">IFERROR(-((Z88+Z91+Z94-Z108-Z111)-(Y88+Y91+Y94-Y108-Y111)),"")</f>
        <v>-237.69420356393357</v>
      </c>
      <c r="AA126" s="173">
        <f t="shared" ref="AA126" si="218">IFERROR(-((AA88+AA91+AA94-AA108-AA111)-(Z88+Z91+Z94-Z108-Z111)),"")</f>
        <v>-288.83073228843421</v>
      </c>
      <c r="AB126" s="173">
        <f t="shared" ref="AB126" si="219">IFERROR(-((AB88+AB91+AB94-AB108-AB111)-(AA88+AA91+AA94-AA108-AA111)),"")</f>
        <v>-310.84575239401602</v>
      </c>
      <c r="AC126" s="866"/>
      <c r="AD126" s="866"/>
      <c r="AE126" s="866"/>
      <c r="AF126" s="866"/>
      <c r="AG126" s="866"/>
      <c r="AH126" s="866"/>
      <c r="AI126" s="866"/>
      <c r="AJ126" s="866"/>
      <c r="AK126" s="866"/>
      <c r="AL126" s="866"/>
      <c r="AM126" s="866"/>
      <c r="AN126" s="866"/>
      <c r="AO126" s="866"/>
      <c r="AP126" s="866"/>
      <c r="AQ126" s="866"/>
    </row>
    <row r="127" spans="1:43" ht="3.75" hidden="1" customHeight="1" x14ac:dyDescent="0.35">
      <c r="G127" s="147"/>
      <c r="AC127" s="229"/>
      <c r="AD127" s="229"/>
      <c r="AE127" s="229"/>
      <c r="AF127" s="229"/>
      <c r="AG127" s="229"/>
      <c r="AH127" s="229"/>
      <c r="AI127" s="229"/>
      <c r="AJ127" s="229"/>
      <c r="AK127" s="229"/>
      <c r="AL127" s="229"/>
      <c r="AM127" s="229"/>
      <c r="AN127" s="229"/>
      <c r="AO127" s="229"/>
      <c r="AP127" s="229"/>
      <c r="AQ127" s="229"/>
    </row>
    <row r="128" spans="1:43" ht="13.5" hidden="1" customHeight="1" x14ac:dyDescent="0.35">
      <c r="B128" s="356" t="s">
        <v>530</v>
      </c>
      <c r="C128" s="356"/>
      <c r="D128" s="356"/>
      <c r="E128" s="357">
        <f>+_xlfn.XLOOKUP($B128,Inputs!$B:$B,Inputs!O:O)</f>
        <v>-6.043000000000001</v>
      </c>
      <c r="F128" s="357">
        <f>+_xlfn.XLOOKUP($B128,Inputs!$B:$B,Inputs!P:P)</f>
        <v>1.0000000000000036</v>
      </c>
      <c r="G128" s="358">
        <f>+_xlfn.XLOOKUP($B128,Inputs!$B:$B,Inputs!Q:Q)</f>
        <v>62.780999999999992</v>
      </c>
      <c r="H128" s="359">
        <f t="shared" ref="H128:AB128" si="220">IFERROR(AVERAGE(E128:G128)*(1+H29),"")</f>
        <v>30.793599999999998</v>
      </c>
      <c r="I128" s="359">
        <f t="shared" si="220"/>
        <v>50.439786666666663</v>
      </c>
      <c r="J128" s="359">
        <f t="shared" si="220"/>
        <v>76.807672888888888</v>
      </c>
      <c r="K128" s="359">
        <f t="shared" si="220"/>
        <v>84.288565096296281</v>
      </c>
      <c r="L128" s="359">
        <f t="shared" si="220"/>
        <v>112.81921314765432</v>
      </c>
      <c r="M128" s="359">
        <f t="shared" si="220"/>
        <v>136.95772556641975</v>
      </c>
      <c r="N128" s="359">
        <f t="shared" si="220"/>
        <v>167.03275190518519</v>
      </c>
      <c r="O128" s="359">
        <f t="shared" si="220"/>
        <v>208.40484530962965</v>
      </c>
      <c r="P128" s="359">
        <f t="shared" si="220"/>
        <v>239.11781729790948</v>
      </c>
      <c r="Q128" s="359">
        <f t="shared" si="220"/>
        <v>286.79252677260473</v>
      </c>
      <c r="R128" s="359">
        <f t="shared" si="220"/>
        <v>342.68042171073381</v>
      </c>
      <c r="S128" s="359">
        <f t="shared" si="220"/>
        <v>405.34235736458231</v>
      </c>
      <c r="T128" s="359">
        <f t="shared" si="220"/>
        <v>448.41996586743238</v>
      </c>
      <c r="U128" s="359">
        <f t="shared" si="220"/>
        <v>518.45852280852432</v>
      </c>
      <c r="V128" s="359">
        <f t="shared" si="220"/>
        <v>594.62903328423363</v>
      </c>
      <c r="W128" s="359">
        <f t="shared" si="220"/>
        <v>676.65325951608258</v>
      </c>
      <c r="X128" s="359">
        <f t="shared" si="220"/>
        <v>775.5543534304976</v>
      </c>
      <c r="Y128" s="359">
        <f t="shared" si="220"/>
        <v>886.96254670001929</v>
      </c>
      <c r="Z128" s="359">
        <f t="shared" si="220"/>
        <v>974.65423318608316</v>
      </c>
      <c r="AA128" s="359">
        <f t="shared" si="220"/>
        <v>1098.8213055485833</v>
      </c>
      <c r="AB128" s="359">
        <f t="shared" si="220"/>
        <v>1184.1752341738743</v>
      </c>
      <c r="AC128" s="199"/>
      <c r="AD128" s="199"/>
      <c r="AE128" s="199"/>
      <c r="AF128" s="199"/>
      <c r="AG128" s="199"/>
      <c r="AH128" s="199"/>
      <c r="AI128" s="199"/>
      <c r="AJ128" s="199"/>
      <c r="AK128" s="199"/>
      <c r="AL128" s="199"/>
      <c r="AM128" s="199"/>
      <c r="AN128" s="199"/>
      <c r="AO128" s="199"/>
      <c r="AP128" s="199"/>
      <c r="AQ128" s="199"/>
    </row>
    <row r="129" spans="2:43" ht="5.25" hidden="1" customHeight="1" x14ac:dyDescent="0.35">
      <c r="E129" s="297"/>
      <c r="F129" s="297"/>
      <c r="G129" s="269"/>
      <c r="H129" s="167"/>
      <c r="I129" s="167"/>
      <c r="J129" s="167"/>
      <c r="K129" s="167"/>
      <c r="L129" s="167"/>
      <c r="M129" s="167"/>
      <c r="N129" s="167"/>
      <c r="O129" s="167"/>
      <c r="P129" s="167"/>
      <c r="Q129" s="167"/>
      <c r="AC129" s="229"/>
      <c r="AD129" s="229"/>
      <c r="AE129" s="229"/>
      <c r="AF129" s="229"/>
      <c r="AG129" s="229"/>
      <c r="AH129" s="229"/>
      <c r="AI129" s="229"/>
      <c r="AJ129" s="229"/>
      <c r="AK129" s="229"/>
      <c r="AL129" s="229"/>
      <c r="AM129" s="229"/>
      <c r="AN129" s="229"/>
      <c r="AO129" s="229"/>
      <c r="AP129" s="229"/>
      <c r="AQ129" s="229"/>
    </row>
    <row r="130" spans="2:43" ht="13.5" hidden="1" customHeight="1" x14ac:dyDescent="0.35">
      <c r="B130" s="374" t="s">
        <v>299</v>
      </c>
      <c r="C130" s="148"/>
      <c r="D130" s="148"/>
      <c r="E130" s="319">
        <f>+_xlfn.XLOOKUP($B130,Inputs!$B:$B,Inputs!O:O)</f>
        <v>-45.225999999999999</v>
      </c>
      <c r="F130" s="319">
        <f>+_xlfn.XLOOKUP($B130,Inputs!$B:$B,Inputs!P:P)</f>
        <v>-60.649000000000001</v>
      </c>
      <c r="G130" s="320">
        <f>+_xlfn.XLOOKUP($B130,Inputs!$B:$B,Inputs!Q:Q)</f>
        <v>-42.643000000000001</v>
      </c>
      <c r="H130" s="465">
        <f>IFERROR(H79+H121+H123+H126+H128,"")</f>
        <v>-66.298316990124206</v>
      </c>
      <c r="I130" s="465">
        <f t="shared" ref="I130:AB130" si="221">IFERROR(I79+I121+I123+I126+I128,"")</f>
        <v>-79.837317159762193</v>
      </c>
      <c r="J130" s="465">
        <f t="shared" si="221"/>
        <v>-104.92290868916392</v>
      </c>
      <c r="K130" s="465">
        <f t="shared" si="221"/>
        <v>-142.70395017907589</v>
      </c>
      <c r="L130" s="465">
        <f t="shared" si="221"/>
        <v>-167.62378871575734</v>
      </c>
      <c r="M130" s="465">
        <f t="shared" si="221"/>
        <v>-201.61360592812184</v>
      </c>
      <c r="N130" s="465">
        <f t="shared" si="221"/>
        <v>-184.07260033638397</v>
      </c>
      <c r="O130" s="465">
        <f t="shared" si="221"/>
        <v>-142.52846309419147</v>
      </c>
      <c r="P130" s="465">
        <f t="shared" si="221"/>
        <v>-86.907995773008338</v>
      </c>
      <c r="Q130" s="465">
        <f t="shared" si="221"/>
        <v>-1.9177809677990467</v>
      </c>
      <c r="R130" s="465">
        <f t="shared" si="221"/>
        <v>125.37926159726572</v>
      </c>
      <c r="S130" s="465">
        <f t="shared" si="221"/>
        <v>302.22010976072642</v>
      </c>
      <c r="T130" s="465">
        <f t="shared" si="221"/>
        <v>490.99032312516619</v>
      </c>
      <c r="U130" s="465">
        <f t="shared" si="221"/>
        <v>756.29014835762359</v>
      </c>
      <c r="V130" s="465">
        <f t="shared" si="221"/>
        <v>1074.2157503656331</v>
      </c>
      <c r="W130" s="465">
        <f t="shared" si="221"/>
        <v>1508.7867975109202</v>
      </c>
      <c r="X130" s="465">
        <f t="shared" si="221"/>
        <v>2059.8823546992212</v>
      </c>
      <c r="Y130" s="465">
        <f t="shared" si="221"/>
        <v>2809.3461144890448</v>
      </c>
      <c r="Z130" s="465">
        <f t="shared" si="221"/>
        <v>3657.1455689805953</v>
      </c>
      <c r="AA130" s="465">
        <f t="shared" si="221"/>
        <v>4668.5559039439204</v>
      </c>
      <c r="AB130" s="465">
        <f t="shared" si="221"/>
        <v>5705.4588528929598</v>
      </c>
      <c r="AC130" s="880"/>
      <c r="AD130" s="880"/>
      <c r="AE130" s="880"/>
      <c r="AF130" s="880"/>
      <c r="AG130" s="880"/>
      <c r="AH130" s="880"/>
      <c r="AI130" s="880"/>
      <c r="AJ130" s="880"/>
      <c r="AK130" s="880"/>
      <c r="AL130" s="880"/>
      <c r="AM130" s="880"/>
      <c r="AN130" s="880"/>
      <c r="AO130" s="880"/>
      <c r="AP130" s="880"/>
      <c r="AQ130" s="880"/>
    </row>
    <row r="131" spans="2:43" ht="3.75" customHeight="1" x14ac:dyDescent="0.35">
      <c r="G131" s="147"/>
      <c r="AC131" s="229"/>
      <c r="AD131" s="229"/>
      <c r="AE131" s="229"/>
      <c r="AF131" s="229"/>
      <c r="AG131" s="229"/>
      <c r="AH131" s="229"/>
      <c r="AI131" s="229"/>
      <c r="AJ131" s="229"/>
      <c r="AK131" s="229"/>
      <c r="AL131" s="229"/>
      <c r="AM131" s="229"/>
      <c r="AN131" s="229"/>
      <c r="AO131" s="229"/>
      <c r="AP131" s="229"/>
      <c r="AQ131" s="229"/>
    </row>
    <row r="132" spans="2:43" ht="13.5" customHeight="1" x14ac:dyDescent="0.35">
      <c r="B132" s="785" t="s">
        <v>531</v>
      </c>
      <c r="C132" s="315"/>
      <c r="D132" s="315"/>
      <c r="E132" s="942">
        <f>+_xlfn.XLOOKUP($B132,Inputs!$B:$B,Inputs!O:O)</f>
        <v>-0.42299999999999999</v>
      </c>
      <c r="F132" s="942">
        <f>+_xlfn.XLOOKUP($B132,Inputs!$B:$B,Inputs!P:P)</f>
        <v>-0.58299999999999996</v>
      </c>
      <c r="G132" s="943">
        <f>+_xlfn.XLOOKUP($B132,Inputs!$B:$B,Inputs!Q:Q)</f>
        <v>-2.395</v>
      </c>
      <c r="H132" s="318"/>
      <c r="I132" s="318"/>
      <c r="J132" s="318"/>
      <c r="K132" s="318"/>
      <c r="L132" s="318"/>
      <c r="M132" s="318"/>
      <c r="N132" s="318"/>
      <c r="O132" s="318"/>
      <c r="P132" s="318"/>
      <c r="Q132" s="318"/>
      <c r="R132" s="318"/>
      <c r="S132" s="318"/>
      <c r="T132" s="318"/>
      <c r="U132" s="318"/>
      <c r="V132" s="318"/>
      <c r="W132" s="318"/>
      <c r="X132" s="318"/>
      <c r="Y132" s="318"/>
      <c r="Z132" s="318"/>
      <c r="AA132" s="318"/>
      <c r="AB132" s="318"/>
      <c r="AC132" s="258" t="s">
        <v>532</v>
      </c>
      <c r="AD132" s="199"/>
      <c r="AE132" s="199"/>
      <c r="AF132" s="199"/>
      <c r="AG132" s="199"/>
      <c r="AH132" s="199"/>
      <c r="AI132" s="199"/>
      <c r="AJ132" s="199"/>
      <c r="AK132" s="199"/>
      <c r="AL132" s="199"/>
      <c r="AM132" s="199"/>
      <c r="AN132" s="199"/>
      <c r="AO132" s="199"/>
      <c r="AP132" s="199"/>
      <c r="AQ132" s="199"/>
    </row>
    <row r="133" spans="2:43" ht="13.5" customHeight="1" x14ac:dyDescent="0.35">
      <c r="B133" s="253" t="s">
        <v>533</v>
      </c>
      <c r="E133" s="297"/>
      <c r="F133" s="283">
        <f>(F132/E132-1)/F29</f>
        <v>1.7117927377676359</v>
      </c>
      <c r="G133" s="283">
        <f>(G132/F132-1)/G29</f>
        <v>394.49862032962454</v>
      </c>
      <c r="H133" s="167"/>
      <c r="I133" s="167"/>
      <c r="J133" s="167"/>
      <c r="K133" s="167"/>
      <c r="L133" s="167"/>
      <c r="M133" s="167"/>
      <c r="N133" s="167"/>
      <c r="O133" s="167"/>
      <c r="P133" s="167"/>
      <c r="Q133" s="167"/>
      <c r="R133" s="167"/>
      <c r="S133" s="167"/>
      <c r="T133" s="167"/>
      <c r="U133" s="167"/>
      <c r="V133" s="167"/>
      <c r="W133" s="167"/>
      <c r="X133" s="167"/>
      <c r="Y133" s="167"/>
      <c r="Z133" s="167"/>
      <c r="AA133" s="167"/>
      <c r="AB133" s="167"/>
      <c r="AC133" s="199"/>
      <c r="AD133" s="199"/>
      <c r="AE133" s="199"/>
      <c r="AF133" s="199"/>
      <c r="AG133" s="199"/>
      <c r="AH133" s="199"/>
      <c r="AI133" s="199"/>
      <c r="AJ133" s="199"/>
      <c r="AK133" s="199"/>
      <c r="AL133" s="199"/>
      <c r="AM133" s="199"/>
      <c r="AN133" s="199"/>
      <c r="AO133" s="199"/>
      <c r="AP133" s="199"/>
      <c r="AQ133" s="199"/>
    </row>
    <row r="134" spans="2:43" ht="3.75" hidden="1" customHeight="1" x14ac:dyDescent="0.35">
      <c r="B134" s="151"/>
      <c r="E134" s="153"/>
      <c r="F134" s="153"/>
      <c r="G134" s="154"/>
      <c r="H134" s="153"/>
      <c r="I134" s="153"/>
      <c r="J134" s="153"/>
      <c r="K134" s="153"/>
      <c r="L134" s="153"/>
      <c r="M134" s="153"/>
      <c r="N134" s="153"/>
      <c r="O134" s="153"/>
      <c r="P134" s="153"/>
      <c r="Q134" s="153"/>
      <c r="AC134" s="229"/>
      <c r="AD134" s="229"/>
      <c r="AE134" s="229"/>
      <c r="AF134" s="229"/>
      <c r="AG134" s="229"/>
      <c r="AH134" s="229"/>
      <c r="AI134" s="229"/>
      <c r="AJ134" s="229"/>
      <c r="AK134" s="229"/>
      <c r="AL134" s="229"/>
      <c r="AM134" s="229"/>
      <c r="AN134" s="229"/>
      <c r="AO134" s="229"/>
      <c r="AP134" s="229"/>
      <c r="AQ134" s="229"/>
    </row>
    <row r="135" spans="2:43" s="151" customFormat="1" ht="15.5" hidden="1" x14ac:dyDescent="0.35">
      <c r="B135" s="252" t="s">
        <v>534</v>
      </c>
      <c r="E135" s="294">
        <f>+_xlfn.XLOOKUP($B135,Inputs!$B:$B,Inputs!O:O)</f>
        <v>-0.42299999999999999</v>
      </c>
      <c r="F135" s="294">
        <f>+_xlfn.XLOOKUP($B135,Inputs!$B:$B,Inputs!P:P)</f>
        <v>-0.58299999999999996</v>
      </c>
      <c r="G135" s="295">
        <f>+_xlfn.XLOOKUP($B135,Inputs!$B:$B,Inputs!Q:Q)</f>
        <v>-2.395</v>
      </c>
      <c r="H135" s="296">
        <f t="shared" ref="H135:AB135" si="222">H136*H28</f>
        <v>-4.2369599999999998</v>
      </c>
      <c r="I135" s="296">
        <f t="shared" si="222"/>
        <v>-6.7791360000000012</v>
      </c>
      <c r="J135" s="296">
        <f t="shared" si="222"/>
        <v>-10.846617600000002</v>
      </c>
      <c r="K135" s="296">
        <f t="shared" si="222"/>
        <v>-14.462156800000002</v>
      </c>
      <c r="L135" s="296">
        <f t="shared" si="222"/>
        <v>-23.139450880000005</v>
      </c>
      <c r="M135" s="296">
        <f t="shared" si="222"/>
        <v>34.709176320000012</v>
      </c>
      <c r="N135" s="296">
        <f t="shared" si="222"/>
        <v>-41.651011584000017</v>
      </c>
      <c r="O135" s="296">
        <f t="shared" si="222"/>
        <v>-62.476517376000018</v>
      </c>
      <c r="P135" s="296">
        <f t="shared" si="222"/>
        <v>-87.467124326400025</v>
      </c>
      <c r="Q135" s="296">
        <f t="shared" si="222"/>
        <v>-91.840480542720002</v>
      </c>
      <c r="R135" s="296">
        <f t="shared" si="222"/>
        <v>-128.57667275980799</v>
      </c>
      <c r="S135" s="296">
        <f t="shared" si="222"/>
        <v>-120.0048945758208</v>
      </c>
      <c r="T135" s="296">
        <f t="shared" si="222"/>
        <v>-156.00636294856704</v>
      </c>
      <c r="U135" s="296">
        <f t="shared" si="222"/>
        <v>-202.80827183313716</v>
      </c>
      <c r="V135" s="296">
        <f t="shared" si="222"/>
        <v>-263.65075338307832</v>
      </c>
      <c r="W135" s="296">
        <f t="shared" si="222"/>
        <v>-342.74597939800179</v>
      </c>
      <c r="X135" s="296">
        <f t="shared" si="222"/>
        <v>-445.56977321740237</v>
      </c>
      <c r="Y135" s="296">
        <f t="shared" si="222"/>
        <v>-579.24070518262306</v>
      </c>
      <c r="Z135" s="296">
        <f t="shared" si="222"/>
        <v>-724.05088147827882</v>
      </c>
      <c r="AA135" s="296">
        <f t="shared" si="222"/>
        <v>-905.06360184784864</v>
      </c>
      <c r="AB135" s="296">
        <f t="shared" si="222"/>
        <v>-1086.0763222174182</v>
      </c>
      <c r="AC135" s="875"/>
      <c r="AD135" s="875"/>
      <c r="AE135" s="875"/>
      <c r="AF135" s="875"/>
      <c r="AG135" s="875"/>
      <c r="AH135" s="875"/>
      <c r="AI135" s="875"/>
      <c r="AJ135" s="875"/>
      <c r="AK135" s="875"/>
      <c r="AL135" s="875"/>
      <c r="AM135" s="875"/>
      <c r="AN135" s="875"/>
      <c r="AO135" s="875"/>
      <c r="AP135" s="875"/>
      <c r="AQ135" s="875"/>
    </row>
    <row r="136" spans="2:43" ht="13.5" hidden="1" customHeight="1" x14ac:dyDescent="0.35">
      <c r="B136" s="262" t="s">
        <v>535</v>
      </c>
      <c r="E136" s="261">
        <f>E135/E28</f>
        <v>-5.8971141781681301E-2</v>
      </c>
      <c r="F136" s="261">
        <f>F135/F28</f>
        <v>-6.6567709522722091E-2</v>
      </c>
      <c r="G136" s="261">
        <f>G135/G28</f>
        <v>-0.27132661153279708</v>
      </c>
      <c r="H136" s="923">
        <v>-0.3</v>
      </c>
      <c r="I136" s="282">
        <v>-0.3</v>
      </c>
      <c r="J136" s="282">
        <v>-0.3</v>
      </c>
      <c r="K136" s="282">
        <v>-0.25</v>
      </c>
      <c r="L136" s="282">
        <v>-0.25</v>
      </c>
      <c r="M136" s="282">
        <v>0.25</v>
      </c>
      <c r="N136" s="282">
        <v>-0.2</v>
      </c>
      <c r="O136" s="282">
        <v>-0.2</v>
      </c>
      <c r="P136" s="282">
        <v>-0.2</v>
      </c>
      <c r="Q136" s="282">
        <v>-0.15</v>
      </c>
      <c r="R136" s="282">
        <v>-0.15</v>
      </c>
      <c r="S136" s="282">
        <v>-0.1</v>
      </c>
      <c r="T136" s="282">
        <v>-0.1</v>
      </c>
      <c r="U136" s="282">
        <v>-0.1</v>
      </c>
      <c r="V136" s="282">
        <v>-0.1</v>
      </c>
      <c r="W136" s="282">
        <v>-0.1</v>
      </c>
      <c r="X136" s="282">
        <v>-0.1</v>
      </c>
      <c r="Y136" s="282">
        <v>-0.1</v>
      </c>
      <c r="Z136" s="282">
        <v>-0.1</v>
      </c>
      <c r="AA136" s="282">
        <v>-0.1</v>
      </c>
      <c r="AB136" s="282">
        <v>-0.1</v>
      </c>
      <c r="AC136" s="229"/>
      <c r="AD136" s="229"/>
      <c r="AE136" s="229"/>
      <c r="AF136" s="229"/>
      <c r="AG136" s="229"/>
      <c r="AH136" s="229"/>
      <c r="AI136" s="229"/>
      <c r="AJ136" s="229"/>
      <c r="AK136" s="229"/>
      <c r="AL136" s="229"/>
      <c r="AM136" s="229"/>
      <c r="AN136" s="229"/>
      <c r="AO136" s="229"/>
      <c r="AP136" s="229"/>
      <c r="AQ136" s="229"/>
    </row>
    <row r="137" spans="2:43" s="151" customFormat="1" ht="15.5" hidden="1" x14ac:dyDescent="0.35">
      <c r="B137" s="252" t="s">
        <v>536</v>
      </c>
      <c r="E137" s="294">
        <f>+_xlfn.XLOOKUP($B137,Inputs!$B:$B,Inputs!O:O)</f>
        <v>0</v>
      </c>
      <c r="F137" s="294">
        <f>+_xlfn.XLOOKUP($B137,Inputs!$B:$B,Inputs!P:P)</f>
        <v>0</v>
      </c>
      <c r="G137" s="295">
        <f>+_xlfn.XLOOKUP($B137,Inputs!$B:$B,Inputs!Q:Q)</f>
        <v>0</v>
      </c>
      <c r="H137" s="296">
        <f t="shared" ref="H137:AB137" si="223">IFERROR(H138*G98,"")</f>
        <v>0</v>
      </c>
      <c r="I137" s="296">
        <f t="shared" si="223"/>
        <v>0</v>
      </c>
      <c r="J137" s="296">
        <f t="shared" si="223"/>
        <v>0</v>
      </c>
      <c r="K137" s="296">
        <f t="shared" si="223"/>
        <v>0</v>
      </c>
      <c r="L137" s="296">
        <f t="shared" si="223"/>
        <v>0</v>
      </c>
      <c r="M137" s="296">
        <f t="shared" si="223"/>
        <v>0</v>
      </c>
      <c r="N137" s="296">
        <f t="shared" si="223"/>
        <v>0</v>
      </c>
      <c r="O137" s="296">
        <f t="shared" si="223"/>
        <v>0</v>
      </c>
      <c r="P137" s="296">
        <f t="shared" si="223"/>
        <v>0</v>
      </c>
      <c r="Q137" s="296">
        <f t="shared" si="223"/>
        <v>0</v>
      </c>
      <c r="R137" s="296">
        <f t="shared" si="223"/>
        <v>0</v>
      </c>
      <c r="S137" s="296">
        <f t="shared" si="223"/>
        <v>0</v>
      </c>
      <c r="T137" s="296">
        <f t="shared" si="223"/>
        <v>0</v>
      </c>
      <c r="U137" s="296">
        <f t="shared" si="223"/>
        <v>0</v>
      </c>
      <c r="V137" s="296">
        <f t="shared" si="223"/>
        <v>0</v>
      </c>
      <c r="W137" s="296">
        <f t="shared" si="223"/>
        <v>0</v>
      </c>
      <c r="X137" s="296">
        <f t="shared" si="223"/>
        <v>0</v>
      </c>
      <c r="Y137" s="296">
        <f t="shared" si="223"/>
        <v>0</v>
      </c>
      <c r="Z137" s="296">
        <f t="shared" si="223"/>
        <v>0</v>
      </c>
      <c r="AA137" s="296">
        <f t="shared" si="223"/>
        <v>0</v>
      </c>
      <c r="AB137" s="296">
        <f t="shared" si="223"/>
        <v>0</v>
      </c>
      <c r="AC137" s="875"/>
      <c r="AD137" s="875"/>
      <c r="AE137" s="875"/>
      <c r="AF137" s="875"/>
      <c r="AG137" s="875"/>
      <c r="AH137" s="875"/>
      <c r="AI137" s="875"/>
      <c r="AJ137" s="875"/>
      <c r="AK137" s="875"/>
      <c r="AL137" s="875"/>
      <c r="AM137" s="875"/>
      <c r="AN137" s="875"/>
      <c r="AO137" s="875"/>
      <c r="AP137" s="875"/>
      <c r="AQ137" s="875"/>
    </row>
    <row r="138" spans="2:43" customFormat="1" ht="14.5" hidden="1" x14ac:dyDescent="0.35">
      <c r="B138" s="262" t="s">
        <v>537</v>
      </c>
      <c r="E138" s="261">
        <f>IFERROR(E137/E98,"")</f>
        <v>0</v>
      </c>
      <c r="F138" s="261">
        <f>IFERROR(F137/F98,"")</f>
        <v>0</v>
      </c>
      <c r="G138" s="290">
        <f>IFERROR(G137/G98,"")</f>
        <v>0</v>
      </c>
      <c r="H138" s="282">
        <f>IFERROR(AVERAGE(E138:G138),"")</f>
        <v>0</v>
      </c>
      <c r="I138" s="282">
        <f t="shared" ref="I138:P138" si="224">IFERROR(AVERAGE(F138:H138),"")</f>
        <v>0</v>
      </c>
      <c r="J138" s="282">
        <f t="shared" si="224"/>
        <v>0</v>
      </c>
      <c r="K138" s="282">
        <f t="shared" si="224"/>
        <v>0</v>
      </c>
      <c r="L138" s="282">
        <f t="shared" si="224"/>
        <v>0</v>
      </c>
      <c r="M138" s="282">
        <f t="shared" si="224"/>
        <v>0</v>
      </c>
      <c r="N138" s="282">
        <f t="shared" si="224"/>
        <v>0</v>
      </c>
      <c r="O138" s="282">
        <f t="shared" si="224"/>
        <v>0</v>
      </c>
      <c r="P138" s="282">
        <f t="shared" si="224"/>
        <v>0</v>
      </c>
      <c r="Q138" s="282">
        <f>IFERROR(AVERAGE(N138:P138),"")</f>
        <v>0</v>
      </c>
      <c r="R138" s="282">
        <f t="shared" ref="R138:AB138" si="225">IFERROR(AVERAGE(O138:Q138),"")</f>
        <v>0</v>
      </c>
      <c r="S138" s="282">
        <f t="shared" si="225"/>
        <v>0</v>
      </c>
      <c r="T138" s="282">
        <f t="shared" si="225"/>
        <v>0</v>
      </c>
      <c r="U138" s="282">
        <f t="shared" si="225"/>
        <v>0</v>
      </c>
      <c r="V138" s="282">
        <f t="shared" si="225"/>
        <v>0</v>
      </c>
      <c r="W138" s="282">
        <f t="shared" si="225"/>
        <v>0</v>
      </c>
      <c r="X138" s="282">
        <f t="shared" si="225"/>
        <v>0</v>
      </c>
      <c r="Y138" s="282">
        <f t="shared" si="225"/>
        <v>0</v>
      </c>
      <c r="Z138" s="282">
        <f t="shared" si="225"/>
        <v>0</v>
      </c>
      <c r="AA138" s="282">
        <f t="shared" si="225"/>
        <v>0</v>
      </c>
      <c r="AB138" s="282">
        <f t="shared" si="225"/>
        <v>0</v>
      </c>
      <c r="AC138" s="876"/>
      <c r="AD138" s="876"/>
      <c r="AE138" s="876"/>
      <c r="AF138" s="876"/>
      <c r="AG138" s="876"/>
      <c r="AH138" s="876"/>
      <c r="AI138" s="876"/>
      <c r="AJ138" s="876"/>
      <c r="AK138" s="876"/>
      <c r="AL138" s="876"/>
      <c r="AM138" s="876"/>
      <c r="AN138" s="876"/>
      <c r="AO138" s="876"/>
      <c r="AP138" s="876"/>
      <c r="AQ138" s="876"/>
    </row>
    <row r="139" spans="2:43" ht="3.75" hidden="1" customHeight="1" x14ac:dyDescent="0.35">
      <c r="B139" s="151"/>
      <c r="E139" s="153"/>
      <c r="F139" s="153"/>
      <c r="G139" s="154"/>
      <c r="H139" s="153"/>
      <c r="I139" s="153"/>
      <c r="J139" s="153"/>
      <c r="K139" s="153"/>
      <c r="L139" s="153"/>
      <c r="M139" s="153"/>
      <c r="N139" s="153"/>
      <c r="O139" s="153"/>
      <c r="P139" s="153"/>
      <c r="Q139" s="153"/>
      <c r="AC139" s="229"/>
      <c r="AD139" s="229"/>
      <c r="AE139" s="229"/>
      <c r="AF139" s="229"/>
      <c r="AG139" s="229"/>
      <c r="AH139" s="229"/>
      <c r="AI139" s="229"/>
      <c r="AJ139" s="229"/>
      <c r="AK139" s="229"/>
      <c r="AL139" s="229"/>
      <c r="AM139" s="229"/>
      <c r="AN139" s="229"/>
      <c r="AO139" s="229"/>
      <c r="AP139" s="229"/>
      <c r="AQ139" s="229"/>
    </row>
    <row r="140" spans="2:43" ht="13.5" hidden="1" customHeight="1" x14ac:dyDescent="0.35">
      <c r="B140" s="197" t="s">
        <v>538</v>
      </c>
      <c r="E140" s="294">
        <f>+_xlfn.XLOOKUP($B140,Inputs!$B:$B,Inputs!O:O)</f>
        <v>0</v>
      </c>
      <c r="F140" s="294">
        <f>+_xlfn.XLOOKUP($B140,Inputs!$B:$B,Inputs!P:P)</f>
        <v>0</v>
      </c>
      <c r="G140" s="295">
        <f>+_xlfn.XLOOKUP($B140,Inputs!$B:$B,Inputs!Q:Q)</f>
        <v>-1</v>
      </c>
      <c r="H140" s="309">
        <v>0</v>
      </c>
      <c r="I140" s="309">
        <v>0</v>
      </c>
      <c r="J140" s="309">
        <v>0</v>
      </c>
      <c r="K140" s="309">
        <v>0</v>
      </c>
      <c r="L140" s="309">
        <v>0</v>
      </c>
      <c r="M140" s="309">
        <v>0</v>
      </c>
      <c r="N140" s="309">
        <v>0</v>
      </c>
      <c r="O140" s="309">
        <v>0</v>
      </c>
      <c r="P140" s="309">
        <v>0</v>
      </c>
      <c r="Q140" s="309">
        <v>0</v>
      </c>
      <c r="R140" s="309">
        <v>0</v>
      </c>
      <c r="S140" s="309">
        <v>0</v>
      </c>
      <c r="T140" s="309">
        <v>0</v>
      </c>
      <c r="U140" s="309">
        <v>0</v>
      </c>
      <c r="V140" s="309">
        <v>0</v>
      </c>
      <c r="W140" s="309">
        <v>0</v>
      </c>
      <c r="X140" s="309">
        <v>0</v>
      </c>
      <c r="Y140" s="309">
        <v>0</v>
      </c>
      <c r="Z140" s="309">
        <v>0</v>
      </c>
      <c r="AA140" s="309">
        <v>0</v>
      </c>
      <c r="AB140" s="309">
        <v>0</v>
      </c>
      <c r="AC140" s="882"/>
      <c r="AD140" s="882"/>
      <c r="AE140" s="882"/>
      <c r="AF140" s="882"/>
      <c r="AG140" s="882"/>
      <c r="AH140" s="882"/>
      <c r="AI140" s="882"/>
      <c r="AJ140" s="882"/>
      <c r="AK140" s="882"/>
      <c r="AL140" s="882"/>
      <c r="AM140" s="882"/>
      <c r="AN140" s="882"/>
      <c r="AO140" s="882"/>
      <c r="AP140" s="882"/>
      <c r="AQ140" s="882"/>
    </row>
    <row r="141" spans="2:43" ht="3.75" hidden="1" customHeight="1" x14ac:dyDescent="0.35">
      <c r="B141" s="151"/>
      <c r="E141" s="153"/>
      <c r="F141" s="153"/>
      <c r="G141" s="161"/>
      <c r="H141" s="153"/>
      <c r="I141" s="153"/>
      <c r="J141" s="153"/>
      <c r="K141" s="153"/>
      <c r="L141" s="153"/>
      <c r="M141" s="153"/>
      <c r="N141" s="153"/>
      <c r="O141" s="153"/>
      <c r="P141" s="153"/>
      <c r="Q141" s="153"/>
      <c r="AC141" s="229"/>
      <c r="AD141" s="229"/>
      <c r="AE141" s="229"/>
      <c r="AF141" s="229"/>
      <c r="AG141" s="229"/>
      <c r="AH141" s="229"/>
      <c r="AI141" s="229"/>
      <c r="AJ141" s="229"/>
      <c r="AK141" s="229"/>
      <c r="AL141" s="229"/>
      <c r="AM141" s="229"/>
      <c r="AN141" s="229"/>
      <c r="AO141" s="229"/>
      <c r="AP141" s="229"/>
      <c r="AQ141" s="229"/>
    </row>
    <row r="142" spans="2:43" ht="13.5" hidden="1" customHeight="1" x14ac:dyDescent="0.35">
      <c r="B142" s="356" t="s">
        <v>539</v>
      </c>
      <c r="C142" s="356"/>
      <c r="D142" s="356"/>
      <c r="E142" s="906">
        <f>+_xlfn.XLOOKUP($B142,Inputs!$B:$B,Inputs!O:O)</f>
        <v>-7.5000000000000011E-2</v>
      </c>
      <c r="F142" s="906">
        <f>+_xlfn.XLOOKUP($B142,Inputs!$B:$B,Inputs!P:P)</f>
        <v>-4.7000000000000042E-2</v>
      </c>
      <c r="G142" s="905">
        <f>+_xlfn.XLOOKUP($B142,Inputs!$B:$B,Inputs!Q:Q)</f>
        <v>0.254</v>
      </c>
      <c r="H142" s="359">
        <f t="shared" ref="H142:AB142" si="226">IFERROR(AVERAGE(E142:G142)*(1+H29),"")</f>
        <v>7.0399999999999976E-2</v>
      </c>
      <c r="I142" s="359">
        <f t="shared" si="226"/>
        <v>0.14794666666666664</v>
      </c>
      <c r="J142" s="359">
        <f t="shared" si="226"/>
        <v>0.25191822222222221</v>
      </c>
      <c r="K142" s="359">
        <f t="shared" si="226"/>
        <v>0.25080794074074075</v>
      </c>
      <c r="L142" s="359">
        <f t="shared" si="226"/>
        <v>0.34702550913580249</v>
      </c>
      <c r="M142" s="359">
        <f t="shared" si="226"/>
        <v>0.42487583604938273</v>
      </c>
      <c r="N142" s="359">
        <f t="shared" si="226"/>
        <v>0.51135464296296296</v>
      </c>
      <c r="O142" s="359">
        <f t="shared" si="226"/>
        <v>0.64162799407407412</v>
      </c>
      <c r="P142" s="359">
        <f t="shared" si="226"/>
        <v>0.73633395410699587</v>
      </c>
      <c r="Q142" s="359">
        <f t="shared" si="226"/>
        <v>0.88168107586721522</v>
      </c>
      <c r="R142" s="359">
        <f t="shared" si="226"/>
        <v>1.0545000778891997</v>
      </c>
      <c r="S142" s="359">
        <f t="shared" si="226"/>
        <v>1.2471737170029249</v>
      </c>
      <c r="T142" s="359">
        <f t="shared" si="226"/>
        <v>1.3794537773290474</v>
      </c>
      <c r="U142" s="359">
        <f t="shared" si="226"/>
        <v>1.5951552812958412</v>
      </c>
      <c r="V142" s="359">
        <f t="shared" si="226"/>
        <v>1.8294392027720525</v>
      </c>
      <c r="W142" s="359">
        <f t="shared" si="226"/>
        <v>2.0817542466053411</v>
      </c>
      <c r="X142" s="359">
        <f t="shared" si="226"/>
        <v>2.386084449958402</v>
      </c>
      <c r="Y142" s="359">
        <f t="shared" si="226"/>
        <v>2.7288204230455118</v>
      </c>
      <c r="Z142" s="359">
        <f t="shared" si="226"/>
        <v>2.9986079665038563</v>
      </c>
      <c r="AA142" s="359">
        <f t="shared" si="226"/>
        <v>3.3806303497949042</v>
      </c>
      <c r="AB142" s="359">
        <f t="shared" si="226"/>
        <v>3.643223495737709</v>
      </c>
      <c r="AC142" s="199"/>
      <c r="AD142" s="199"/>
      <c r="AE142" s="199"/>
      <c r="AF142" s="199"/>
      <c r="AG142" s="199"/>
      <c r="AH142" s="199"/>
      <c r="AI142" s="199"/>
      <c r="AJ142" s="199"/>
      <c r="AK142" s="199"/>
      <c r="AL142" s="199"/>
      <c r="AM142" s="199"/>
      <c r="AN142" s="199"/>
      <c r="AO142" s="199"/>
      <c r="AP142" s="199"/>
      <c r="AQ142" s="199"/>
    </row>
    <row r="143" spans="2:43" ht="5.25" hidden="1" customHeight="1" x14ac:dyDescent="0.35">
      <c r="E143" s="310"/>
      <c r="F143" s="310"/>
      <c r="G143" s="295"/>
      <c r="H143" s="296"/>
      <c r="I143" s="296"/>
      <c r="J143" s="296"/>
      <c r="K143" s="296"/>
      <c r="L143" s="296"/>
      <c r="M143" s="296"/>
      <c r="N143" s="296"/>
      <c r="O143" s="296"/>
      <c r="P143" s="296"/>
      <c r="Q143" s="296"/>
      <c r="AC143" s="229"/>
      <c r="AD143" s="229"/>
      <c r="AE143" s="229"/>
      <c r="AF143" s="229"/>
      <c r="AG143" s="229"/>
      <c r="AH143" s="229"/>
      <c r="AI143" s="229"/>
      <c r="AJ143" s="229"/>
      <c r="AK143" s="229"/>
      <c r="AL143" s="229"/>
      <c r="AM143" s="229"/>
      <c r="AN143" s="229"/>
      <c r="AO143" s="229"/>
      <c r="AP143" s="229"/>
      <c r="AQ143" s="229"/>
    </row>
    <row r="144" spans="2:43" ht="13.5" hidden="1" customHeight="1" x14ac:dyDescent="0.35">
      <c r="B144" s="148" t="s">
        <v>300</v>
      </c>
      <c r="C144" s="148"/>
      <c r="D144" s="148"/>
      <c r="E144" s="319">
        <f>+_xlfn.XLOOKUP($B144,Inputs!$B:$B,Inputs!O:O)</f>
        <v>-0.498</v>
      </c>
      <c r="F144" s="319">
        <f>+_xlfn.XLOOKUP($B144,Inputs!$B:$B,Inputs!P:P)</f>
        <v>-0.63</v>
      </c>
      <c r="G144" s="320">
        <f>+_xlfn.XLOOKUP($B144,Inputs!$B:$B,Inputs!Q:Q)</f>
        <v>-3.141</v>
      </c>
      <c r="H144" s="324">
        <f t="shared" ref="H144:AB144" si="227">IFERROR(+H132+H140+H142,"")</f>
        <v>7.0399999999999976E-2</v>
      </c>
      <c r="I144" s="324">
        <f t="shared" si="227"/>
        <v>0.14794666666666664</v>
      </c>
      <c r="J144" s="324">
        <f t="shared" si="227"/>
        <v>0.25191822222222221</v>
      </c>
      <c r="K144" s="324">
        <f t="shared" si="227"/>
        <v>0.25080794074074075</v>
      </c>
      <c r="L144" s="324">
        <f t="shared" si="227"/>
        <v>0.34702550913580249</v>
      </c>
      <c r="M144" s="324">
        <f t="shared" si="227"/>
        <v>0.42487583604938273</v>
      </c>
      <c r="N144" s="324">
        <f t="shared" si="227"/>
        <v>0.51135464296296296</v>
      </c>
      <c r="O144" s="324">
        <f t="shared" si="227"/>
        <v>0.64162799407407412</v>
      </c>
      <c r="P144" s="324">
        <f t="shared" si="227"/>
        <v>0.73633395410699587</v>
      </c>
      <c r="Q144" s="324">
        <f t="shared" si="227"/>
        <v>0.88168107586721522</v>
      </c>
      <c r="R144" s="324">
        <f t="shared" si="227"/>
        <v>1.0545000778891997</v>
      </c>
      <c r="S144" s="324">
        <f t="shared" si="227"/>
        <v>1.2471737170029249</v>
      </c>
      <c r="T144" s="324">
        <f t="shared" si="227"/>
        <v>1.3794537773290474</v>
      </c>
      <c r="U144" s="324">
        <f t="shared" si="227"/>
        <v>1.5951552812958412</v>
      </c>
      <c r="V144" s="324">
        <f t="shared" si="227"/>
        <v>1.8294392027720525</v>
      </c>
      <c r="W144" s="324">
        <f t="shared" si="227"/>
        <v>2.0817542466053411</v>
      </c>
      <c r="X144" s="324">
        <f t="shared" si="227"/>
        <v>2.386084449958402</v>
      </c>
      <c r="Y144" s="324">
        <f t="shared" si="227"/>
        <v>2.7288204230455118</v>
      </c>
      <c r="Z144" s="324">
        <f t="shared" si="227"/>
        <v>2.9986079665038563</v>
      </c>
      <c r="AA144" s="324">
        <f t="shared" si="227"/>
        <v>3.3806303497949042</v>
      </c>
      <c r="AB144" s="324">
        <f t="shared" si="227"/>
        <v>3.643223495737709</v>
      </c>
      <c r="AC144" s="883"/>
      <c r="AD144" s="883"/>
      <c r="AE144" s="883"/>
      <c r="AF144" s="883"/>
      <c r="AG144" s="883"/>
      <c r="AH144" s="883"/>
      <c r="AI144" s="883"/>
      <c r="AJ144" s="883"/>
      <c r="AK144" s="883"/>
      <c r="AL144" s="883"/>
      <c r="AM144" s="883"/>
      <c r="AN144" s="883"/>
      <c r="AO144" s="883"/>
      <c r="AP144" s="883"/>
      <c r="AQ144" s="883"/>
    </row>
    <row r="145" spans="2:43" ht="3.75" hidden="1" customHeight="1" x14ac:dyDescent="0.35">
      <c r="E145" s="310"/>
      <c r="F145" s="310"/>
      <c r="G145" s="295"/>
      <c r="H145" s="296"/>
      <c r="I145" s="296"/>
      <c r="J145" s="296"/>
      <c r="K145" s="296"/>
      <c r="L145" s="296"/>
      <c r="M145" s="296"/>
      <c r="N145" s="296"/>
      <c r="O145" s="296"/>
      <c r="P145" s="296"/>
      <c r="Q145" s="296"/>
      <c r="AC145" s="229"/>
      <c r="AD145" s="229"/>
      <c r="AE145" s="229"/>
      <c r="AF145" s="229"/>
      <c r="AG145" s="229"/>
      <c r="AH145" s="229"/>
      <c r="AI145" s="229"/>
      <c r="AJ145" s="229"/>
      <c r="AK145" s="229"/>
      <c r="AL145" s="229"/>
      <c r="AM145" s="229"/>
      <c r="AN145" s="229"/>
      <c r="AO145" s="229"/>
      <c r="AP145" s="229"/>
      <c r="AQ145" s="229"/>
    </row>
    <row r="146" spans="2:43" ht="13.5" hidden="1" customHeight="1" x14ac:dyDescent="0.35">
      <c r="B146" s="315" t="s">
        <v>540</v>
      </c>
      <c r="C146" s="315"/>
      <c r="D146" s="315"/>
      <c r="E146" s="316">
        <f>+_xlfn.XLOOKUP($B146,Inputs!$B:$B,Inputs!O:O)</f>
        <v>0</v>
      </c>
      <c r="F146" s="316">
        <f>+_xlfn.XLOOKUP($B146,Inputs!$B:$B,Inputs!P:P)</f>
        <v>0</v>
      </c>
      <c r="G146" s="317">
        <f>+_xlfn.XLOOKUP($B146,Inputs!$B:$B,Inputs!Q:Q)</f>
        <v>0</v>
      </c>
      <c r="H146" s="315">
        <f t="shared" ref="H146:AB146" si="228">+IFERROR(H147*_xlfn.XLOOKUP("Net Income",$B:$B,$H:$H),"")</f>
        <v>0</v>
      </c>
      <c r="I146" s="315">
        <f t="shared" si="228"/>
        <v>0</v>
      </c>
      <c r="J146" s="315">
        <f t="shared" si="228"/>
        <v>0</v>
      </c>
      <c r="K146" s="315">
        <f t="shared" si="228"/>
        <v>0</v>
      </c>
      <c r="L146" s="315">
        <f t="shared" si="228"/>
        <v>0</v>
      </c>
      <c r="M146" s="315">
        <f t="shared" si="228"/>
        <v>0</v>
      </c>
      <c r="N146" s="315">
        <f t="shared" si="228"/>
        <v>0</v>
      </c>
      <c r="O146" s="315">
        <f t="shared" si="228"/>
        <v>0</v>
      </c>
      <c r="P146" s="315">
        <f t="shared" si="228"/>
        <v>0</v>
      </c>
      <c r="Q146" s="315">
        <f t="shared" si="228"/>
        <v>0</v>
      </c>
      <c r="R146" s="315">
        <f t="shared" si="228"/>
        <v>0</v>
      </c>
      <c r="S146" s="315">
        <f t="shared" si="228"/>
        <v>0</v>
      </c>
      <c r="T146" s="315">
        <f t="shared" si="228"/>
        <v>0</v>
      </c>
      <c r="U146" s="315">
        <f t="shared" si="228"/>
        <v>0</v>
      </c>
      <c r="V146" s="315">
        <f t="shared" si="228"/>
        <v>0</v>
      </c>
      <c r="W146" s="315">
        <f t="shared" si="228"/>
        <v>0</v>
      </c>
      <c r="X146" s="315">
        <f t="shared" si="228"/>
        <v>0</v>
      </c>
      <c r="Y146" s="315">
        <f t="shared" si="228"/>
        <v>0</v>
      </c>
      <c r="Z146" s="315">
        <f t="shared" si="228"/>
        <v>0</v>
      </c>
      <c r="AA146" s="315">
        <f t="shared" si="228"/>
        <v>0</v>
      </c>
      <c r="AB146" s="315">
        <f t="shared" si="228"/>
        <v>0</v>
      </c>
      <c r="AC146" s="229"/>
      <c r="AD146" s="229"/>
      <c r="AE146" s="229"/>
      <c r="AF146" s="229"/>
      <c r="AG146" s="229"/>
      <c r="AH146" s="229"/>
      <c r="AI146" s="229"/>
      <c r="AJ146" s="229"/>
      <c r="AK146" s="229"/>
      <c r="AL146" s="229"/>
      <c r="AM146" s="229"/>
      <c r="AN146" s="229"/>
      <c r="AO146" s="229"/>
      <c r="AP146" s="229"/>
      <c r="AQ146" s="229"/>
    </row>
    <row r="147" spans="2:43" ht="13.5" hidden="1" customHeight="1" x14ac:dyDescent="0.35">
      <c r="B147" s="253" t="s">
        <v>541</v>
      </c>
      <c r="E147" s="311">
        <f>IFERROR(-E146/E$79,"")</f>
        <v>0</v>
      </c>
      <c r="F147" s="311">
        <f>IFERROR(-F146/F$79,"")</f>
        <v>0</v>
      </c>
      <c r="G147" s="312">
        <f>IFERROR(-G146/G$79,"")</f>
        <v>0</v>
      </c>
      <c r="H147" s="313"/>
      <c r="I147" s="313"/>
      <c r="J147" s="313"/>
      <c r="K147" s="313"/>
      <c r="L147" s="313"/>
      <c r="M147" s="313"/>
      <c r="N147" s="313"/>
      <c r="O147" s="313"/>
      <c r="P147" s="313"/>
      <c r="Q147" s="313"/>
      <c r="R147" s="313"/>
      <c r="S147" s="313"/>
      <c r="T147" s="313"/>
      <c r="U147" s="313"/>
      <c r="V147" s="313"/>
      <c r="W147" s="313"/>
      <c r="X147" s="313"/>
      <c r="Y147" s="313"/>
      <c r="Z147" s="313"/>
      <c r="AA147" s="313"/>
      <c r="AB147" s="313"/>
      <c r="AC147" s="884"/>
      <c r="AD147" s="884"/>
      <c r="AE147" s="884"/>
      <c r="AF147" s="884"/>
      <c r="AG147" s="884"/>
      <c r="AH147" s="884"/>
      <c r="AI147" s="884"/>
      <c r="AJ147" s="884"/>
      <c r="AK147" s="884"/>
      <c r="AL147" s="884"/>
      <c r="AM147" s="884"/>
      <c r="AN147" s="884"/>
      <c r="AO147" s="884"/>
      <c r="AP147" s="884"/>
      <c r="AQ147" s="884"/>
    </row>
    <row r="148" spans="2:43" ht="3.75" hidden="1" customHeight="1" x14ac:dyDescent="0.35">
      <c r="E148" s="310"/>
      <c r="F148" s="310"/>
      <c r="G148" s="295"/>
      <c r="H148" s="296"/>
      <c r="I148" s="296"/>
      <c r="J148" s="296"/>
      <c r="K148" s="296"/>
      <c r="L148" s="296"/>
      <c r="M148" s="296"/>
      <c r="N148" s="296"/>
      <c r="O148" s="296"/>
      <c r="P148" s="296"/>
      <c r="Q148" s="296"/>
      <c r="AC148" s="229"/>
      <c r="AD148" s="229"/>
      <c r="AE148" s="229"/>
      <c r="AF148" s="229"/>
      <c r="AG148" s="229"/>
      <c r="AH148" s="229"/>
      <c r="AI148" s="229"/>
      <c r="AJ148" s="229"/>
      <c r="AK148" s="229"/>
      <c r="AL148" s="229"/>
      <c r="AM148" s="229"/>
      <c r="AN148" s="229"/>
      <c r="AO148" s="229"/>
      <c r="AP148" s="229"/>
      <c r="AQ148" s="229"/>
    </row>
    <row r="149" spans="2:43" ht="13.5" hidden="1" customHeight="1" x14ac:dyDescent="0.35">
      <c r="B149" s="127" t="s">
        <v>542</v>
      </c>
      <c r="E149" s="268">
        <f>+_xlfn.XLOOKUP($B149,Inputs!$B:$B,Inputs!O:O)</f>
        <v>40</v>
      </c>
      <c r="F149" s="268">
        <f>+_xlfn.XLOOKUP($B149,Inputs!$B:$B,Inputs!P:P)</f>
        <v>63.676000000000002</v>
      </c>
      <c r="G149" s="269">
        <f>+_xlfn.XLOOKUP($B149,Inputs!$B:$B,Inputs!Q:Q)</f>
        <v>214.191</v>
      </c>
      <c r="H149" s="167">
        <f t="shared" ref="H149:AB149" si="229">IFERROR(-H150*_xlfn.XLOOKUP("Net Income",$B:$B,H:H),"")</f>
        <v>0</v>
      </c>
      <c r="I149" s="167">
        <f t="shared" si="229"/>
        <v>0</v>
      </c>
      <c r="J149" s="167">
        <f t="shared" si="229"/>
        <v>0</v>
      </c>
      <c r="K149" s="167">
        <f t="shared" si="229"/>
        <v>0</v>
      </c>
      <c r="L149" s="167">
        <f t="shared" si="229"/>
        <v>0</v>
      </c>
      <c r="M149" s="167">
        <f t="shared" si="229"/>
        <v>0</v>
      </c>
      <c r="N149" s="167">
        <f t="shared" si="229"/>
        <v>0</v>
      </c>
      <c r="O149" s="167">
        <f t="shared" si="229"/>
        <v>0</v>
      </c>
      <c r="P149" s="167">
        <f t="shared" si="229"/>
        <v>0</v>
      </c>
      <c r="Q149" s="167">
        <f t="shared" si="229"/>
        <v>0</v>
      </c>
      <c r="R149" s="167">
        <f t="shared" si="229"/>
        <v>0</v>
      </c>
      <c r="S149" s="167">
        <f t="shared" si="229"/>
        <v>0</v>
      </c>
      <c r="T149" s="167">
        <f t="shared" si="229"/>
        <v>0</v>
      </c>
      <c r="U149" s="167">
        <f t="shared" si="229"/>
        <v>0</v>
      </c>
      <c r="V149" s="167">
        <f t="shared" si="229"/>
        <v>0</v>
      </c>
      <c r="W149" s="167">
        <f t="shared" si="229"/>
        <v>0</v>
      </c>
      <c r="X149" s="167">
        <f t="shared" si="229"/>
        <v>0</v>
      </c>
      <c r="Y149" s="167">
        <f t="shared" si="229"/>
        <v>0</v>
      </c>
      <c r="Z149" s="167">
        <f t="shared" si="229"/>
        <v>0</v>
      </c>
      <c r="AA149" s="167">
        <f t="shared" si="229"/>
        <v>0</v>
      </c>
      <c r="AB149" s="167">
        <f t="shared" si="229"/>
        <v>0</v>
      </c>
      <c r="AC149" s="199"/>
      <c r="AD149" s="199"/>
      <c r="AE149" s="199"/>
      <c r="AF149" s="199"/>
      <c r="AG149" s="199"/>
      <c r="AH149" s="199"/>
      <c r="AI149" s="199"/>
      <c r="AJ149" s="199"/>
      <c r="AK149" s="199"/>
      <c r="AL149" s="199"/>
      <c r="AM149" s="199"/>
      <c r="AN149" s="199"/>
      <c r="AO149" s="199"/>
      <c r="AP149" s="199"/>
      <c r="AQ149" s="199"/>
    </row>
    <row r="150" spans="2:43" ht="13.5" hidden="1" customHeight="1" x14ac:dyDescent="0.35">
      <c r="B150" s="253" t="s">
        <v>543</v>
      </c>
      <c r="E150" s="311">
        <f>IFERROR(-E149/E$79,"")</f>
        <v>0.74485121596961013</v>
      </c>
      <c r="F150" s="311">
        <f>IFERROR(-F149/F$79,"")</f>
        <v>0.76982409478329206</v>
      </c>
      <c r="G150" s="312">
        <f>IFERROR(-G149/G$79,"")</f>
        <v>1.4886884117904629</v>
      </c>
      <c r="H150" s="313"/>
      <c r="I150" s="313"/>
      <c r="J150" s="313"/>
      <c r="K150" s="313"/>
      <c r="L150" s="313"/>
      <c r="M150" s="313"/>
      <c r="N150" s="313"/>
      <c r="O150" s="313"/>
      <c r="P150" s="313"/>
      <c r="Q150" s="313"/>
      <c r="R150" s="313"/>
      <c r="S150" s="313"/>
      <c r="T150" s="313"/>
      <c r="U150" s="313"/>
      <c r="V150" s="313"/>
      <c r="W150" s="313"/>
      <c r="X150" s="313"/>
      <c r="Y150" s="313"/>
      <c r="Z150" s="313"/>
      <c r="AA150" s="313"/>
      <c r="AB150" s="313"/>
      <c r="AC150" s="884"/>
      <c r="AD150" s="884"/>
      <c r="AE150" s="884"/>
      <c r="AF150" s="884"/>
      <c r="AG150" s="884"/>
      <c r="AH150" s="884"/>
      <c r="AI150" s="884"/>
      <c r="AJ150" s="884"/>
      <c r="AK150" s="884"/>
      <c r="AL150" s="884"/>
      <c r="AM150" s="884"/>
      <c r="AN150" s="884"/>
      <c r="AO150" s="884"/>
      <c r="AP150" s="884"/>
      <c r="AQ150" s="884"/>
    </row>
    <row r="151" spans="2:43" ht="3.75" hidden="1" customHeight="1" x14ac:dyDescent="0.35">
      <c r="E151" s="310"/>
      <c r="F151" s="310"/>
      <c r="G151" s="295"/>
      <c r="H151" s="296"/>
      <c r="I151" s="296"/>
      <c r="J151" s="296"/>
      <c r="K151" s="296"/>
      <c r="L151" s="296"/>
      <c r="M151" s="296"/>
      <c r="N151" s="296"/>
      <c r="O151" s="296"/>
      <c r="P151" s="296"/>
      <c r="Q151" s="296"/>
      <c r="AC151" s="229"/>
      <c r="AD151" s="229"/>
      <c r="AE151" s="229"/>
      <c r="AF151" s="229"/>
      <c r="AG151" s="229"/>
      <c r="AH151" s="229"/>
      <c r="AI151" s="229"/>
      <c r="AJ151" s="229"/>
      <c r="AK151" s="229"/>
      <c r="AL151" s="229"/>
      <c r="AM151" s="229"/>
      <c r="AN151" s="229"/>
      <c r="AO151" s="229"/>
      <c r="AP151" s="229"/>
      <c r="AQ151" s="229"/>
    </row>
    <row r="152" spans="2:43" ht="15.5" hidden="1" x14ac:dyDescent="0.35">
      <c r="B152" s="127" t="s">
        <v>544</v>
      </c>
      <c r="E152" s="268">
        <f>+_xlfn.XLOOKUP($B152,Inputs!$B:$B,Inputs!O:O)</f>
        <v>0</v>
      </c>
      <c r="F152" s="268">
        <f>+_xlfn.XLOOKUP($B152,Inputs!$B:$B,Inputs!P:P)</f>
        <v>0</v>
      </c>
      <c r="G152" s="269">
        <f>+_xlfn.XLOOKUP($B152,Inputs!$B:$B,Inputs!Q:Q)</f>
        <v>0</v>
      </c>
      <c r="H152" s="167">
        <f t="shared" ref="H152:AB152" si="230">+IFERROR(H153*H99,"")</f>
        <v>0</v>
      </c>
      <c r="I152" s="167">
        <f t="shared" si="230"/>
        <v>0</v>
      </c>
      <c r="J152" s="167">
        <f t="shared" si="230"/>
        <v>0</v>
      </c>
      <c r="K152" s="167">
        <f t="shared" si="230"/>
        <v>0</v>
      </c>
      <c r="L152" s="167">
        <f t="shared" si="230"/>
        <v>0</v>
      </c>
      <c r="M152" s="167">
        <f t="shared" si="230"/>
        <v>0</v>
      </c>
      <c r="N152" s="167">
        <f t="shared" si="230"/>
        <v>0</v>
      </c>
      <c r="O152" s="167">
        <f t="shared" si="230"/>
        <v>0</v>
      </c>
      <c r="P152" s="167">
        <f t="shared" si="230"/>
        <v>0</v>
      </c>
      <c r="Q152" s="167">
        <f t="shared" si="230"/>
        <v>0</v>
      </c>
      <c r="R152" s="167">
        <f t="shared" si="230"/>
        <v>0</v>
      </c>
      <c r="S152" s="167">
        <f t="shared" si="230"/>
        <v>0</v>
      </c>
      <c r="T152" s="167">
        <f t="shared" si="230"/>
        <v>0</v>
      </c>
      <c r="U152" s="167">
        <f t="shared" si="230"/>
        <v>0</v>
      </c>
      <c r="V152" s="167">
        <f t="shared" si="230"/>
        <v>0</v>
      </c>
      <c r="W152" s="167">
        <f t="shared" si="230"/>
        <v>0</v>
      </c>
      <c r="X152" s="167">
        <f t="shared" si="230"/>
        <v>0</v>
      </c>
      <c r="Y152" s="167">
        <f t="shared" si="230"/>
        <v>0</v>
      </c>
      <c r="Z152" s="167">
        <f t="shared" si="230"/>
        <v>0</v>
      </c>
      <c r="AA152" s="167">
        <f t="shared" si="230"/>
        <v>0</v>
      </c>
      <c r="AB152" s="167">
        <f t="shared" si="230"/>
        <v>0</v>
      </c>
      <c r="AC152" s="199"/>
      <c r="AD152" s="199"/>
      <c r="AE152" s="199"/>
      <c r="AF152" s="199"/>
      <c r="AG152" s="199"/>
      <c r="AH152" s="199"/>
      <c r="AI152" s="199"/>
      <c r="AJ152" s="199"/>
      <c r="AK152" s="199"/>
      <c r="AL152" s="199"/>
      <c r="AM152" s="199"/>
      <c r="AN152" s="199"/>
      <c r="AO152" s="199"/>
      <c r="AP152" s="199"/>
      <c r="AQ152" s="199"/>
    </row>
    <row r="153" spans="2:43" ht="15.5" hidden="1" x14ac:dyDescent="0.35">
      <c r="B153" s="253" t="s">
        <v>545</v>
      </c>
      <c r="E153" s="255">
        <f>IFERROR(E152/E99,"")</f>
        <v>0</v>
      </c>
      <c r="F153" s="255">
        <f>IFERROR(F152/F99,"")</f>
        <v>0</v>
      </c>
      <c r="G153" s="259">
        <f>IFERROR(G152/G99,"")</f>
        <v>0</v>
      </c>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876"/>
      <c r="AD153" s="876"/>
      <c r="AE153" s="876"/>
      <c r="AF153" s="876"/>
      <c r="AG153" s="876"/>
      <c r="AH153" s="876"/>
      <c r="AI153" s="876"/>
      <c r="AJ153" s="876"/>
      <c r="AK153" s="876"/>
      <c r="AL153" s="876"/>
      <c r="AM153" s="876"/>
      <c r="AN153" s="876"/>
      <c r="AO153" s="876"/>
      <c r="AP153" s="876"/>
      <c r="AQ153" s="876"/>
    </row>
    <row r="154" spans="2:43" ht="3.75" hidden="1" customHeight="1" x14ac:dyDescent="0.35">
      <c r="B154" s="253"/>
      <c r="E154" s="255"/>
      <c r="F154" s="255"/>
      <c r="G154" s="259"/>
      <c r="H154" s="308"/>
      <c r="I154" s="308"/>
      <c r="J154" s="308"/>
      <c r="K154" s="308"/>
      <c r="L154" s="308"/>
      <c r="M154" s="308"/>
      <c r="N154" s="308"/>
      <c r="O154" s="308"/>
      <c r="P154" s="308"/>
      <c r="Q154" s="308"/>
      <c r="AC154" s="229"/>
      <c r="AD154" s="229"/>
      <c r="AE154" s="229"/>
      <c r="AF154" s="229"/>
      <c r="AG154" s="229"/>
      <c r="AH154" s="229"/>
      <c r="AI154" s="229"/>
      <c r="AJ154" s="229"/>
      <c r="AK154" s="229"/>
      <c r="AL154" s="229"/>
      <c r="AM154" s="229"/>
      <c r="AN154" s="229"/>
      <c r="AO154" s="229"/>
      <c r="AP154" s="229"/>
      <c r="AQ154" s="229"/>
    </row>
    <row r="155" spans="2:43" ht="15.5" hidden="1" x14ac:dyDescent="0.35">
      <c r="B155" s="127" t="s">
        <v>301</v>
      </c>
      <c r="E155" s="149">
        <f>+_xlfn.XLOOKUP($B155,Inputs!$B:$B,Inputs!O:O)</f>
        <v>23.158999999999999</v>
      </c>
      <c r="F155" s="149">
        <f>+_xlfn.XLOOKUP($B155,Inputs!$B:$B,Inputs!P:P)</f>
        <v>32.003</v>
      </c>
      <c r="G155" s="246">
        <f>+_xlfn.XLOOKUP($B155,Inputs!$B:$B,Inputs!Q:Q)</f>
        <v>0</v>
      </c>
      <c r="H155" s="296">
        <f>IFERROR(MAX(0,-G243),"")</f>
        <v>77.448999999999998</v>
      </c>
      <c r="I155" s="296">
        <f t="shared" ref="I155:Q155" si="231">IFERROR(MAX(0,-H243),"")</f>
        <v>19.642916990124206</v>
      </c>
      <c r="J155" s="296">
        <f t="shared" si="231"/>
        <v>110.63418683630465</v>
      </c>
      <c r="K155" s="296">
        <f t="shared" si="231"/>
        <v>71.096394741748156</v>
      </c>
      <c r="L155" s="296">
        <f t="shared" si="231"/>
        <v>155.89612053362401</v>
      </c>
      <c r="M155" s="296">
        <f t="shared" si="231"/>
        <v>124.54688132978765</v>
      </c>
      <c r="N155" s="296">
        <f t="shared" si="231"/>
        <v>214.02445016475394</v>
      </c>
      <c r="O155" s="296">
        <f t="shared" si="231"/>
        <v>137.08090207681522</v>
      </c>
      <c r="P155" s="296">
        <f t="shared" si="231"/>
        <v>213.85240632700589</v>
      </c>
      <c r="Q155" s="296">
        <f t="shared" si="231"/>
        <v>112.17340674391193</v>
      </c>
      <c r="R155" s="296">
        <f t="shared" ref="R155" si="232">IFERROR(MAX(0,-Q243),"")</f>
        <v>176.53690099649185</v>
      </c>
      <c r="S155" s="296">
        <f t="shared" ref="S155" si="233">IFERROR(MAX(0,-R243),"")</f>
        <v>40.764259116976234</v>
      </c>
      <c r="T155" s="296">
        <f t="shared" ref="T155" si="234">IFERROR(MAX(0,-S243),"")</f>
        <v>62.357988486879677</v>
      </c>
      <c r="U155" s="296">
        <f t="shared" ref="U155" si="235">IFERROR(MAX(0,-T243),"")</f>
        <v>0</v>
      </c>
      <c r="V155" s="296">
        <f t="shared" ref="V155" si="236">IFERROR(MAX(0,-U243),"")</f>
        <v>0</v>
      </c>
      <c r="W155" s="296">
        <f t="shared" ref="W155" si="237">IFERROR(MAX(0,-V243),"")</f>
        <v>0</v>
      </c>
      <c r="X155" s="296">
        <f t="shared" ref="X155" si="238">IFERROR(MAX(0,-W243),"")</f>
        <v>0</v>
      </c>
      <c r="Y155" s="296">
        <f t="shared" ref="Y155" si="239">IFERROR(MAX(0,-X243),"")</f>
        <v>0</v>
      </c>
      <c r="Z155" s="296">
        <f t="shared" ref="Z155" si="240">IFERROR(MAX(0,-Y243),"")</f>
        <v>0</v>
      </c>
      <c r="AA155" s="296">
        <f t="shared" ref="AA155" si="241">IFERROR(MAX(0,-Z243),"")</f>
        <v>0</v>
      </c>
      <c r="AB155" s="296">
        <f t="shared" ref="AB155" si="242">IFERROR(MAX(0,-AA243),"")</f>
        <v>0</v>
      </c>
      <c r="AC155" s="875"/>
      <c r="AD155" s="875"/>
      <c r="AE155" s="875"/>
      <c r="AF155" s="875"/>
      <c r="AG155" s="875"/>
      <c r="AH155" s="875"/>
      <c r="AI155" s="875"/>
      <c r="AJ155" s="875"/>
      <c r="AK155" s="875"/>
      <c r="AL155" s="875"/>
      <c r="AM155" s="875"/>
      <c r="AN155" s="875"/>
      <c r="AO155" s="875"/>
      <c r="AP155" s="875"/>
      <c r="AQ155" s="875"/>
    </row>
    <row r="156" spans="2:43" ht="3.75" hidden="1" customHeight="1" x14ac:dyDescent="0.35">
      <c r="B156" s="253"/>
      <c r="E156" s="255"/>
      <c r="F156" s="255"/>
      <c r="G156" s="259"/>
      <c r="H156" s="308"/>
      <c r="I156" s="308"/>
      <c r="J156" s="308"/>
      <c r="K156" s="308"/>
      <c r="L156" s="308"/>
      <c r="M156" s="308"/>
      <c r="N156" s="308"/>
      <c r="O156" s="308"/>
      <c r="P156" s="308"/>
      <c r="Q156" s="308"/>
      <c r="AC156" s="229"/>
      <c r="AD156" s="229"/>
      <c r="AE156" s="229"/>
      <c r="AF156" s="229"/>
      <c r="AG156" s="229"/>
      <c r="AH156" s="229"/>
      <c r="AI156" s="229"/>
      <c r="AJ156" s="229"/>
      <c r="AK156" s="229"/>
      <c r="AL156" s="229"/>
      <c r="AM156" s="229"/>
      <c r="AN156" s="229"/>
      <c r="AO156" s="229"/>
      <c r="AP156" s="229"/>
      <c r="AQ156" s="229"/>
    </row>
    <row r="157" spans="2:43" ht="15.5" hidden="1" x14ac:dyDescent="0.35">
      <c r="B157" s="127" t="s">
        <v>302</v>
      </c>
      <c r="E157" s="149">
        <f>+_xlfn.XLOOKUP($B157,Inputs!$B:$B,Inputs!O:O)</f>
        <v>-21.510999999999999</v>
      </c>
      <c r="F157" s="149">
        <f>+_xlfn.XLOOKUP($B157,Inputs!$B:$B,Inputs!P:P)</f>
        <v>-1.885</v>
      </c>
      <c r="G157" s="246">
        <f>+_xlfn.XLOOKUP($B157,Inputs!$B:$B,Inputs!Q:Q)</f>
        <v>-30.37</v>
      </c>
      <c r="H157" s="296">
        <f>IFERROR(MAX(0,H158*G243),"")</f>
        <v>0</v>
      </c>
      <c r="I157" s="296">
        <f t="shared" ref="I157:Q157" si="243">IFERROR(MAX(0,I158*H243),"")</f>
        <v>0</v>
      </c>
      <c r="J157" s="296">
        <f t="shared" si="243"/>
        <v>0</v>
      </c>
      <c r="K157" s="296">
        <f t="shared" si="243"/>
        <v>0</v>
      </c>
      <c r="L157" s="296">
        <f t="shared" si="243"/>
        <v>0</v>
      </c>
      <c r="M157" s="296">
        <f t="shared" si="243"/>
        <v>0</v>
      </c>
      <c r="N157" s="296">
        <f t="shared" si="243"/>
        <v>0</v>
      </c>
      <c r="O157" s="296">
        <f t="shared" si="243"/>
        <v>0</v>
      </c>
      <c r="P157" s="296">
        <f t="shared" si="243"/>
        <v>0</v>
      </c>
      <c r="Q157" s="296">
        <f t="shared" si="243"/>
        <v>0</v>
      </c>
      <c r="R157" s="296">
        <f t="shared" ref="R157" si="244">IFERROR(MAX(0,R158*Q243),"")</f>
        <v>0</v>
      </c>
      <c r="S157" s="296">
        <f t="shared" ref="S157" si="245">IFERROR(MAX(0,S158*R243),"")</f>
        <v>0</v>
      </c>
      <c r="T157" s="296">
        <f t="shared" ref="T157" si="246">IFERROR(MAX(0,T158*S243),"")</f>
        <v>0</v>
      </c>
      <c r="U157" s="296">
        <f t="shared" ref="U157" si="247">IFERROR(MAX(0,U158*T243),"")</f>
        <v>0</v>
      </c>
      <c r="V157" s="296">
        <f t="shared" ref="V157" si="248">IFERROR(MAX(0,V158*U243),"")</f>
        <v>0</v>
      </c>
      <c r="W157" s="296">
        <f t="shared" ref="W157" si="249">IFERROR(MAX(0,W158*V243),"")</f>
        <v>0</v>
      </c>
      <c r="X157" s="296">
        <f t="shared" ref="X157" si="250">IFERROR(MAX(0,X158*W243),"")</f>
        <v>0</v>
      </c>
      <c r="Y157" s="296">
        <f t="shared" ref="Y157" si="251">IFERROR(MAX(0,Y158*X243),"")</f>
        <v>0</v>
      </c>
      <c r="Z157" s="296">
        <f t="shared" ref="Z157" si="252">IFERROR(MAX(0,Z158*Y243),"")</f>
        <v>0</v>
      </c>
      <c r="AA157" s="296">
        <f t="shared" ref="AA157" si="253">IFERROR(MAX(0,AA158*Z243),"")</f>
        <v>0</v>
      </c>
      <c r="AB157" s="296">
        <f t="shared" ref="AB157" si="254">IFERROR(MAX(0,AB158*AA243),"")</f>
        <v>0</v>
      </c>
      <c r="AC157" s="875"/>
      <c r="AD157" s="875"/>
      <c r="AE157" s="875"/>
      <c r="AF157" s="875"/>
      <c r="AG157" s="875"/>
      <c r="AH157" s="875"/>
      <c r="AI157" s="875"/>
      <c r="AJ157" s="875"/>
      <c r="AK157" s="875"/>
      <c r="AL157" s="875"/>
      <c r="AM157" s="875"/>
      <c r="AN157" s="875"/>
      <c r="AO157" s="875"/>
      <c r="AP157" s="875"/>
      <c r="AQ157" s="875"/>
    </row>
    <row r="158" spans="2:43" ht="15.5" hidden="1" x14ac:dyDescent="0.35">
      <c r="B158" s="253" t="s">
        <v>546</v>
      </c>
      <c r="E158" s="271">
        <f>IFERROR(E157/E243,"")</f>
        <v>-4.2478278041074251</v>
      </c>
      <c r="F158" s="271">
        <f t="shared" ref="F158:G158" si="255">IFERROR(F157/F243,"")</f>
        <v>6.6504374823595808E-2</v>
      </c>
      <c r="G158" s="259">
        <f t="shared" si="255"/>
        <v>0.39212901393174865</v>
      </c>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876"/>
      <c r="AD158" s="876"/>
      <c r="AE158" s="876"/>
      <c r="AF158" s="876"/>
      <c r="AG158" s="876"/>
      <c r="AH158" s="876"/>
      <c r="AI158" s="876"/>
      <c r="AJ158" s="876"/>
      <c r="AK158" s="876"/>
      <c r="AL158" s="876"/>
      <c r="AM158" s="876"/>
      <c r="AN158" s="876"/>
      <c r="AO158" s="876"/>
      <c r="AP158" s="876"/>
      <c r="AQ158" s="876"/>
    </row>
    <row r="159" spans="2:43" ht="3.75" hidden="1" customHeight="1" x14ac:dyDescent="0.35">
      <c r="B159" s="253"/>
      <c r="E159" s="271"/>
      <c r="F159" s="271"/>
      <c r="G159" s="259"/>
      <c r="H159" s="308"/>
      <c r="I159" s="308"/>
      <c r="J159" s="308"/>
      <c r="K159" s="308"/>
      <c r="L159" s="308"/>
      <c r="M159" s="308"/>
      <c r="N159" s="308"/>
      <c r="O159" s="308"/>
      <c r="P159" s="308"/>
      <c r="Q159" s="308"/>
      <c r="AC159" s="229"/>
      <c r="AD159" s="229"/>
      <c r="AE159" s="229"/>
      <c r="AF159" s="229"/>
      <c r="AG159" s="229"/>
      <c r="AH159" s="229"/>
      <c r="AI159" s="229"/>
      <c r="AJ159" s="229"/>
      <c r="AK159" s="229"/>
      <c r="AL159" s="229"/>
      <c r="AM159" s="229"/>
      <c r="AN159" s="229"/>
      <c r="AO159" s="229"/>
      <c r="AP159" s="229"/>
      <c r="AQ159" s="229"/>
    </row>
    <row r="160" spans="2:43" ht="15.5" hidden="1" x14ac:dyDescent="0.35">
      <c r="B160" s="356" t="s">
        <v>547</v>
      </c>
      <c r="C160" s="356"/>
      <c r="D160" s="356"/>
      <c r="E160" s="357">
        <f>+_xlfn.XLOOKUP($B160,Inputs!$B:$B,Inputs!O:O)</f>
        <v>1.6170000000000044</v>
      </c>
      <c r="F160" s="357">
        <f>+_xlfn.XLOOKUP($B160,Inputs!$B:$B,Inputs!P:P)</f>
        <v>1.8419999999999987</v>
      </c>
      <c r="G160" s="358">
        <f>+_xlfn.XLOOKUP($B160,Inputs!$B:$B,Inputs!Q:Q)</f>
        <v>-1.3710000000000093</v>
      </c>
      <c r="H160" s="360">
        <f t="shared" ref="H160:AB160" si="256">IFERROR(AVERAGE(E160:G160)*(1+H29),"")</f>
        <v>1.1135999999999968</v>
      </c>
      <c r="I160" s="360">
        <f t="shared" si="256"/>
        <v>0.84511999999999277</v>
      </c>
      <c r="J160" s="360">
        <f t="shared" si="256"/>
        <v>0.31345066666665616</v>
      </c>
      <c r="K160" s="360">
        <f t="shared" si="256"/>
        <v>1.2118243555555446</v>
      </c>
      <c r="L160" s="360">
        <f t="shared" si="256"/>
        <v>1.264210678518503</v>
      </c>
      <c r="M160" s="360">
        <f t="shared" si="256"/>
        <v>1.3947428503703518</v>
      </c>
      <c r="N160" s="360">
        <f t="shared" si="256"/>
        <v>1.9353889422221995</v>
      </c>
      <c r="O160" s="360">
        <f t="shared" si="256"/>
        <v>2.2971712355555272</v>
      </c>
      <c r="P160" s="360">
        <f t="shared" si="256"/>
        <v>2.6260747464691034</v>
      </c>
      <c r="Q160" s="360">
        <f t="shared" si="256"/>
        <v>3.2006962979818536</v>
      </c>
      <c r="R160" s="360">
        <f t="shared" si="256"/>
        <v>3.7911730640030257</v>
      </c>
      <c r="S160" s="360">
        <f t="shared" si="256"/>
        <v>4.4883739172785253</v>
      </c>
      <c r="T160" s="360">
        <f t="shared" si="256"/>
        <v>4.974772087680809</v>
      </c>
      <c r="U160" s="360">
        <f t="shared" si="256"/>
        <v>5.7435382632170233</v>
      </c>
      <c r="V160" s="360">
        <f t="shared" si="256"/>
        <v>6.5895631828764216</v>
      </c>
      <c r="W160" s="360">
        <f t="shared" si="256"/>
        <v>7.5000785313021785</v>
      </c>
      <c r="X160" s="360">
        <f t="shared" si="256"/>
        <v>8.5943779902047712</v>
      </c>
      <c r="Y160" s="360">
        <f t="shared" si="256"/>
        <v>9.8297418718994631</v>
      </c>
      <c r="Z160" s="360">
        <f t="shared" si="256"/>
        <v>10.801749330586006</v>
      </c>
      <c r="AA160" s="360">
        <f t="shared" si="256"/>
        <v>12.177445496954267</v>
      </c>
      <c r="AB160" s="360">
        <f t="shared" si="256"/>
        <v>13.123574679775896</v>
      </c>
      <c r="AC160" s="875"/>
      <c r="AD160" s="875"/>
      <c r="AE160" s="875"/>
      <c r="AF160" s="875"/>
      <c r="AG160" s="875"/>
      <c r="AH160" s="875"/>
      <c r="AI160" s="875"/>
      <c r="AJ160" s="875"/>
      <c r="AK160" s="875"/>
      <c r="AL160" s="875"/>
      <c r="AM160" s="875"/>
      <c r="AN160" s="875"/>
      <c r="AO160" s="875"/>
      <c r="AP160" s="875"/>
      <c r="AQ160" s="875"/>
    </row>
    <row r="161" spans="1:43" ht="5.25" hidden="1" customHeight="1" x14ac:dyDescent="0.35">
      <c r="E161" s="314"/>
      <c r="F161" s="314"/>
      <c r="G161" s="246"/>
      <c r="H161" s="296"/>
      <c r="I161" s="296"/>
      <c r="J161" s="296"/>
      <c r="K161" s="296"/>
      <c r="L161" s="296"/>
      <c r="M161" s="296"/>
      <c r="N161" s="296"/>
      <c r="O161" s="296"/>
      <c r="P161" s="296"/>
      <c r="Q161" s="296"/>
      <c r="AC161" s="229"/>
      <c r="AD161" s="229"/>
      <c r="AE161" s="229"/>
      <c r="AF161" s="229"/>
      <c r="AG161" s="229"/>
      <c r="AH161" s="229"/>
      <c r="AI161" s="229"/>
      <c r="AJ161" s="229"/>
      <c r="AK161" s="229"/>
      <c r="AL161" s="229"/>
      <c r="AM161" s="229"/>
      <c r="AN161" s="229"/>
      <c r="AO161" s="229"/>
      <c r="AP161" s="229"/>
      <c r="AQ161" s="229"/>
    </row>
    <row r="162" spans="1:43" ht="15.5" hidden="1" x14ac:dyDescent="0.35">
      <c r="B162" s="148" t="s">
        <v>303</v>
      </c>
      <c r="C162" s="148"/>
      <c r="D162" s="148"/>
      <c r="E162" s="319">
        <f>+_xlfn.XLOOKUP($B162,Inputs!$B:$B,Inputs!O:O)</f>
        <v>43.265000000000001</v>
      </c>
      <c r="F162" s="319">
        <f>+_xlfn.XLOOKUP($B162,Inputs!$B:$B,Inputs!P:P)</f>
        <v>95.635999999999996</v>
      </c>
      <c r="G162" s="320">
        <f>+_xlfn.XLOOKUP($B162,Inputs!$B:$B,Inputs!Q:Q)</f>
        <v>182.45</v>
      </c>
      <c r="H162" s="324">
        <f>IFERROR(+H146+H149+H152+H155+H157+H160,"")</f>
        <v>78.562599999999989</v>
      </c>
      <c r="I162" s="324">
        <f t="shared" ref="I162:AB162" si="257">IFERROR(+I146+I149+I152+I155+I157+I160,"")</f>
        <v>20.488036990124201</v>
      </c>
      <c r="J162" s="324">
        <f t="shared" si="257"/>
        <v>110.9476375029713</v>
      </c>
      <c r="K162" s="324">
        <f t="shared" si="257"/>
        <v>72.308219097303706</v>
      </c>
      <c r="L162" s="324">
        <f t="shared" si="257"/>
        <v>157.16033121214252</v>
      </c>
      <c r="M162" s="324">
        <f t="shared" si="257"/>
        <v>125.941624180158</v>
      </c>
      <c r="N162" s="324">
        <f t="shared" si="257"/>
        <v>215.95983910697615</v>
      </c>
      <c r="O162" s="324">
        <f t="shared" si="257"/>
        <v>139.37807331237076</v>
      </c>
      <c r="P162" s="324">
        <f t="shared" si="257"/>
        <v>216.478481073475</v>
      </c>
      <c r="Q162" s="324">
        <f t="shared" si="257"/>
        <v>115.37410304189378</v>
      </c>
      <c r="R162" s="324">
        <f t="shared" si="257"/>
        <v>180.32807406049488</v>
      </c>
      <c r="S162" s="324">
        <f t="shared" si="257"/>
        <v>45.252633034254757</v>
      </c>
      <c r="T162" s="324">
        <f t="shared" si="257"/>
        <v>67.332760574560481</v>
      </c>
      <c r="U162" s="324">
        <f t="shared" si="257"/>
        <v>5.7435382632170233</v>
      </c>
      <c r="V162" s="324">
        <f t="shared" si="257"/>
        <v>6.5895631828764216</v>
      </c>
      <c r="W162" s="324">
        <f t="shared" si="257"/>
        <v>7.5000785313021785</v>
      </c>
      <c r="X162" s="324">
        <f t="shared" si="257"/>
        <v>8.5943779902047712</v>
      </c>
      <c r="Y162" s="324">
        <f t="shared" si="257"/>
        <v>9.8297418718994631</v>
      </c>
      <c r="Z162" s="324">
        <f t="shared" si="257"/>
        <v>10.801749330586006</v>
      </c>
      <c r="AA162" s="324">
        <f t="shared" si="257"/>
        <v>12.177445496954267</v>
      </c>
      <c r="AB162" s="324">
        <f t="shared" si="257"/>
        <v>13.123574679775896</v>
      </c>
      <c r="AC162" s="883"/>
      <c r="AD162" s="883"/>
      <c r="AE162" s="883"/>
      <c r="AF162" s="883"/>
      <c r="AG162" s="883"/>
      <c r="AH162" s="883"/>
      <c r="AI162" s="883"/>
      <c r="AJ162" s="883"/>
      <c r="AK162" s="883"/>
      <c r="AL162" s="883"/>
      <c r="AM162" s="883"/>
      <c r="AN162" s="883"/>
      <c r="AO162" s="883"/>
      <c r="AP162" s="883"/>
      <c r="AQ162" s="883"/>
    </row>
    <row r="163" spans="1:43" ht="3.75" hidden="1" customHeight="1" x14ac:dyDescent="0.35">
      <c r="B163" s="253"/>
      <c r="E163" s="271"/>
      <c r="F163" s="271"/>
      <c r="G163" s="259"/>
      <c r="H163" s="308"/>
      <c r="I163" s="308"/>
      <c r="J163" s="308"/>
      <c r="K163" s="308"/>
      <c r="L163" s="308"/>
      <c r="M163" s="308"/>
      <c r="N163" s="308"/>
      <c r="O163" s="308"/>
      <c r="P163" s="308"/>
      <c r="Q163" s="308"/>
      <c r="AC163" s="229"/>
      <c r="AD163" s="229"/>
      <c r="AE163" s="229"/>
      <c r="AF163" s="229"/>
      <c r="AG163" s="229"/>
      <c r="AH163" s="229"/>
      <c r="AI163" s="229"/>
      <c r="AJ163" s="229"/>
      <c r="AK163" s="229"/>
      <c r="AL163" s="229"/>
      <c r="AM163" s="229"/>
      <c r="AN163" s="229"/>
      <c r="AO163" s="229"/>
      <c r="AP163" s="229"/>
      <c r="AQ163" s="229"/>
    </row>
    <row r="164" spans="1:43" ht="15.5" hidden="1" x14ac:dyDescent="0.35">
      <c r="B164" s="466" t="s">
        <v>304</v>
      </c>
      <c r="C164" s="315"/>
      <c r="D164" s="315"/>
      <c r="E164" s="321">
        <f>+_xlfn.XLOOKUP($B164,Inputs!$B:$B,Inputs!O:O)</f>
        <v>-2.4180000000000001</v>
      </c>
      <c r="F164" s="321">
        <f>+_xlfn.XLOOKUP($B164,Inputs!$B:$B,Inputs!P:P)</f>
        <v>34.241999999999997</v>
      </c>
      <c r="G164" s="322">
        <f>+_xlfn.XLOOKUP($B164,Inputs!$B:$B,Inputs!Q:Q)</f>
        <v>136.673</v>
      </c>
      <c r="H164" s="323">
        <f t="shared" ref="H164:AB164" si="258">IFERROR(+H130+H144+H162,"")</f>
        <v>12.334683009875789</v>
      </c>
      <c r="I164" s="323">
        <f t="shared" si="258"/>
        <v>-59.201333502971323</v>
      </c>
      <c r="J164" s="323">
        <f t="shared" si="258"/>
        <v>6.2766470360296012</v>
      </c>
      <c r="K164" s="323">
        <f t="shared" si="258"/>
        <v>-70.144923141031441</v>
      </c>
      <c r="L164" s="323">
        <f t="shared" si="258"/>
        <v>-10.116431994479029</v>
      </c>
      <c r="M164" s="323">
        <f t="shared" si="258"/>
        <v>-75.24710591191446</v>
      </c>
      <c r="N164" s="323">
        <f t="shared" si="258"/>
        <v>32.398593413555147</v>
      </c>
      <c r="O164" s="323">
        <f t="shared" si="258"/>
        <v>-2.5087617877466357</v>
      </c>
      <c r="P164" s="323">
        <f t="shared" si="258"/>
        <v>130.30681925457367</v>
      </c>
      <c r="Q164" s="323">
        <f t="shared" si="258"/>
        <v>114.33800314996195</v>
      </c>
      <c r="R164" s="323">
        <f t="shared" si="258"/>
        <v>306.76183573564981</v>
      </c>
      <c r="S164" s="323">
        <f t="shared" si="258"/>
        <v>348.71991651198408</v>
      </c>
      <c r="T164" s="323">
        <f t="shared" si="258"/>
        <v>559.70253747705567</v>
      </c>
      <c r="U164" s="323">
        <f t="shared" si="258"/>
        <v>763.62884190213651</v>
      </c>
      <c r="V164" s="323">
        <f t="shared" si="258"/>
        <v>1082.6347527512817</v>
      </c>
      <c r="W164" s="323">
        <f t="shared" si="258"/>
        <v>1518.3686302888279</v>
      </c>
      <c r="X164" s="323">
        <f t="shared" si="258"/>
        <v>2070.8628171393848</v>
      </c>
      <c r="Y164" s="323">
        <f t="shared" si="258"/>
        <v>2821.9046767839895</v>
      </c>
      <c r="Z164" s="323">
        <f t="shared" si="258"/>
        <v>3670.945926277685</v>
      </c>
      <c r="AA164" s="323">
        <f t="shared" si="258"/>
        <v>4684.1139797906699</v>
      </c>
      <c r="AB164" s="323">
        <f t="shared" si="258"/>
        <v>5722.2256510684729</v>
      </c>
      <c r="AC164" s="883"/>
      <c r="AD164" s="883"/>
      <c r="AE164" s="883"/>
      <c r="AF164" s="883"/>
      <c r="AG164" s="883"/>
      <c r="AH164" s="883"/>
      <c r="AI164" s="883"/>
      <c r="AJ164" s="883"/>
      <c r="AK164" s="883"/>
      <c r="AL164" s="883"/>
      <c r="AM164" s="883"/>
      <c r="AN164" s="883"/>
      <c r="AO164" s="883"/>
      <c r="AP164" s="883"/>
      <c r="AQ164" s="883"/>
    </row>
    <row r="165" spans="1:43" ht="15.5" hidden="1" x14ac:dyDescent="0.35">
      <c r="B165" s="253"/>
      <c r="E165" s="297"/>
      <c r="F165" s="271"/>
      <c r="G165" s="259"/>
      <c r="H165" s="308"/>
      <c r="I165" s="308"/>
      <c r="J165" s="308"/>
      <c r="K165" s="308"/>
      <c r="L165" s="308"/>
      <c r="M165" s="308"/>
      <c r="N165" s="308"/>
      <c r="O165" s="308"/>
      <c r="P165" s="308"/>
      <c r="Q165" s="308"/>
      <c r="AC165" s="229"/>
      <c r="AD165" s="229"/>
      <c r="AE165" s="229"/>
      <c r="AF165" s="229"/>
      <c r="AG165" s="229"/>
      <c r="AH165" s="229"/>
      <c r="AI165" s="229"/>
      <c r="AJ165" s="229"/>
      <c r="AK165" s="229"/>
      <c r="AL165" s="229"/>
      <c r="AM165" s="229"/>
      <c r="AN165" s="229"/>
      <c r="AO165" s="229"/>
      <c r="AP165" s="229"/>
      <c r="AQ165" s="229"/>
    </row>
    <row r="166" spans="1:43" ht="3.75" customHeight="1" x14ac:dyDescent="0.35">
      <c r="G166" s="147"/>
      <c r="H166" s="132"/>
      <c r="I166" s="132"/>
      <c r="J166" s="132"/>
      <c r="K166" s="132"/>
      <c r="L166" s="132"/>
      <c r="O166" s="132"/>
      <c r="P166" s="132"/>
      <c r="Q166" s="132"/>
      <c r="AF166" s="229"/>
      <c r="AG166" s="229"/>
      <c r="AH166" s="229"/>
      <c r="AI166" s="229"/>
      <c r="AJ166" s="229"/>
      <c r="AK166" s="229"/>
      <c r="AL166" s="229"/>
      <c r="AM166" s="229"/>
      <c r="AN166" s="229"/>
      <c r="AO166" s="229"/>
      <c r="AP166" s="229"/>
      <c r="AQ166" s="229"/>
    </row>
    <row r="167" spans="1:43" ht="15.5" x14ac:dyDescent="0.35">
      <c r="A167" s="127" t="s">
        <v>431</v>
      </c>
      <c r="B167" s="49" t="s">
        <v>548</v>
      </c>
      <c r="C167" s="49"/>
      <c r="D167" s="49"/>
      <c r="E167" s="138">
        <f t="shared" ref="E167:Q167" si="259">E26</f>
        <v>2022</v>
      </c>
      <c r="F167" s="138">
        <f t="shared" si="259"/>
        <v>2023</v>
      </c>
      <c r="G167" s="162">
        <f t="shared" si="259"/>
        <v>2024</v>
      </c>
      <c r="H167" s="100">
        <f t="shared" si="259"/>
        <v>2025</v>
      </c>
      <c r="I167" s="100">
        <f t="shared" si="259"/>
        <v>2026</v>
      </c>
      <c r="J167" s="100">
        <f t="shared" si="259"/>
        <v>2027</v>
      </c>
      <c r="K167" s="100">
        <f t="shared" si="259"/>
        <v>2028</v>
      </c>
      <c r="L167" s="100">
        <f t="shared" si="259"/>
        <v>2029</v>
      </c>
      <c r="M167" s="100">
        <f t="shared" si="259"/>
        <v>2030</v>
      </c>
      <c r="N167" s="100">
        <f t="shared" si="259"/>
        <v>2031</v>
      </c>
      <c r="O167" s="100">
        <f t="shared" si="259"/>
        <v>2032</v>
      </c>
      <c r="P167" s="100">
        <f t="shared" si="259"/>
        <v>2033</v>
      </c>
      <c r="Q167" s="100">
        <f t="shared" si="259"/>
        <v>2034</v>
      </c>
      <c r="R167" s="348" t="s">
        <v>459</v>
      </c>
      <c r="S167" s="348" t="s">
        <v>460</v>
      </c>
      <c r="T167" s="348" t="s">
        <v>461</v>
      </c>
      <c r="U167" s="348" t="s">
        <v>462</v>
      </c>
      <c r="V167" s="348" t="s">
        <v>463</v>
      </c>
      <c r="W167" s="348" t="s">
        <v>464</v>
      </c>
      <c r="X167" s="348" t="s">
        <v>465</v>
      </c>
      <c r="Y167" s="348" t="s">
        <v>466</v>
      </c>
      <c r="Z167" s="348" t="s">
        <v>467</v>
      </c>
      <c r="AA167" s="348" t="s">
        <v>468</v>
      </c>
      <c r="AB167" s="348" t="s">
        <v>469</v>
      </c>
      <c r="AC167" s="861"/>
      <c r="AD167" s="861"/>
      <c r="AE167" s="861"/>
      <c r="AF167" s="861"/>
      <c r="AG167" s="861"/>
      <c r="AH167" s="861"/>
      <c r="AI167" s="861"/>
      <c r="AJ167" s="861"/>
      <c r="AK167" s="861"/>
      <c r="AL167" s="861"/>
      <c r="AM167" s="861"/>
      <c r="AN167" s="861"/>
      <c r="AO167" s="861"/>
      <c r="AP167" s="861"/>
      <c r="AQ167" s="861"/>
    </row>
    <row r="168" spans="1:43" ht="4.4000000000000004" customHeight="1" x14ac:dyDescent="0.35">
      <c r="B168" s="50"/>
      <c r="C168" s="50"/>
      <c r="D168" s="50"/>
      <c r="E168" s="50"/>
      <c r="F168" s="50"/>
      <c r="G168" s="164"/>
      <c r="H168" s="50"/>
      <c r="I168" s="50"/>
      <c r="J168" s="50"/>
      <c r="K168" s="50"/>
      <c r="L168" s="50"/>
      <c r="M168" s="50"/>
      <c r="N168" s="50"/>
      <c r="O168" s="50"/>
      <c r="P168" s="50"/>
      <c r="Q168" s="50"/>
      <c r="R168" s="50"/>
      <c r="S168" s="50"/>
      <c r="T168" s="50"/>
      <c r="U168" s="50"/>
      <c r="V168" s="50"/>
      <c r="W168" s="50"/>
      <c r="X168" s="50"/>
      <c r="Y168" s="50"/>
      <c r="Z168" s="50"/>
      <c r="AA168" s="50"/>
      <c r="AB168" s="50"/>
      <c r="AC168" s="229"/>
      <c r="AD168" s="229"/>
      <c r="AE168" s="229"/>
      <c r="AF168" s="229"/>
      <c r="AG168" s="229"/>
      <c r="AH168" s="229"/>
      <c r="AI168" s="229"/>
      <c r="AJ168" s="229"/>
      <c r="AK168" s="229"/>
      <c r="AL168" s="229"/>
      <c r="AM168" s="229"/>
      <c r="AN168" s="229"/>
      <c r="AO168" s="229"/>
      <c r="AP168" s="229"/>
      <c r="AQ168" s="229"/>
    </row>
    <row r="169" spans="1:43" ht="15.5" x14ac:dyDescent="0.35">
      <c r="B169" s="127" t="s">
        <v>155</v>
      </c>
      <c r="E169" s="150">
        <f>$E$28</f>
        <v>7.173</v>
      </c>
      <c r="F169" s="150">
        <f>$F$28</f>
        <v>8.7579999999999991</v>
      </c>
      <c r="G169" s="174">
        <f>$G$28</f>
        <v>8.827</v>
      </c>
      <c r="H169" s="150">
        <f ca="1">IFERROR(G169*(1+H170),"")</f>
        <v>14.123200000000001</v>
      </c>
      <c r="I169" s="150">
        <f t="shared" ref="I169:Q169" ca="1" si="260">IFERROR(H169*(1+I170),"")</f>
        <v>22.597120000000004</v>
      </c>
      <c r="J169" s="150">
        <f t="shared" ca="1" si="260"/>
        <v>36.155392000000006</v>
      </c>
      <c r="K169" s="150">
        <f t="shared" ca="1" si="260"/>
        <v>57.84862720000001</v>
      </c>
      <c r="L169" s="150">
        <f t="shared" ca="1" si="260"/>
        <v>92.557803520000022</v>
      </c>
      <c r="M169" s="150">
        <f t="shared" ca="1" si="260"/>
        <v>138.83670528000005</v>
      </c>
      <c r="N169" s="150">
        <f t="shared" ca="1" si="260"/>
        <v>208.25505792000007</v>
      </c>
      <c r="O169" s="150">
        <f t="shared" ca="1" si="260"/>
        <v>312.38258688000008</v>
      </c>
      <c r="P169" s="150">
        <f t="shared" ca="1" si="260"/>
        <v>437.33562163200008</v>
      </c>
      <c r="Q169" s="150">
        <f t="shared" ca="1" si="260"/>
        <v>612.26987028480005</v>
      </c>
      <c r="R169" s="150">
        <f t="shared" ref="R169" ca="1" si="261">IFERROR(Q169*(1+R170),"")</f>
        <v>857.17781839871998</v>
      </c>
      <c r="S169" s="150">
        <f t="shared" ref="S169" ca="1" si="262">IFERROR(R169*(1+S170),"")</f>
        <v>1200.048945758208</v>
      </c>
      <c r="T169" s="150">
        <f t="shared" ref="T169" ca="1" si="263">IFERROR(S169*(1+T170),"")</f>
        <v>1680.0685240614912</v>
      </c>
      <c r="U169" s="150">
        <f t="shared" ref="U169" ca="1" si="264">IFERROR(T169*(1+U170),"")</f>
        <v>2352.0959336860874</v>
      </c>
      <c r="V169" s="150">
        <f t="shared" ref="V169" ca="1" si="265">IFERROR(U169*(1+V170),"")</f>
        <v>3292.9343071605222</v>
      </c>
      <c r="W169" s="150">
        <f t="shared" ref="W169" ca="1" si="266">IFERROR(V169*(1+W170),"")</f>
        <v>4610.1080300247304</v>
      </c>
      <c r="X169" s="150">
        <f t="shared" ref="X169" ca="1" si="267">IFERROR(W169*(1+X170),"")</f>
        <v>6454.1512420346226</v>
      </c>
      <c r="Y169" s="150">
        <f t="shared" ref="Y169" ca="1" si="268">IFERROR(X169*(1+Y170),"")</f>
        <v>9035.8117388484716</v>
      </c>
      <c r="Z169" s="150">
        <f t="shared" ref="Z169" ca="1" si="269">IFERROR(Y169*(1+Z170),"")</f>
        <v>12650.136434387859</v>
      </c>
      <c r="AA169" s="150">
        <f t="shared" ref="AA169" ca="1" si="270">IFERROR(Z169*(1+AA170),"")</f>
        <v>17710.191008143003</v>
      </c>
      <c r="AB169" s="150">
        <f t="shared" ref="AB169" ca="1" si="271">IFERROR(AA169*(1+AB170),"")</f>
        <v>24794.267411400204</v>
      </c>
      <c r="AC169" s="863"/>
      <c r="AD169" s="863"/>
      <c r="AE169" s="863"/>
      <c r="AF169" s="863"/>
      <c r="AG169" s="863"/>
      <c r="AH169" s="863"/>
      <c r="AI169" s="863"/>
      <c r="AJ169" s="863"/>
      <c r="AK169" s="863"/>
      <c r="AL169" s="863"/>
      <c r="AM169" s="863"/>
      <c r="AN169" s="863"/>
      <c r="AO169" s="863"/>
      <c r="AP169" s="863"/>
      <c r="AQ169" s="863"/>
    </row>
    <row r="170" spans="1:43" ht="15.5" hidden="1" x14ac:dyDescent="0.35">
      <c r="B170" s="253" t="s">
        <v>476</v>
      </c>
      <c r="C170" s="253"/>
      <c r="D170" s="253"/>
      <c r="E170" s="283">
        <f>$E$29</f>
        <v>0.14237935977066415</v>
      </c>
      <c r="F170" s="283">
        <f>$F$29</f>
        <v>0.220967517077931</v>
      </c>
      <c r="G170" s="284">
        <f>$G$29</f>
        <v>7.8785110755881307E-3</v>
      </c>
      <c r="H170" s="283">
        <f ca="1">+OFFSET($H$170,$C$7,0)</f>
        <v>0.6</v>
      </c>
      <c r="I170" s="283">
        <f ca="1">+OFFSET($I$170,$C$7,0)</f>
        <v>0.6</v>
      </c>
      <c r="J170" s="283">
        <f ca="1">+OFFSET($J$170,$C$7,0)</f>
        <v>0.6</v>
      </c>
      <c r="K170" s="283">
        <f ca="1">+OFFSET($K$170,$C$7,0)</f>
        <v>0.6</v>
      </c>
      <c r="L170" s="283">
        <f ca="1">+OFFSET($L$170,$C$7,0)</f>
        <v>0.6</v>
      </c>
      <c r="M170" s="283">
        <f ca="1">+OFFSET($M$170,$C$7,0)</f>
        <v>0.5</v>
      </c>
      <c r="N170" s="283">
        <f ca="1">+OFFSET($N$170,$C$7,0)</f>
        <v>0.5</v>
      </c>
      <c r="O170" s="283">
        <f ca="1">+OFFSET($O$170,$C$7,0)</f>
        <v>0.5</v>
      </c>
      <c r="P170" s="283">
        <f ca="1">+OFFSET($P$170,$C$7,0)</f>
        <v>0.4</v>
      </c>
      <c r="Q170" s="283">
        <f t="shared" ref="Q170:AB170" ca="1" si="272">+OFFSET($Q$170,$C$7,0)</f>
        <v>0.4</v>
      </c>
      <c r="R170" s="283">
        <f t="shared" ca="1" si="272"/>
        <v>0.4</v>
      </c>
      <c r="S170" s="283">
        <f t="shared" ca="1" si="272"/>
        <v>0.4</v>
      </c>
      <c r="T170" s="283">
        <f t="shared" ca="1" si="272"/>
        <v>0.4</v>
      </c>
      <c r="U170" s="283">
        <f t="shared" ca="1" si="272"/>
        <v>0.4</v>
      </c>
      <c r="V170" s="283">
        <f t="shared" ca="1" si="272"/>
        <v>0.4</v>
      </c>
      <c r="W170" s="283">
        <f t="shared" ca="1" si="272"/>
        <v>0.4</v>
      </c>
      <c r="X170" s="283">
        <f t="shared" ca="1" si="272"/>
        <v>0.4</v>
      </c>
      <c r="Y170" s="283">
        <f t="shared" ca="1" si="272"/>
        <v>0.4</v>
      </c>
      <c r="Z170" s="283">
        <f t="shared" ca="1" si="272"/>
        <v>0.4</v>
      </c>
      <c r="AA170" s="283">
        <f t="shared" ca="1" si="272"/>
        <v>0.4</v>
      </c>
      <c r="AB170" s="283">
        <f t="shared" ca="1" si="272"/>
        <v>0.4</v>
      </c>
      <c r="AC170" s="874"/>
      <c r="AD170" s="874"/>
      <c r="AE170" s="874"/>
      <c r="AF170" s="874"/>
      <c r="AG170" s="874"/>
      <c r="AH170" s="874"/>
      <c r="AI170" s="874"/>
      <c r="AJ170" s="874"/>
      <c r="AK170" s="874"/>
      <c r="AL170" s="874"/>
      <c r="AM170" s="874"/>
      <c r="AN170" s="874"/>
      <c r="AO170" s="874"/>
      <c r="AP170" s="874"/>
      <c r="AQ170" s="874"/>
    </row>
    <row r="171" spans="1:43" ht="15.5" hidden="1" x14ac:dyDescent="0.35">
      <c r="B171" s="252" t="s">
        <v>441</v>
      </c>
      <c r="G171" s="157"/>
      <c r="H171" s="576">
        <f>IFERROR(+H172+$F$7,"")</f>
        <v>0.57999999999999996</v>
      </c>
      <c r="I171" s="576">
        <f t="shared" ref="I171:AB171" si="273">IFERROR(+I172+$F$7,"")</f>
        <v>0.57999999999999996</v>
      </c>
      <c r="J171" s="576">
        <f t="shared" si="273"/>
        <v>0.57999999999999996</v>
      </c>
      <c r="K171" s="576">
        <f t="shared" si="273"/>
        <v>0.57999999999999996</v>
      </c>
      <c r="L171" s="576">
        <f t="shared" si="273"/>
        <v>0.57999999999999996</v>
      </c>
      <c r="M171" s="576">
        <f t="shared" si="273"/>
        <v>0.48</v>
      </c>
      <c r="N171" s="576">
        <f t="shared" si="273"/>
        <v>0.48</v>
      </c>
      <c r="O171" s="576">
        <f t="shared" si="273"/>
        <v>0.48</v>
      </c>
      <c r="P171" s="576">
        <f t="shared" si="273"/>
        <v>0.38</v>
      </c>
      <c r="Q171" s="576">
        <f t="shared" si="273"/>
        <v>0.38</v>
      </c>
      <c r="R171" s="576">
        <f t="shared" si="273"/>
        <v>0.38</v>
      </c>
      <c r="S171" s="576">
        <f t="shared" si="273"/>
        <v>0.38</v>
      </c>
      <c r="T171" s="576">
        <f t="shared" si="273"/>
        <v>0.38</v>
      </c>
      <c r="U171" s="576">
        <f t="shared" si="273"/>
        <v>0.38</v>
      </c>
      <c r="V171" s="576">
        <f t="shared" si="273"/>
        <v>0.38</v>
      </c>
      <c r="W171" s="576">
        <f t="shared" si="273"/>
        <v>0.38</v>
      </c>
      <c r="X171" s="576">
        <f t="shared" si="273"/>
        <v>0.38</v>
      </c>
      <c r="Y171" s="576">
        <f t="shared" si="273"/>
        <v>0.38</v>
      </c>
      <c r="Z171" s="576">
        <f t="shared" si="273"/>
        <v>0.38</v>
      </c>
      <c r="AA171" s="576">
        <f t="shared" si="273"/>
        <v>0.38</v>
      </c>
      <c r="AB171" s="576">
        <f t="shared" si="273"/>
        <v>0.38</v>
      </c>
      <c r="AC171" s="888"/>
      <c r="AD171" s="888"/>
      <c r="AE171" s="888"/>
      <c r="AF171" s="888"/>
      <c r="AG171" s="888"/>
      <c r="AH171" s="888"/>
      <c r="AI171" s="888"/>
      <c r="AJ171" s="888"/>
      <c r="AK171" s="888"/>
      <c r="AL171" s="888"/>
      <c r="AM171" s="888"/>
      <c r="AN171" s="888"/>
      <c r="AO171" s="888"/>
      <c r="AP171" s="888"/>
      <c r="AQ171" s="888"/>
    </row>
    <row r="172" spans="1:43" ht="15.5" hidden="1" x14ac:dyDescent="0.35">
      <c r="B172" s="252" t="s">
        <v>442</v>
      </c>
      <c r="G172" s="157"/>
      <c r="H172" s="577">
        <f>$H$29</f>
        <v>0.6</v>
      </c>
      <c r="I172" s="577">
        <f>$I$29</f>
        <v>0.6</v>
      </c>
      <c r="J172" s="577">
        <f>$J$29</f>
        <v>0.6</v>
      </c>
      <c r="K172" s="577">
        <f>$K$29</f>
        <v>0.6</v>
      </c>
      <c r="L172" s="577">
        <f>$L$29</f>
        <v>0.6</v>
      </c>
      <c r="M172" s="577">
        <f>$M$29</f>
        <v>0.5</v>
      </c>
      <c r="N172" s="577">
        <f>$N$29</f>
        <v>0.5</v>
      </c>
      <c r="O172" s="578">
        <f>$O$29</f>
        <v>0.5</v>
      </c>
      <c r="P172" s="577">
        <f>$P$29</f>
        <v>0.4</v>
      </c>
      <c r="Q172" s="577">
        <f t="shared" ref="Q172:AB172" si="274">$Q$29</f>
        <v>0.4</v>
      </c>
      <c r="R172" s="577">
        <f t="shared" si="274"/>
        <v>0.4</v>
      </c>
      <c r="S172" s="577">
        <f t="shared" si="274"/>
        <v>0.4</v>
      </c>
      <c r="T172" s="577">
        <f t="shared" si="274"/>
        <v>0.4</v>
      </c>
      <c r="U172" s="577">
        <f t="shared" si="274"/>
        <v>0.4</v>
      </c>
      <c r="V172" s="577">
        <f t="shared" si="274"/>
        <v>0.4</v>
      </c>
      <c r="W172" s="577">
        <f t="shared" si="274"/>
        <v>0.4</v>
      </c>
      <c r="X172" s="577">
        <f t="shared" si="274"/>
        <v>0.4</v>
      </c>
      <c r="Y172" s="577">
        <f t="shared" si="274"/>
        <v>0.4</v>
      </c>
      <c r="Z172" s="577">
        <f t="shared" si="274"/>
        <v>0.4</v>
      </c>
      <c r="AA172" s="577">
        <f t="shared" si="274"/>
        <v>0.4</v>
      </c>
      <c r="AB172" s="886">
        <f t="shared" si="274"/>
        <v>0.4</v>
      </c>
      <c r="AC172" s="889"/>
      <c r="AD172" s="889"/>
      <c r="AE172" s="889"/>
      <c r="AF172" s="889"/>
      <c r="AG172" s="889"/>
      <c r="AH172" s="889"/>
      <c r="AI172" s="889"/>
      <c r="AJ172" s="889"/>
      <c r="AK172" s="889"/>
      <c r="AL172" s="889"/>
      <c r="AM172" s="889"/>
      <c r="AN172" s="889"/>
      <c r="AO172" s="889"/>
      <c r="AP172" s="889"/>
      <c r="AQ172" s="889"/>
    </row>
    <row r="173" spans="1:43" ht="15.5" hidden="1" x14ac:dyDescent="0.35">
      <c r="B173" s="252" t="s">
        <v>443</v>
      </c>
      <c r="G173" s="157"/>
      <c r="H173" s="579">
        <f>IFERROR(+H172+$L$7,"")</f>
        <v>0.62</v>
      </c>
      <c r="I173" s="579">
        <f t="shared" ref="I173:AB173" si="275">IFERROR(+I172+$L$7,"")</f>
        <v>0.62</v>
      </c>
      <c r="J173" s="579">
        <f t="shared" si="275"/>
        <v>0.62</v>
      </c>
      <c r="K173" s="579">
        <f t="shared" si="275"/>
        <v>0.62</v>
      </c>
      <c r="L173" s="579">
        <f t="shared" si="275"/>
        <v>0.62</v>
      </c>
      <c r="M173" s="579">
        <f t="shared" si="275"/>
        <v>0.52</v>
      </c>
      <c r="N173" s="579">
        <f t="shared" si="275"/>
        <v>0.52</v>
      </c>
      <c r="O173" s="579">
        <f t="shared" si="275"/>
        <v>0.52</v>
      </c>
      <c r="P173" s="579">
        <f t="shared" si="275"/>
        <v>0.42000000000000004</v>
      </c>
      <c r="Q173" s="579">
        <f t="shared" si="275"/>
        <v>0.42000000000000004</v>
      </c>
      <c r="R173" s="579">
        <f t="shared" si="275"/>
        <v>0.42000000000000004</v>
      </c>
      <c r="S173" s="579">
        <f t="shared" si="275"/>
        <v>0.42000000000000004</v>
      </c>
      <c r="T173" s="579">
        <f t="shared" si="275"/>
        <v>0.42000000000000004</v>
      </c>
      <c r="U173" s="579">
        <f t="shared" si="275"/>
        <v>0.42000000000000004</v>
      </c>
      <c r="V173" s="579">
        <f t="shared" si="275"/>
        <v>0.42000000000000004</v>
      </c>
      <c r="W173" s="579">
        <f t="shared" si="275"/>
        <v>0.42000000000000004</v>
      </c>
      <c r="X173" s="579">
        <f t="shared" si="275"/>
        <v>0.42000000000000004</v>
      </c>
      <c r="Y173" s="579">
        <f t="shared" si="275"/>
        <v>0.42000000000000004</v>
      </c>
      <c r="Z173" s="579">
        <f t="shared" si="275"/>
        <v>0.42000000000000004</v>
      </c>
      <c r="AA173" s="579">
        <f t="shared" si="275"/>
        <v>0.42000000000000004</v>
      </c>
      <c r="AB173" s="579">
        <f t="shared" si="275"/>
        <v>0.42000000000000004</v>
      </c>
      <c r="AC173" s="888"/>
      <c r="AD173" s="888"/>
      <c r="AE173" s="888"/>
      <c r="AF173" s="888"/>
      <c r="AG173" s="888"/>
      <c r="AH173" s="888"/>
      <c r="AI173" s="888"/>
      <c r="AJ173" s="888"/>
      <c r="AK173" s="888"/>
      <c r="AL173" s="888"/>
      <c r="AM173" s="888"/>
      <c r="AN173" s="888"/>
      <c r="AO173" s="888"/>
      <c r="AP173" s="888"/>
      <c r="AQ173" s="888"/>
    </row>
    <row r="174" spans="1:43" ht="3.75" customHeight="1" x14ac:dyDescent="0.35">
      <c r="G174" s="157"/>
      <c r="AC174" s="229"/>
      <c r="AD174" s="229"/>
      <c r="AE174" s="229"/>
      <c r="AF174" s="229"/>
      <c r="AG174" s="229"/>
      <c r="AH174" s="229"/>
      <c r="AI174" s="229"/>
      <c r="AJ174" s="229"/>
      <c r="AK174" s="229"/>
      <c r="AL174" s="229"/>
      <c r="AM174" s="229"/>
      <c r="AN174" s="229"/>
      <c r="AO174" s="229"/>
      <c r="AP174" s="229"/>
      <c r="AQ174" s="229"/>
    </row>
    <row r="175" spans="1:43" ht="15.5" x14ac:dyDescent="0.35">
      <c r="B175" s="127" t="s">
        <v>451</v>
      </c>
      <c r="E175" s="150">
        <f t="shared" ref="E175:G176" si="276">+E57</f>
        <v>8</v>
      </c>
      <c r="F175" s="150">
        <f t="shared" si="276"/>
        <v>-77.268000000000001</v>
      </c>
      <c r="G175" s="174">
        <f t="shared" si="276"/>
        <v>-72.786000000000001</v>
      </c>
      <c r="H175" s="175">
        <f ca="1">IFERROR(H176*H169,"")</f>
        <v>-82.731013333333337</v>
      </c>
      <c r="I175" s="175">
        <f t="shared" ref="I175:AB175" ca="1" si="277">IFERROR(I176*I169,"")</f>
        <v>-104.75181244444444</v>
      </c>
      <c r="J175" s="175">
        <f t="shared" ca="1" si="277"/>
        <v>-132.90496334814813</v>
      </c>
      <c r="K175" s="175">
        <f t="shared" ca="1" si="277"/>
        <v>-168.57577526716045</v>
      </c>
      <c r="L175" s="175">
        <f t="shared" ca="1" si="277"/>
        <v>-194.76306827186824</v>
      </c>
      <c r="M175" s="175">
        <f t="shared" ca="1" si="277"/>
        <v>-224.96650171558838</v>
      </c>
      <c r="N175" s="175">
        <f t="shared" ca="1" si="277"/>
        <v>-207.83540270730862</v>
      </c>
      <c r="O175" s="175">
        <f t="shared" ca="1" si="277"/>
        <v>-164.59760650338268</v>
      </c>
      <c r="P175" s="175">
        <f t="shared" ca="1" si="277"/>
        <v>-99.513569466163958</v>
      </c>
      <c r="Q175" s="175">
        <f t="shared" ca="1" si="277"/>
        <v>-20.408528823365884</v>
      </c>
      <c r="R175" s="175">
        <f t="shared" ca="1" si="277"/>
        <v>114.69174965629982</v>
      </c>
      <c r="S175" s="175">
        <f t="shared" ca="1" si="277"/>
        <v>300.95750872889789</v>
      </c>
      <c r="T175" s="175">
        <f t="shared" ca="1" si="277"/>
        <v>539.33866863497485</v>
      </c>
      <c r="U175" s="175">
        <f t="shared" ca="1" si="277"/>
        <v>892.9578917366614</v>
      </c>
      <c r="V175" s="175">
        <f t="shared" ca="1" si="277"/>
        <v>1375.1888376964882</v>
      </c>
      <c r="W175" s="175">
        <f t="shared" ca="1" si="277"/>
        <v>2107.8573951662088</v>
      </c>
      <c r="X175" s="175">
        <f t="shared" ca="1" si="277"/>
        <v>3101.6024477932488</v>
      </c>
      <c r="Y175" s="175">
        <f t="shared" ca="1" si="277"/>
        <v>4597.1900750703162</v>
      </c>
      <c r="Z175" s="175">
        <f t="shared" ca="1" si="277"/>
        <v>6710.9157739972734</v>
      </c>
      <c r="AA175" s="175">
        <f t="shared" ca="1" si="277"/>
        <v>9570.5128053514509</v>
      </c>
      <c r="AB175" s="175">
        <f t="shared" ca="1" si="277"/>
        <v>13551.314926732492</v>
      </c>
      <c r="AC175" s="881"/>
      <c r="AD175" s="881"/>
      <c r="AE175" s="881"/>
      <c r="AF175" s="881"/>
      <c r="AG175" s="881"/>
      <c r="AH175" s="881"/>
      <c r="AI175" s="881"/>
      <c r="AJ175" s="881"/>
      <c r="AK175" s="881"/>
      <c r="AL175" s="881"/>
      <c r="AM175" s="881"/>
      <c r="AN175" s="881"/>
      <c r="AO175" s="881"/>
      <c r="AP175" s="881"/>
      <c r="AQ175" s="881"/>
    </row>
    <row r="176" spans="1:43" ht="15.5" hidden="1" x14ac:dyDescent="0.35">
      <c r="B176" s="253" t="s">
        <v>478</v>
      </c>
      <c r="C176" s="253"/>
      <c r="D176" s="253"/>
      <c r="E176" s="283">
        <f t="shared" si="276"/>
        <v>1.1152934615920813</v>
      </c>
      <c r="F176" s="283">
        <f t="shared" si="276"/>
        <v>-8.8225622288193666</v>
      </c>
      <c r="G176" s="284">
        <f t="shared" si="276"/>
        <v>-8.2458366375892158</v>
      </c>
      <c r="H176" s="283">
        <f ca="1">OFFSET(H176,$C$8,0)</f>
        <v>-5.857809372757826</v>
      </c>
      <c r="I176" s="283">
        <f ca="1">+OFFSET(I176,$C$8,0)</f>
        <v>-4.6356266835970432</v>
      </c>
      <c r="J176" s="283">
        <f ca="1">+OFFSET(J176,$C$8,0)</f>
        <v>-3.6759375572016508</v>
      </c>
      <c r="K176" s="283">
        <f ca="1">+OFFSET(K176,$C$8,0)</f>
        <v>-2.9140842821445627</v>
      </c>
      <c r="L176" s="283">
        <f ca="1">+OFFSET(L176,$C$8,0)</f>
        <v>-2.1042317434616256</v>
      </c>
      <c r="M176" s="283">
        <f t="shared" ref="M176:AB176" ca="1" si="278">+OFFSET(M176,$C$8,0)</f>
        <v>-1.6203676200892652</v>
      </c>
      <c r="N176" s="283">
        <f t="shared" ca="1" si="278"/>
        <v>-0.99798489786090738</v>
      </c>
      <c r="O176" s="283">
        <f t="shared" ca="1" si="278"/>
        <v>-0.52691031259886412</v>
      </c>
      <c r="P176" s="283">
        <f t="shared" ca="1" si="278"/>
        <v>-0.22754508104052984</v>
      </c>
      <c r="Q176" s="283">
        <f t="shared" ca="1" si="278"/>
        <v>-3.3332570838203693E-2</v>
      </c>
      <c r="R176" s="283">
        <f t="shared" ca="1" si="278"/>
        <v>0.13380158374904477</v>
      </c>
      <c r="S176" s="283">
        <f t="shared" ca="1" si="278"/>
        <v>0.25078769477918972</v>
      </c>
      <c r="T176" s="283">
        <f t="shared" ca="1" si="278"/>
        <v>0.32102182792589168</v>
      </c>
      <c r="U176" s="283">
        <f t="shared" ca="1" si="278"/>
        <v>0.37964348262668962</v>
      </c>
      <c r="V176" s="283">
        <f t="shared" ca="1" si="278"/>
        <v>0.4176180601921286</v>
      </c>
      <c r="W176" s="283">
        <f t="shared" ca="1" si="278"/>
        <v>0.45722516293287413</v>
      </c>
      <c r="X176" s="283">
        <f t="shared" ca="1" si="278"/>
        <v>0.48055930694544619</v>
      </c>
      <c r="Y176" s="283">
        <f t="shared" ca="1" si="278"/>
        <v>0.50877444195801547</v>
      </c>
      <c r="Z176" s="283">
        <f t="shared" ca="1" si="278"/>
        <v>0.53050145417834893</v>
      </c>
      <c r="AA176" s="283">
        <f t="shared" ca="1" si="278"/>
        <v>0.54039579815660976</v>
      </c>
      <c r="AB176" s="283">
        <f t="shared" ca="1" si="278"/>
        <v>0.54655032560073569</v>
      </c>
      <c r="AC176" s="874"/>
      <c r="AD176" s="874"/>
      <c r="AE176" s="874"/>
      <c r="AF176" s="874"/>
      <c r="AG176" s="874"/>
      <c r="AH176" s="874"/>
      <c r="AI176" s="874"/>
      <c r="AJ176" s="874"/>
      <c r="AK176" s="874"/>
      <c r="AL176" s="874"/>
      <c r="AM176" s="874"/>
      <c r="AN176" s="874"/>
      <c r="AO176" s="874"/>
      <c r="AP176" s="874"/>
      <c r="AQ176" s="874"/>
    </row>
    <row r="177" spans="2:43" ht="15.5" hidden="1" x14ac:dyDescent="0.35">
      <c r="B177" s="252" t="s">
        <v>441</v>
      </c>
      <c r="G177" s="157"/>
      <c r="H177" s="579">
        <f>IFERROR(H178-$F$8,"")</f>
        <v>-5.8478093727578262</v>
      </c>
      <c r="I177" s="579">
        <f t="shared" ref="I177:AB177" si="279">IFERROR(I178-$F$8,"")</f>
        <v>-4.6256266835970434</v>
      </c>
      <c r="J177" s="579">
        <f t="shared" si="279"/>
        <v>-3.665937557201651</v>
      </c>
      <c r="K177" s="579">
        <f t="shared" si="279"/>
        <v>-2.9040842821445629</v>
      </c>
      <c r="L177" s="579">
        <f t="shared" si="279"/>
        <v>-2.0942317434616258</v>
      </c>
      <c r="M177" s="579">
        <f t="shared" si="279"/>
        <v>-1.6103676200892652</v>
      </c>
      <c r="N177" s="579">
        <f t="shared" si="279"/>
        <v>-0.98798489786090737</v>
      </c>
      <c r="O177" s="579">
        <f t="shared" si="279"/>
        <v>-0.51691031259886411</v>
      </c>
      <c r="P177" s="579">
        <f t="shared" si="279"/>
        <v>-0.21754508104052983</v>
      </c>
      <c r="Q177" s="579">
        <f t="shared" si="279"/>
        <v>-2.3332570838203691E-2</v>
      </c>
      <c r="R177" s="579">
        <f t="shared" si="279"/>
        <v>0.14380158374904478</v>
      </c>
      <c r="S177" s="579">
        <f t="shared" si="279"/>
        <v>0.26078769477918973</v>
      </c>
      <c r="T177" s="579">
        <f t="shared" si="279"/>
        <v>0.33102182792589169</v>
      </c>
      <c r="U177" s="579">
        <f t="shared" si="279"/>
        <v>0.38964348262668963</v>
      </c>
      <c r="V177" s="579">
        <f t="shared" si="279"/>
        <v>0.42761806019212861</v>
      </c>
      <c r="W177" s="579">
        <f t="shared" si="279"/>
        <v>0.46722516293287414</v>
      </c>
      <c r="X177" s="579">
        <f t="shared" si="279"/>
        <v>0.49055930694544619</v>
      </c>
      <c r="Y177" s="579">
        <f t="shared" si="279"/>
        <v>0.51877444195801548</v>
      </c>
      <c r="Z177" s="579">
        <f t="shared" si="279"/>
        <v>0.54050145417834894</v>
      </c>
      <c r="AA177" s="579">
        <f t="shared" si="279"/>
        <v>0.55039579815660977</v>
      </c>
      <c r="AB177" s="887">
        <f t="shared" si="279"/>
        <v>0.5565503256007357</v>
      </c>
      <c r="AC177" s="888"/>
      <c r="AD177" s="888"/>
      <c r="AE177" s="888"/>
      <c r="AF177" s="888"/>
      <c r="AG177" s="888"/>
      <c r="AH177" s="888"/>
      <c r="AI177" s="888"/>
      <c r="AJ177" s="888"/>
      <c r="AK177" s="888"/>
      <c r="AL177" s="888"/>
      <c r="AM177" s="888"/>
      <c r="AN177" s="888"/>
      <c r="AO177" s="888"/>
      <c r="AP177" s="888"/>
      <c r="AQ177" s="888"/>
    </row>
    <row r="178" spans="2:43" ht="15.5" hidden="1" x14ac:dyDescent="0.35">
      <c r="B178" s="252" t="s">
        <v>442</v>
      </c>
      <c r="G178" s="157"/>
      <c r="H178" s="577">
        <f t="shared" ref="H178:AB178" si="280">IFERROR(VALUE(H58),"")</f>
        <v>-5.857809372757826</v>
      </c>
      <c r="I178" s="577">
        <f t="shared" si="280"/>
        <v>-4.6356266835970432</v>
      </c>
      <c r="J178" s="577">
        <f t="shared" si="280"/>
        <v>-3.6759375572016508</v>
      </c>
      <c r="K178" s="577">
        <f t="shared" si="280"/>
        <v>-2.9140842821445627</v>
      </c>
      <c r="L178" s="577">
        <f t="shared" si="280"/>
        <v>-2.1042317434616256</v>
      </c>
      <c r="M178" s="577">
        <f t="shared" si="280"/>
        <v>-1.6203676200892652</v>
      </c>
      <c r="N178" s="577">
        <f t="shared" si="280"/>
        <v>-0.99798489786090738</v>
      </c>
      <c r="O178" s="577">
        <f t="shared" si="280"/>
        <v>-0.52691031259886412</v>
      </c>
      <c r="P178" s="577">
        <f t="shared" si="280"/>
        <v>-0.22754508104052984</v>
      </c>
      <c r="Q178" s="577">
        <f t="shared" si="280"/>
        <v>-3.3332570838203693E-2</v>
      </c>
      <c r="R178" s="577">
        <f t="shared" si="280"/>
        <v>0.13380158374904477</v>
      </c>
      <c r="S178" s="577">
        <f t="shared" si="280"/>
        <v>0.25078769477918972</v>
      </c>
      <c r="T178" s="577">
        <f t="shared" si="280"/>
        <v>0.32102182792589168</v>
      </c>
      <c r="U178" s="577">
        <f t="shared" si="280"/>
        <v>0.37964348262668962</v>
      </c>
      <c r="V178" s="577">
        <f t="shared" si="280"/>
        <v>0.4176180601921286</v>
      </c>
      <c r="W178" s="577">
        <f t="shared" si="280"/>
        <v>0.45722516293287413</v>
      </c>
      <c r="X178" s="577">
        <f t="shared" si="280"/>
        <v>0.48055930694544619</v>
      </c>
      <c r="Y178" s="577">
        <f t="shared" si="280"/>
        <v>0.50877444195801547</v>
      </c>
      <c r="Z178" s="577">
        <f t="shared" si="280"/>
        <v>0.53050145417834893</v>
      </c>
      <c r="AA178" s="577">
        <f t="shared" si="280"/>
        <v>0.54039579815660976</v>
      </c>
      <c r="AB178" s="886">
        <f t="shared" si="280"/>
        <v>0.54655032560073569</v>
      </c>
      <c r="AC178" s="889"/>
      <c r="AD178" s="889"/>
      <c r="AE178" s="889"/>
      <c r="AF178" s="889"/>
      <c r="AG178" s="889"/>
      <c r="AH178" s="889"/>
      <c r="AI178" s="889"/>
      <c r="AJ178" s="889"/>
      <c r="AK178" s="889"/>
      <c r="AL178" s="889"/>
      <c r="AM178" s="889"/>
      <c r="AN178" s="889"/>
      <c r="AO178" s="889"/>
      <c r="AP178" s="889"/>
      <c r="AQ178" s="889"/>
    </row>
    <row r="179" spans="2:43" ht="15.5" hidden="1" x14ac:dyDescent="0.35">
      <c r="B179" s="252" t="s">
        <v>443</v>
      </c>
      <c r="G179" s="157"/>
      <c r="H179" s="579">
        <f>+IFERROR(H178+$L$8,"")</f>
        <v>-5.8478093727578262</v>
      </c>
      <c r="I179" s="579">
        <f t="shared" ref="I179:AB179" si="281">+IFERROR(I178+$L$8%,"")</f>
        <v>-4.6355266835970435</v>
      </c>
      <c r="J179" s="579">
        <f t="shared" si="281"/>
        <v>-3.6758375572016506</v>
      </c>
      <c r="K179" s="579">
        <f t="shared" si="281"/>
        <v>-2.9139842821445625</v>
      </c>
      <c r="L179" s="579">
        <f t="shared" si="281"/>
        <v>-2.1041317434616253</v>
      </c>
      <c r="M179" s="579">
        <f t="shared" si="281"/>
        <v>-1.6202676200892652</v>
      </c>
      <c r="N179" s="579">
        <f t="shared" si="281"/>
        <v>-0.99788489786090739</v>
      </c>
      <c r="O179" s="579">
        <f t="shared" si="281"/>
        <v>-0.52681031259886413</v>
      </c>
      <c r="P179" s="579">
        <f t="shared" si="281"/>
        <v>-0.22744508104052985</v>
      </c>
      <c r="Q179" s="579">
        <f t="shared" si="281"/>
        <v>-3.323257083820369E-2</v>
      </c>
      <c r="R179" s="579">
        <f t="shared" si="281"/>
        <v>0.13390158374904476</v>
      </c>
      <c r="S179" s="579">
        <f t="shared" si="281"/>
        <v>0.25088769477918971</v>
      </c>
      <c r="T179" s="579">
        <f t="shared" si="281"/>
        <v>0.32112182792589167</v>
      </c>
      <c r="U179" s="579">
        <f t="shared" si="281"/>
        <v>0.37974348262668961</v>
      </c>
      <c r="V179" s="579">
        <f t="shared" si="281"/>
        <v>0.41771806019212859</v>
      </c>
      <c r="W179" s="579">
        <f t="shared" si="281"/>
        <v>0.45732516293287412</v>
      </c>
      <c r="X179" s="579">
        <f t="shared" si="281"/>
        <v>0.48065930694544617</v>
      </c>
      <c r="Y179" s="579">
        <f t="shared" si="281"/>
        <v>0.50887444195801546</v>
      </c>
      <c r="Z179" s="579">
        <f t="shared" si="281"/>
        <v>0.53060145417834892</v>
      </c>
      <c r="AA179" s="579">
        <f t="shared" si="281"/>
        <v>0.54049579815660975</v>
      </c>
      <c r="AB179" s="887">
        <f t="shared" si="281"/>
        <v>0.54665032560073568</v>
      </c>
      <c r="AC179" s="888"/>
      <c r="AD179" s="888"/>
      <c r="AE179" s="888"/>
      <c r="AF179" s="888"/>
      <c r="AG179" s="888"/>
      <c r="AH179" s="888"/>
      <c r="AI179" s="888"/>
      <c r="AJ179" s="888"/>
      <c r="AK179" s="888"/>
      <c r="AL179" s="888"/>
      <c r="AM179" s="888"/>
      <c r="AN179" s="888"/>
      <c r="AO179" s="888"/>
      <c r="AP179" s="888"/>
      <c r="AQ179" s="888"/>
    </row>
    <row r="180" spans="2:43" ht="3.75" customHeight="1" x14ac:dyDescent="0.35">
      <c r="G180" s="157"/>
      <c r="AC180" s="229"/>
      <c r="AD180" s="229"/>
      <c r="AE180" s="229"/>
      <c r="AF180" s="229"/>
      <c r="AG180" s="229"/>
      <c r="AH180" s="229"/>
      <c r="AI180" s="229"/>
      <c r="AJ180" s="229"/>
      <c r="AK180" s="229"/>
      <c r="AL180" s="229"/>
      <c r="AM180" s="229"/>
      <c r="AN180" s="229"/>
      <c r="AO180" s="229"/>
      <c r="AP180" s="229"/>
      <c r="AQ180" s="229"/>
    </row>
    <row r="181" spans="2:43" ht="15.5" x14ac:dyDescent="0.35">
      <c r="B181" s="177" t="s">
        <v>447</v>
      </c>
      <c r="C181" s="178"/>
      <c r="D181" s="178"/>
      <c r="E181" s="179">
        <f t="shared" ref="E181:AB181" si="282">+IFERROR(E175*(1-E77),"")</f>
        <v>8</v>
      </c>
      <c r="F181" s="179">
        <f t="shared" si="282"/>
        <v>-77.268000000000001</v>
      </c>
      <c r="G181" s="306">
        <f t="shared" si="282"/>
        <v>-72.786000000000001</v>
      </c>
      <c r="H181" s="179">
        <f t="shared" ca="1" si="282"/>
        <v>-82.731013333333337</v>
      </c>
      <c r="I181" s="179">
        <f t="shared" ca="1" si="282"/>
        <v>-104.75181244444444</v>
      </c>
      <c r="J181" s="179">
        <f t="shared" ca="1" si="282"/>
        <v>-132.90496334814813</v>
      </c>
      <c r="K181" s="179">
        <f t="shared" ca="1" si="282"/>
        <v>-168.57577526716045</v>
      </c>
      <c r="L181" s="179">
        <f t="shared" ca="1" si="282"/>
        <v>-194.76306827186824</v>
      </c>
      <c r="M181" s="179">
        <f t="shared" ca="1" si="282"/>
        <v>-224.96650171558838</v>
      </c>
      <c r="N181" s="179">
        <f t="shared" ca="1" si="282"/>
        <v>-207.83540270730862</v>
      </c>
      <c r="O181" s="179">
        <f t="shared" ca="1" si="282"/>
        <v>-164.59760650338268</v>
      </c>
      <c r="P181" s="179">
        <f t="shared" ca="1" si="282"/>
        <v>-99.513569466163958</v>
      </c>
      <c r="Q181" s="305">
        <f t="shared" ca="1" si="282"/>
        <v>-20.408528823365884</v>
      </c>
      <c r="R181" s="305">
        <f t="shared" ca="1" si="282"/>
        <v>114.69174965629982</v>
      </c>
      <c r="S181" s="305">
        <f t="shared" ca="1" si="282"/>
        <v>300.95750872889789</v>
      </c>
      <c r="T181" s="305">
        <f t="shared" ca="1" si="282"/>
        <v>539.33866863497485</v>
      </c>
      <c r="U181" s="305">
        <f t="shared" ca="1" si="282"/>
        <v>892.9578917366614</v>
      </c>
      <c r="V181" s="305">
        <f t="shared" ca="1" si="282"/>
        <v>1375.1888376964882</v>
      </c>
      <c r="W181" s="305">
        <f t="shared" ca="1" si="282"/>
        <v>2107.8573951662088</v>
      </c>
      <c r="X181" s="305">
        <f t="shared" ca="1" si="282"/>
        <v>3101.6024477932488</v>
      </c>
      <c r="Y181" s="305">
        <f t="shared" ca="1" si="282"/>
        <v>4597.1900750703162</v>
      </c>
      <c r="Z181" s="305">
        <f t="shared" ca="1" si="282"/>
        <v>6710.9157739972734</v>
      </c>
      <c r="AA181" s="305">
        <f t="shared" ca="1" si="282"/>
        <v>9570.5128053514509</v>
      </c>
      <c r="AB181" s="179">
        <f t="shared" ca="1" si="282"/>
        <v>13551.314926732492</v>
      </c>
      <c r="AC181" s="199"/>
      <c r="AD181" s="199"/>
      <c r="AE181" s="199"/>
      <c r="AF181" s="199"/>
      <c r="AG181" s="199"/>
      <c r="AH181" s="199"/>
      <c r="AI181" s="199"/>
      <c r="AJ181" s="199"/>
      <c r="AK181" s="199"/>
      <c r="AL181" s="199"/>
      <c r="AM181" s="199"/>
      <c r="AN181" s="199"/>
      <c r="AO181" s="199"/>
      <c r="AP181" s="199"/>
      <c r="AQ181" s="199"/>
    </row>
    <row r="182" spans="2:43" ht="3.75" customHeight="1" x14ac:dyDescent="0.35">
      <c r="G182" s="157"/>
      <c r="AC182" s="229"/>
      <c r="AD182" s="229"/>
      <c r="AE182" s="229"/>
      <c r="AF182" s="229"/>
      <c r="AG182" s="229"/>
      <c r="AH182" s="229"/>
      <c r="AI182" s="229"/>
      <c r="AJ182" s="229"/>
      <c r="AK182" s="229"/>
      <c r="AL182" s="229"/>
      <c r="AM182" s="229"/>
      <c r="AN182" s="229"/>
      <c r="AO182" s="229"/>
      <c r="AP182" s="229"/>
      <c r="AQ182" s="229"/>
    </row>
    <row r="183" spans="2:43" ht="15.5" x14ac:dyDescent="0.35">
      <c r="B183" s="127" t="s">
        <v>549</v>
      </c>
      <c r="E183" s="150">
        <f t="shared" ref="E183:AB183" si="283">+E121</f>
        <v>2.3330000000000002</v>
      </c>
      <c r="F183" s="150">
        <f t="shared" si="283"/>
        <v>1.845</v>
      </c>
      <c r="G183" s="174">
        <f t="shared" si="283"/>
        <v>1.9319999999999999</v>
      </c>
      <c r="H183" s="180">
        <f t="shared" si="283"/>
        <v>0</v>
      </c>
      <c r="I183" s="180">
        <f t="shared" si="283"/>
        <v>0</v>
      </c>
      <c r="J183" s="180">
        <f t="shared" si="283"/>
        <v>0</v>
      </c>
      <c r="K183" s="180">
        <f t="shared" si="283"/>
        <v>0</v>
      </c>
      <c r="L183" s="180">
        <f t="shared" si="283"/>
        <v>0</v>
      </c>
      <c r="M183" s="180">
        <f t="shared" si="283"/>
        <v>0</v>
      </c>
      <c r="N183" s="180">
        <f t="shared" si="283"/>
        <v>0</v>
      </c>
      <c r="O183" s="180">
        <f t="shared" si="283"/>
        <v>0</v>
      </c>
      <c r="P183" s="180">
        <f t="shared" si="283"/>
        <v>0</v>
      </c>
      <c r="Q183" s="180">
        <f t="shared" si="283"/>
        <v>0</v>
      </c>
      <c r="R183" s="180">
        <f t="shared" si="283"/>
        <v>0</v>
      </c>
      <c r="S183" s="180">
        <f t="shared" si="283"/>
        <v>0</v>
      </c>
      <c r="T183" s="180">
        <f t="shared" si="283"/>
        <v>0</v>
      </c>
      <c r="U183" s="180">
        <f t="shared" si="283"/>
        <v>0</v>
      </c>
      <c r="V183" s="180">
        <f t="shared" si="283"/>
        <v>0</v>
      </c>
      <c r="W183" s="180">
        <f t="shared" si="283"/>
        <v>0</v>
      </c>
      <c r="X183" s="180">
        <f t="shared" si="283"/>
        <v>0</v>
      </c>
      <c r="Y183" s="180">
        <f t="shared" si="283"/>
        <v>0</v>
      </c>
      <c r="Z183" s="180">
        <f t="shared" si="283"/>
        <v>0</v>
      </c>
      <c r="AA183" s="180">
        <f t="shared" si="283"/>
        <v>0</v>
      </c>
      <c r="AB183" s="180">
        <f t="shared" si="283"/>
        <v>0</v>
      </c>
      <c r="AC183" s="881"/>
      <c r="AD183" s="881"/>
      <c r="AE183" s="881"/>
      <c r="AF183" s="881"/>
      <c r="AG183" s="881"/>
      <c r="AH183" s="881"/>
      <c r="AI183" s="881"/>
      <c r="AJ183" s="881"/>
      <c r="AK183" s="881"/>
      <c r="AL183" s="881"/>
      <c r="AM183" s="881"/>
      <c r="AN183" s="881"/>
      <c r="AO183" s="881"/>
      <c r="AP183" s="881"/>
      <c r="AQ183" s="881"/>
    </row>
    <row r="184" spans="2:43" ht="3.75" customHeight="1" x14ac:dyDescent="0.35">
      <c r="G184" s="157"/>
      <c r="R184" s="128"/>
      <c r="S184" s="128"/>
      <c r="T184" s="128"/>
      <c r="U184" s="128"/>
      <c r="V184" s="128"/>
      <c r="W184" s="128"/>
      <c r="X184" s="128"/>
      <c r="Y184" s="128"/>
      <c r="Z184" s="128"/>
      <c r="AA184" s="128"/>
      <c r="AB184" s="128"/>
      <c r="AC184" s="899"/>
      <c r="AD184" s="229"/>
      <c r="AE184" s="229"/>
      <c r="AF184" s="229"/>
      <c r="AG184" s="229"/>
      <c r="AH184" s="229"/>
      <c r="AI184" s="229"/>
      <c r="AJ184" s="229"/>
      <c r="AK184" s="229"/>
      <c r="AL184" s="229"/>
      <c r="AM184" s="229"/>
      <c r="AN184" s="229"/>
      <c r="AO184" s="229"/>
      <c r="AP184" s="229"/>
      <c r="AQ184" s="229"/>
    </row>
    <row r="185" spans="2:43" ht="15.5" x14ac:dyDescent="0.35">
      <c r="B185" s="127" t="s">
        <v>527</v>
      </c>
      <c r="E185" s="150">
        <f t="shared" ref="E185:AB185" si="284">+E123</f>
        <v>9.1639999999999997</v>
      </c>
      <c r="F185" s="150">
        <f t="shared" si="284"/>
        <v>21.919</v>
      </c>
      <c r="G185" s="174">
        <f t="shared" si="284"/>
        <v>15.661</v>
      </c>
      <c r="H185" s="150">
        <f t="shared" si="284"/>
        <v>15.298815722152627</v>
      </c>
      <c r="I185" s="150">
        <f t="shared" si="284"/>
        <v>17.390506713017157</v>
      </c>
      <c r="J185" s="150">
        <f t="shared" si="284"/>
        <v>15.556612921289579</v>
      </c>
      <c r="K185" s="150">
        <f t="shared" si="284"/>
        <v>17.03732859209612</v>
      </c>
      <c r="L185" s="150">
        <f t="shared" si="284"/>
        <v>17.146309305200418</v>
      </c>
      <c r="M185" s="150">
        <f t="shared" si="284"/>
        <v>15.233207504001628</v>
      </c>
      <c r="N185" s="150">
        <f t="shared" si="284"/>
        <v>15.332827203856175</v>
      </c>
      <c r="O185" s="150">
        <f t="shared" si="284"/>
        <v>17.249142405951819</v>
      </c>
      <c r="P185" s="150">
        <f t="shared" si="284"/>
        <v>16.064512007379687</v>
      </c>
      <c r="Q185" s="150">
        <f t="shared" si="284"/>
        <v>22.52281740348128</v>
      </c>
      <c r="R185" s="150">
        <f t="shared" si="284"/>
        <v>25.219418419722441</v>
      </c>
      <c r="S185" s="150">
        <f t="shared" si="284"/>
        <v>30.883935901837066</v>
      </c>
      <c r="T185" s="150">
        <f t="shared" si="284"/>
        <v>34.423639321898676</v>
      </c>
      <c r="U185" s="150">
        <f t="shared" si="284"/>
        <v>37.288937848193967</v>
      </c>
      <c r="V185" s="150">
        <f t="shared" si="284"/>
        <v>48.473765775331572</v>
      </c>
      <c r="W185" s="150">
        <f t="shared" si="284"/>
        <v>50.415505812414665</v>
      </c>
      <c r="X185" s="150">
        <f t="shared" si="284"/>
        <v>65.538575348791014</v>
      </c>
      <c r="Y185" s="150">
        <f t="shared" si="284"/>
        <v>63.899960875782966</v>
      </c>
      <c r="Z185" s="150">
        <f t="shared" si="284"/>
        <v>53.250479293913834</v>
      </c>
      <c r="AA185" s="150">
        <f t="shared" si="284"/>
        <v>66.562724650538485</v>
      </c>
      <c r="AB185" s="150">
        <f t="shared" si="284"/>
        <v>79.87531320541521</v>
      </c>
      <c r="AC185" s="863"/>
      <c r="AD185" s="863"/>
      <c r="AE185" s="863"/>
      <c r="AF185" s="863"/>
      <c r="AG185" s="863"/>
      <c r="AH185" s="863"/>
      <c r="AI185" s="863"/>
      <c r="AJ185" s="863"/>
      <c r="AK185" s="863"/>
      <c r="AL185" s="863"/>
      <c r="AM185" s="863"/>
      <c r="AN185" s="863"/>
      <c r="AO185" s="863"/>
      <c r="AP185" s="863"/>
      <c r="AQ185" s="863"/>
    </row>
    <row r="186" spans="2:43" ht="3.75" customHeight="1" x14ac:dyDescent="0.35">
      <c r="G186" s="147"/>
      <c r="R186" s="128"/>
      <c r="S186" s="128"/>
      <c r="T186" s="128"/>
      <c r="U186" s="128"/>
      <c r="V186" s="128"/>
      <c r="W186" s="128"/>
      <c r="X186" s="128"/>
      <c r="Y186" s="128"/>
      <c r="Z186" s="128"/>
      <c r="AA186" s="128"/>
      <c r="AB186" s="128"/>
      <c r="AC186" s="899"/>
      <c r="AD186" s="229"/>
      <c r="AE186" s="229"/>
      <c r="AF186" s="229"/>
      <c r="AG186" s="229"/>
      <c r="AH186" s="229"/>
      <c r="AI186" s="229"/>
      <c r="AJ186" s="229"/>
      <c r="AK186" s="229"/>
      <c r="AL186" s="229"/>
      <c r="AM186" s="229"/>
      <c r="AN186" s="229"/>
      <c r="AO186" s="229"/>
      <c r="AP186" s="229"/>
      <c r="AQ186" s="229"/>
    </row>
    <row r="187" spans="2:43" ht="15.5" x14ac:dyDescent="0.35">
      <c r="B187" s="127" t="s">
        <v>550</v>
      </c>
      <c r="E187" s="150">
        <f t="shared" ref="E187:AB187" si="285">+E126</f>
        <v>3.0219999999999998</v>
      </c>
      <c r="F187" s="150">
        <f t="shared" si="285"/>
        <v>-2.698</v>
      </c>
      <c r="G187" s="181">
        <f t="shared" si="285"/>
        <v>20.861999999999998</v>
      </c>
      <c r="H187" s="173">
        <f t="shared" si="285"/>
        <v>-2.8557527122768072</v>
      </c>
      <c r="I187" s="173">
        <f t="shared" si="285"/>
        <v>4.3563874605540178</v>
      </c>
      <c r="J187" s="173">
        <f t="shared" si="285"/>
        <v>9.008047033990934</v>
      </c>
      <c r="K187" s="173">
        <f t="shared" si="285"/>
        <v>5.056550983642822</v>
      </c>
      <c r="L187" s="173">
        <f t="shared" si="285"/>
        <v>6.5141105797581957</v>
      </c>
      <c r="M187" s="173">
        <f t="shared" si="285"/>
        <v>4.463146207864078</v>
      </c>
      <c r="N187" s="173">
        <f t="shared" si="285"/>
        <v>4.8219151923191319</v>
      </c>
      <c r="O187" s="173">
        <f t="shared" si="285"/>
        <v>1.481745162768199</v>
      </c>
      <c r="P187" s="173">
        <f t="shared" si="285"/>
        <v>-6.9318324525750654</v>
      </c>
      <c r="Q187" s="173">
        <f t="shared" si="285"/>
        <v>-7.2717506944789818</v>
      </c>
      <c r="R187" s="173">
        <f t="shared" si="285"/>
        <v>-17.437415822324624</v>
      </c>
      <c r="S187" s="173">
        <f t="shared" si="285"/>
        <v>-32.146407996860347</v>
      </c>
      <c r="T187" s="173">
        <f t="shared" si="285"/>
        <v>-46.960434297692302</v>
      </c>
      <c r="U187" s="173">
        <f t="shared" si="285"/>
        <v>-53.326983939560989</v>
      </c>
      <c r="V187" s="173">
        <f t="shared" si="285"/>
        <v>-77.348289594078153</v>
      </c>
      <c r="W187" s="173">
        <f t="shared" si="285"/>
        <v>-110.44885217706292</v>
      </c>
      <c r="X187" s="173">
        <f t="shared" si="285"/>
        <v>-148.00437418507289</v>
      </c>
      <c r="Y187" s="173">
        <f t="shared" si="285"/>
        <v>-202.00530656836213</v>
      </c>
      <c r="Z187" s="173">
        <f t="shared" si="285"/>
        <v>-237.69420356393357</v>
      </c>
      <c r="AA187" s="173">
        <f t="shared" si="285"/>
        <v>-288.83073228843421</v>
      </c>
      <c r="AB187" s="173">
        <f t="shared" si="285"/>
        <v>-310.84575239401602</v>
      </c>
      <c r="AC187" s="885"/>
      <c r="AD187" s="885"/>
      <c r="AE187" s="885"/>
      <c r="AF187" s="885"/>
      <c r="AG187" s="885"/>
      <c r="AH187" s="885"/>
      <c r="AI187" s="885"/>
      <c r="AJ187" s="885"/>
      <c r="AK187" s="885"/>
      <c r="AL187" s="885"/>
      <c r="AM187" s="885"/>
      <c r="AN187" s="885"/>
      <c r="AO187" s="885"/>
      <c r="AP187" s="885"/>
      <c r="AQ187" s="885"/>
    </row>
    <row r="188" spans="2:43" ht="3.75" customHeight="1" x14ac:dyDescent="0.35">
      <c r="G188" s="147"/>
      <c r="R188" s="128"/>
      <c r="S188" s="128"/>
      <c r="T188" s="128"/>
      <c r="U188" s="128"/>
      <c r="V188" s="128"/>
      <c r="W188" s="128"/>
      <c r="X188" s="128"/>
      <c r="Y188" s="128"/>
      <c r="Z188" s="128"/>
      <c r="AA188" s="128"/>
      <c r="AB188" s="128"/>
      <c r="AC188" s="899"/>
      <c r="AD188" s="229"/>
      <c r="AE188" s="229"/>
      <c r="AF188" s="229"/>
      <c r="AG188" s="229"/>
      <c r="AH188" s="229"/>
      <c r="AI188" s="229"/>
      <c r="AJ188" s="229"/>
      <c r="AK188" s="229"/>
      <c r="AL188" s="229"/>
      <c r="AM188" s="229"/>
      <c r="AN188" s="229"/>
      <c r="AO188" s="229"/>
      <c r="AP188" s="229"/>
      <c r="AQ188" s="229"/>
    </row>
    <row r="189" spans="2:43" ht="13.5" customHeight="1" x14ac:dyDescent="0.35">
      <c r="B189" s="127" t="s">
        <v>531</v>
      </c>
      <c r="E189" s="150">
        <f t="shared" ref="E189:AB189" si="286">+E132</f>
        <v>-0.42299999999999999</v>
      </c>
      <c r="F189" s="150">
        <f t="shared" si="286"/>
        <v>-0.58299999999999996</v>
      </c>
      <c r="G189" s="174">
        <f t="shared" si="286"/>
        <v>-2.395</v>
      </c>
      <c r="H189" s="150">
        <f t="shared" si="286"/>
        <v>0</v>
      </c>
      <c r="I189" s="150">
        <f t="shared" si="286"/>
        <v>0</v>
      </c>
      <c r="J189" s="150">
        <f t="shared" si="286"/>
        <v>0</v>
      </c>
      <c r="K189" s="150">
        <f t="shared" si="286"/>
        <v>0</v>
      </c>
      <c r="L189" s="150">
        <f t="shared" si="286"/>
        <v>0</v>
      </c>
      <c r="M189" s="150">
        <f t="shared" si="286"/>
        <v>0</v>
      </c>
      <c r="N189" s="150">
        <f t="shared" si="286"/>
        <v>0</v>
      </c>
      <c r="O189" s="150">
        <f t="shared" si="286"/>
        <v>0</v>
      </c>
      <c r="P189" s="150">
        <f t="shared" si="286"/>
        <v>0</v>
      </c>
      <c r="Q189" s="150">
        <f t="shared" si="286"/>
        <v>0</v>
      </c>
      <c r="R189" s="150">
        <f t="shared" si="286"/>
        <v>0</v>
      </c>
      <c r="S189" s="150">
        <f t="shared" si="286"/>
        <v>0</v>
      </c>
      <c r="T189" s="150">
        <f t="shared" si="286"/>
        <v>0</v>
      </c>
      <c r="U189" s="150">
        <f t="shared" si="286"/>
        <v>0</v>
      </c>
      <c r="V189" s="150">
        <f t="shared" si="286"/>
        <v>0</v>
      </c>
      <c r="W189" s="150">
        <f t="shared" si="286"/>
        <v>0</v>
      </c>
      <c r="X189" s="150">
        <f t="shared" si="286"/>
        <v>0</v>
      </c>
      <c r="Y189" s="150">
        <f t="shared" si="286"/>
        <v>0</v>
      </c>
      <c r="Z189" s="150">
        <f t="shared" si="286"/>
        <v>0</v>
      </c>
      <c r="AA189" s="150">
        <f t="shared" si="286"/>
        <v>0</v>
      </c>
      <c r="AB189" s="150">
        <f t="shared" si="286"/>
        <v>0</v>
      </c>
      <c r="AC189" s="863"/>
      <c r="AD189" s="863"/>
      <c r="AE189" s="863"/>
      <c r="AF189" s="863"/>
      <c r="AG189" s="863"/>
      <c r="AH189" s="863"/>
      <c r="AI189" s="863"/>
      <c r="AJ189" s="863"/>
      <c r="AK189" s="863"/>
      <c r="AL189" s="863"/>
      <c r="AM189" s="863"/>
      <c r="AN189" s="863"/>
      <c r="AO189" s="863"/>
      <c r="AP189" s="863"/>
      <c r="AQ189" s="863"/>
    </row>
    <row r="190" spans="2:43" ht="3.75" customHeight="1" x14ac:dyDescent="0.35">
      <c r="B190" s="151"/>
      <c r="E190" s="153"/>
      <c r="F190" s="153"/>
      <c r="G190" s="161"/>
      <c r="H190" s="176"/>
      <c r="I190" s="176"/>
      <c r="J190" s="176"/>
      <c r="K190" s="176"/>
      <c r="L190" s="176"/>
      <c r="M190" s="176"/>
      <c r="N190" s="176"/>
      <c r="O190" s="176"/>
      <c r="P190" s="176"/>
      <c r="Q190" s="176"/>
      <c r="R190" s="128"/>
      <c r="S190" s="128"/>
      <c r="T190" s="128"/>
      <c r="U190" s="128"/>
      <c r="V190" s="128"/>
      <c r="W190" s="128"/>
      <c r="X190" s="128"/>
      <c r="Y190" s="128"/>
      <c r="Z190" s="128"/>
      <c r="AA190" s="128"/>
      <c r="AB190" s="128"/>
      <c r="AC190" s="899"/>
      <c r="AD190" s="229"/>
      <c r="AE190" s="229"/>
      <c r="AF190" s="229"/>
      <c r="AG190" s="229"/>
      <c r="AH190" s="229"/>
      <c r="AI190" s="229"/>
      <c r="AJ190" s="229"/>
      <c r="AK190" s="229"/>
      <c r="AL190" s="229"/>
      <c r="AM190" s="229"/>
      <c r="AN190" s="229"/>
      <c r="AO190" s="229"/>
      <c r="AP190" s="229"/>
      <c r="AQ190" s="229"/>
    </row>
    <row r="191" spans="2:43" ht="15.5" x14ac:dyDescent="0.35">
      <c r="B191" s="182" t="s">
        <v>22</v>
      </c>
      <c r="C191" s="183"/>
      <c r="D191" s="183"/>
      <c r="E191" s="184">
        <f t="shared" ref="E191:AB191" si="287">IFERROR(E181+E183+E189+E187+E185,"")</f>
        <v>22.096</v>
      </c>
      <c r="F191" s="184">
        <f t="shared" si="287"/>
        <v>-56.784999999999997</v>
      </c>
      <c r="G191" s="185">
        <f t="shared" si="287"/>
        <v>-36.725999999999999</v>
      </c>
      <c r="H191" s="184">
        <f ca="1">IFERROR(H181+H183+H189+H187+H185,"")</f>
        <v>-70.287950323457522</v>
      </c>
      <c r="I191" s="184">
        <f t="shared" ca="1" si="287"/>
        <v>-83.004918270873262</v>
      </c>
      <c r="J191" s="184">
        <f t="shared" ca="1" si="287"/>
        <v>-108.34030339286761</v>
      </c>
      <c r="K191" s="184">
        <f t="shared" ca="1" si="287"/>
        <v>-146.48189569142153</v>
      </c>
      <c r="L191" s="184">
        <f t="shared" ca="1" si="287"/>
        <v>-171.10264838690961</v>
      </c>
      <c r="M191" s="184">
        <f t="shared" ca="1" si="287"/>
        <v>-205.27014800372268</v>
      </c>
      <c r="N191" s="184">
        <f t="shared" ca="1" si="287"/>
        <v>-187.68066031113332</v>
      </c>
      <c r="O191" s="184">
        <f t="shared" ca="1" si="287"/>
        <v>-145.86671893466266</v>
      </c>
      <c r="P191" s="184">
        <f t="shared" ca="1" si="287"/>
        <v>-90.380889911359333</v>
      </c>
      <c r="Q191" s="307">
        <f t="shared" ca="1" si="287"/>
        <v>-5.1574621143635859</v>
      </c>
      <c r="R191" s="307">
        <f t="shared" ca="1" si="287"/>
        <v>122.47375225369764</v>
      </c>
      <c r="S191" s="307">
        <f t="shared" ca="1" si="287"/>
        <v>299.69503663387457</v>
      </c>
      <c r="T191" s="307">
        <f t="shared" ca="1" si="287"/>
        <v>526.80187365918118</v>
      </c>
      <c r="U191" s="307">
        <f t="shared" ca="1" si="287"/>
        <v>876.91984564529446</v>
      </c>
      <c r="V191" s="307">
        <f t="shared" ca="1" si="287"/>
        <v>1346.3143138777418</v>
      </c>
      <c r="W191" s="307">
        <f t="shared" ca="1" si="287"/>
        <v>2047.8240488015606</v>
      </c>
      <c r="X191" s="307">
        <f t="shared" ca="1" si="287"/>
        <v>3019.1366489569668</v>
      </c>
      <c r="Y191" s="307">
        <f t="shared" ca="1" si="287"/>
        <v>4459.0847293777369</v>
      </c>
      <c r="Z191" s="307">
        <f t="shared" ca="1" si="287"/>
        <v>6526.4720497272529</v>
      </c>
      <c r="AA191" s="307">
        <f t="shared" ca="1" si="287"/>
        <v>9348.2447977135562</v>
      </c>
      <c r="AB191" s="184">
        <f t="shared" ca="1" si="287"/>
        <v>13320.344487543891</v>
      </c>
      <c r="AC191" s="199"/>
      <c r="AD191" s="199"/>
      <c r="AE191" s="199"/>
      <c r="AF191" s="199"/>
      <c r="AG191" s="199"/>
      <c r="AH191" s="199"/>
      <c r="AI191" s="199"/>
      <c r="AJ191" s="199"/>
      <c r="AK191" s="199"/>
      <c r="AL191" s="199"/>
      <c r="AM191" s="199"/>
      <c r="AN191" s="199"/>
      <c r="AO191" s="199"/>
      <c r="AP191" s="199"/>
      <c r="AQ191" s="199"/>
    </row>
    <row r="192" spans="2:43" ht="15.5" x14ac:dyDescent="0.35">
      <c r="B192" s="186" t="s">
        <v>551</v>
      </c>
      <c r="C192" s="187"/>
      <c r="D192" s="187"/>
      <c r="E192" s="187"/>
      <c r="F192" s="187"/>
      <c r="G192" s="188"/>
      <c r="H192" s="189">
        <f ca="1">IFERROR(H191/(1+$C$12)^H194,"")</f>
        <v>-69.670771067454751</v>
      </c>
      <c r="I192" s="189">
        <f t="shared" ref="I192:P192" ca="1" si="288">IFERROR(I191/(1+$C$12)^I194,"")</f>
        <v>-76.671060208316902</v>
      </c>
      <c r="J192" s="189">
        <f t="shared" ca="1" si="288"/>
        <v>-93.25574464485608</v>
      </c>
      <c r="K192" s="189">
        <f t="shared" ca="1" si="288"/>
        <v>-117.49716905545195</v>
      </c>
      <c r="L192" s="189">
        <f t="shared" ca="1" si="288"/>
        <v>-127.89633142571887</v>
      </c>
      <c r="M192" s="189">
        <f t="shared" ca="1" si="288"/>
        <v>-142.98321415520337</v>
      </c>
      <c r="N192" s="189">
        <f t="shared" ca="1" si="288"/>
        <v>-121.8250749193509</v>
      </c>
      <c r="O192" s="189">
        <f t="shared" ca="1" si="288"/>
        <v>-88.233048177607614</v>
      </c>
      <c r="P192" s="189">
        <f t="shared" ca="1" si="288"/>
        <v>-50.945940770654367</v>
      </c>
      <c r="Q192" s="190">
        <f ca="1">IFERROR(Q191/(1+$C$12)^Q194,"")</f>
        <v>-2.7091117754233736</v>
      </c>
      <c r="R192" s="190">
        <f t="shared" ref="R192:AB192" ca="1" si="289">IFERROR(R191/(1+$C$12)^R194,"")</f>
        <v>59.950361409037065</v>
      </c>
      <c r="S192" s="190">
        <f t="shared" ca="1" si="289"/>
        <v>136.70557843437055</v>
      </c>
      <c r="T192" s="190">
        <f t="shared" ca="1" si="289"/>
        <v>223.92980487751765</v>
      </c>
      <c r="U192" s="190">
        <f t="shared" ca="1" si="289"/>
        <v>347.36206976626301</v>
      </c>
      <c r="V192" s="190">
        <f t="shared" ca="1" si="289"/>
        <v>496.96621202077961</v>
      </c>
      <c r="W192" s="190">
        <f t="shared" ca="1" si="289"/>
        <v>704.4188074431471</v>
      </c>
      <c r="X192" s="190">
        <f ca="1">IFERROR(X191/(1+$C$12)^X194,"")</f>
        <v>967.7852045398721</v>
      </c>
      <c r="Y192" s="190">
        <f t="shared" ca="1" si="289"/>
        <v>1331.9865435461595</v>
      </c>
      <c r="Z192" s="190">
        <f t="shared" ca="1" si="289"/>
        <v>1816.7304672335831</v>
      </c>
      <c r="AA192" s="190">
        <f t="shared" ca="1" si="289"/>
        <v>2424.9344198295498</v>
      </c>
      <c r="AB192" s="189">
        <f t="shared" ca="1" si="289"/>
        <v>3219.9066607262703</v>
      </c>
      <c r="AC192" s="199"/>
      <c r="AD192" s="199"/>
      <c r="AE192" s="199"/>
      <c r="AF192" s="199"/>
      <c r="AG192" s="199"/>
      <c r="AH192" s="199"/>
      <c r="AI192" s="199"/>
      <c r="AJ192" s="199"/>
      <c r="AK192" s="199"/>
      <c r="AL192" s="199"/>
      <c r="AM192" s="199"/>
      <c r="AN192" s="199"/>
      <c r="AO192" s="199"/>
      <c r="AP192" s="199"/>
      <c r="AQ192" s="199"/>
    </row>
    <row r="193" spans="2:43" ht="3.75" customHeight="1" x14ac:dyDescent="0.35">
      <c r="G193" s="147"/>
      <c r="R193" s="128"/>
      <c r="S193" s="128"/>
      <c r="T193" s="128"/>
      <c r="U193" s="128"/>
      <c r="V193" s="128"/>
      <c r="W193" s="128"/>
      <c r="X193" s="128"/>
      <c r="Y193" s="128"/>
      <c r="Z193" s="128"/>
      <c r="AA193" s="128"/>
      <c r="AB193" s="128"/>
      <c r="AC193" s="899"/>
      <c r="AD193" s="229"/>
      <c r="AE193" s="229"/>
      <c r="AF193" s="229"/>
      <c r="AG193" s="229"/>
      <c r="AH193" s="229"/>
      <c r="AI193" s="229"/>
      <c r="AJ193" s="229"/>
      <c r="AK193" s="229"/>
      <c r="AL193" s="229"/>
      <c r="AM193" s="229"/>
      <c r="AN193" s="229"/>
      <c r="AO193" s="229"/>
      <c r="AP193" s="229"/>
      <c r="AQ193" s="229"/>
    </row>
    <row r="194" spans="2:43" ht="15.5" x14ac:dyDescent="0.35">
      <c r="B194" s="127" t="s">
        <v>552</v>
      </c>
      <c r="G194" s="147"/>
      <c r="H194" s="191">
        <f ca="1">+H195/2</f>
        <v>0.125</v>
      </c>
      <c r="I194" s="191">
        <f ca="1">+H194+1</f>
        <v>1.125</v>
      </c>
      <c r="J194" s="191">
        <f t="shared" ref="J194:Q194" ca="1" si="290">+I194+1</f>
        <v>2.125</v>
      </c>
      <c r="K194" s="191">
        <f ca="1">+J194+1</f>
        <v>3.125</v>
      </c>
      <c r="L194" s="191">
        <f t="shared" ca="1" si="290"/>
        <v>4.125</v>
      </c>
      <c r="M194" s="191">
        <f t="shared" ca="1" si="290"/>
        <v>5.125</v>
      </c>
      <c r="N194" s="191">
        <f t="shared" ca="1" si="290"/>
        <v>6.125</v>
      </c>
      <c r="O194" s="191">
        <f t="shared" ca="1" si="290"/>
        <v>7.125</v>
      </c>
      <c r="P194" s="191">
        <f t="shared" ca="1" si="290"/>
        <v>8.125</v>
      </c>
      <c r="Q194" s="191">
        <f t="shared" ca="1" si="290"/>
        <v>9.125</v>
      </c>
      <c r="R194" s="191">
        <f t="shared" ref="R194" ca="1" si="291">+Q194+1</f>
        <v>10.125</v>
      </c>
      <c r="S194" s="191">
        <f t="shared" ref="S194" ca="1" si="292">+R194+1</f>
        <v>11.125</v>
      </c>
      <c r="T194" s="191">
        <f t="shared" ref="T194" ca="1" si="293">+S194+1</f>
        <v>12.125</v>
      </c>
      <c r="U194" s="191">
        <f t="shared" ref="U194" ca="1" si="294">+T194+1</f>
        <v>13.125</v>
      </c>
      <c r="V194" s="191">
        <f t="shared" ref="V194" ca="1" si="295">+U194+1</f>
        <v>14.125</v>
      </c>
      <c r="W194" s="191">
        <f t="shared" ref="W194" ca="1" si="296">+V194+1</f>
        <v>15.125</v>
      </c>
      <c r="X194" s="191">
        <f t="shared" ref="X194" ca="1" si="297">+W194+1</f>
        <v>16.125</v>
      </c>
      <c r="Y194" s="191">
        <f t="shared" ref="Y194" ca="1" si="298">+X194+1</f>
        <v>17.125</v>
      </c>
      <c r="Z194" s="191">
        <f t="shared" ref="Z194" ca="1" si="299">+Y194+1</f>
        <v>18.125</v>
      </c>
      <c r="AA194" s="191">
        <f t="shared" ref="AA194" ca="1" si="300">+Z194+1</f>
        <v>19.125</v>
      </c>
      <c r="AB194" s="191">
        <f t="shared" ref="AB194" ca="1" si="301">+AA194+1</f>
        <v>20.125</v>
      </c>
      <c r="AC194" s="890"/>
      <c r="AD194" s="890"/>
      <c r="AE194" s="890"/>
      <c r="AF194" s="890"/>
      <c r="AG194" s="890"/>
      <c r="AH194" s="890"/>
      <c r="AI194" s="890"/>
      <c r="AJ194" s="890"/>
      <c r="AK194" s="890"/>
      <c r="AL194" s="890"/>
      <c r="AM194" s="890"/>
      <c r="AN194" s="890"/>
      <c r="AO194" s="890"/>
      <c r="AP194" s="890"/>
      <c r="AQ194" s="890"/>
    </row>
    <row r="195" spans="2:43" ht="15.5" hidden="1" x14ac:dyDescent="0.35">
      <c r="B195" s="127" t="s">
        <v>553</v>
      </c>
      <c r="G195" s="147"/>
      <c r="H195" s="191">
        <f ca="1">YEARFRAC(P195,P196)</f>
        <v>0.25</v>
      </c>
      <c r="P195" s="192">
        <f ca="1">TODAY()</f>
        <v>45930</v>
      </c>
      <c r="R195" s="128"/>
      <c r="S195" s="128"/>
      <c r="T195" s="128"/>
      <c r="U195" s="128"/>
      <c r="V195" s="128"/>
      <c r="W195" s="128"/>
      <c r="X195" s="128"/>
      <c r="Y195" s="128"/>
      <c r="Z195" s="128"/>
      <c r="AA195" s="128"/>
      <c r="AB195" s="128"/>
      <c r="AC195" s="899"/>
      <c r="AD195" s="229"/>
      <c r="AE195" s="229"/>
    </row>
    <row r="196" spans="2:43" s="128" customFormat="1" ht="3.75" customHeight="1" x14ac:dyDescent="0.35">
      <c r="G196" s="193"/>
      <c r="P196" s="192">
        <v>46022</v>
      </c>
      <c r="AC196" s="899"/>
      <c r="AD196" s="899"/>
      <c r="AE196" s="899"/>
    </row>
    <row r="197" spans="2:43" ht="15.5" x14ac:dyDescent="0.35">
      <c r="B197" s="127" t="s">
        <v>554</v>
      </c>
      <c r="G197" s="147"/>
      <c r="L197" s="194" t="str">
        <f ca="1">IFERROR((#REF!*(1+$C$14))/($C$12-$C$14),"")</f>
        <v/>
      </c>
      <c r="P197" s="195"/>
      <c r="Q197" s="196"/>
      <c r="R197" s="196"/>
      <c r="S197" s="196"/>
      <c r="T197" s="196"/>
      <c r="U197" s="196"/>
      <c r="V197" s="196"/>
      <c r="W197" s="196"/>
      <c r="X197" s="196"/>
      <c r="Y197" s="196"/>
      <c r="Z197" s="196"/>
      <c r="AA197" s="196"/>
      <c r="AB197" s="196">
        <f ca="1">IFERROR(+(AB191*(1+$C$14))/($C$12-$C$14),"")</f>
        <v>255848.39492621747</v>
      </c>
      <c r="AC197" s="881"/>
      <c r="AD197" s="881"/>
      <c r="AE197" s="881"/>
    </row>
    <row r="198" spans="2:43" ht="15.5" x14ac:dyDescent="0.35">
      <c r="B198" s="127" t="s">
        <v>555</v>
      </c>
      <c r="G198" s="147"/>
      <c r="L198" s="194" t="str">
        <f ca="1">IFERROR(L197/(1+$C$12)^#REF!,"")</f>
        <v/>
      </c>
      <c r="Q198" s="167"/>
      <c r="R198" s="167"/>
      <c r="S198" s="167"/>
      <c r="T198" s="167"/>
      <c r="U198" s="167"/>
      <c r="V198" s="167"/>
      <c r="W198" s="167"/>
      <c r="X198" s="167"/>
      <c r="Y198" s="167"/>
      <c r="Z198" s="167"/>
      <c r="AA198" s="167"/>
      <c r="AB198" s="167">
        <f ca="1">IFERROR(AB197/(1+$C$12)^$Q$194,"")</f>
        <v>134392.04865653472</v>
      </c>
      <c r="AC198" s="199"/>
      <c r="AD198" s="199"/>
      <c r="AE198" s="199"/>
    </row>
    <row r="199" spans="2:43" ht="15.5" x14ac:dyDescent="0.35">
      <c r="B199" s="127" t="s">
        <v>556</v>
      </c>
      <c r="G199" s="147"/>
      <c r="L199" s="197"/>
      <c r="Q199" s="167"/>
      <c r="R199" s="665">
        <f ca="1">+SUM(T192:AC192,R198)</f>
        <v>11534.020189983143</v>
      </c>
      <c r="S199" s="128">
        <f ca="1">+SUM(S198,U191:AC191)</f>
        <v>40944.340921644005</v>
      </c>
      <c r="T199" s="608"/>
      <c r="U199" s="135"/>
      <c r="V199" s="135"/>
      <c r="W199" s="128"/>
      <c r="X199" s="128"/>
      <c r="Y199" s="128"/>
      <c r="Z199" s="128"/>
      <c r="AA199" s="128"/>
      <c r="AB199" s="167">
        <f ca="1">+SUM(E192:AB192,AB198)</f>
        <v>145231.03732016124</v>
      </c>
      <c r="AC199" s="199"/>
      <c r="AD199" s="199"/>
      <c r="AE199" s="199"/>
    </row>
    <row r="200" spans="2:43" ht="15.5" x14ac:dyDescent="0.35">
      <c r="B200" s="127" t="s">
        <v>557</v>
      </c>
      <c r="G200" s="147"/>
      <c r="L200" s="197"/>
      <c r="Q200" s="892"/>
      <c r="R200" s="892"/>
      <c r="S200" s="892"/>
      <c r="T200" s="892"/>
      <c r="U200" s="892"/>
      <c r="V200" s="892"/>
      <c r="W200" s="892"/>
      <c r="X200" s="892"/>
      <c r="Y200" s="892"/>
      <c r="Z200" s="892"/>
      <c r="AA200" s="892"/>
      <c r="AB200" s="898">
        <f>Inputs!Q33</f>
        <v>177.98</v>
      </c>
      <c r="AC200" s="900"/>
      <c r="AD200" s="900"/>
      <c r="AE200" s="900"/>
    </row>
    <row r="201" spans="2:43" ht="15.5" x14ac:dyDescent="0.35">
      <c r="B201" s="127" t="s">
        <v>558</v>
      </c>
      <c r="G201" s="147"/>
      <c r="L201" s="197"/>
      <c r="Q201" s="892"/>
      <c r="R201" s="892"/>
      <c r="S201" s="892"/>
      <c r="T201" s="892"/>
      <c r="U201" s="892"/>
      <c r="V201" s="892"/>
      <c r="W201" s="892"/>
      <c r="X201" s="892"/>
      <c r="Y201" s="892"/>
      <c r="Z201" s="892"/>
      <c r="AA201" s="892"/>
      <c r="AB201" s="898">
        <v>0</v>
      </c>
      <c r="AC201" s="900"/>
      <c r="AD201" s="900"/>
      <c r="AE201" s="900"/>
    </row>
    <row r="202" spans="2:43" ht="15.5" x14ac:dyDescent="0.35">
      <c r="B202" s="127" t="s">
        <v>559</v>
      </c>
      <c r="G202" s="147"/>
      <c r="M202" s="198"/>
      <c r="Q202" s="892"/>
      <c r="R202" s="892"/>
      <c r="S202" s="892"/>
      <c r="T202" s="892"/>
      <c r="U202" s="892"/>
      <c r="V202" s="892"/>
      <c r="W202" s="892"/>
      <c r="X202" s="892"/>
      <c r="Y202" s="892"/>
      <c r="Z202" s="892"/>
      <c r="AA202" s="892"/>
      <c r="AB202" s="898">
        <v>0</v>
      </c>
      <c r="AC202" s="900"/>
      <c r="AD202" s="900"/>
      <c r="AE202" s="900"/>
    </row>
    <row r="203" spans="2:43" ht="15.5" x14ac:dyDescent="0.35">
      <c r="B203" s="127" t="s">
        <v>560</v>
      </c>
      <c r="G203" s="147"/>
      <c r="Q203" s="892"/>
      <c r="R203" s="892"/>
      <c r="S203" s="892"/>
      <c r="T203" s="892"/>
      <c r="U203" s="892"/>
      <c r="V203" s="892"/>
      <c r="W203" s="892"/>
      <c r="X203" s="892"/>
      <c r="Y203" s="892"/>
      <c r="Z203" s="892"/>
      <c r="AA203" s="892"/>
      <c r="AB203" s="898">
        <f>Inputs!Q100</f>
        <v>38.377000000000002</v>
      </c>
      <c r="AC203" s="900"/>
      <c r="AD203" s="900"/>
      <c r="AE203" s="900"/>
    </row>
    <row r="204" spans="2:43" ht="15.5" x14ac:dyDescent="0.35">
      <c r="B204" s="127" t="s">
        <v>209</v>
      </c>
      <c r="G204" s="147"/>
      <c r="Q204" s="199"/>
      <c r="R204" s="199"/>
      <c r="S204" s="199"/>
      <c r="T204" s="199"/>
      <c r="U204" s="199"/>
      <c r="V204" s="199"/>
      <c r="W204" s="199"/>
      <c r="X204" s="199"/>
      <c r="Y204" s="199"/>
      <c r="Z204" s="199"/>
      <c r="AA204" s="199"/>
      <c r="AB204" s="167">
        <f ca="1">AB199+AB200-AB201-AB202-AB203</f>
        <v>145370.64032016124</v>
      </c>
      <c r="AC204" s="199"/>
      <c r="AD204" s="199"/>
      <c r="AE204" s="199"/>
    </row>
    <row r="205" spans="2:43" ht="3.75" customHeight="1" x14ac:dyDescent="0.35">
      <c r="G205" s="147"/>
      <c r="Q205" s="199"/>
      <c r="R205" s="132"/>
      <c r="S205" s="132"/>
      <c r="T205" s="132"/>
      <c r="U205" s="132"/>
      <c r="V205" s="132"/>
      <c r="W205" s="128"/>
      <c r="X205" s="128"/>
      <c r="Y205" s="128"/>
      <c r="Z205" s="128"/>
      <c r="AA205" s="128"/>
      <c r="AB205" s="128"/>
      <c r="AC205" s="899"/>
      <c r="AD205" s="229"/>
      <c r="AE205" s="229"/>
    </row>
    <row r="206" spans="2:43" ht="15.5" x14ac:dyDescent="0.35">
      <c r="B206" s="127" t="s">
        <v>561</v>
      </c>
      <c r="G206" s="147"/>
      <c r="O206" s="151"/>
      <c r="Q206" s="196"/>
      <c r="R206" s="196"/>
      <c r="S206" s="196"/>
      <c r="T206" s="196"/>
      <c r="U206" s="196"/>
      <c r="V206" s="196"/>
      <c r="W206" s="196"/>
      <c r="X206" s="196"/>
      <c r="Y206" s="196"/>
      <c r="Z206" s="196"/>
      <c r="AA206" s="196"/>
      <c r="AB206" s="196" cm="1">
        <f t="array" aca="1" ref="AB206" ca="1">IFERROR(_FV(R4,"Shares outstanding",TRUE)/1000,"")</f>
        <v>342018.3</v>
      </c>
      <c r="AC206" s="881"/>
      <c r="AD206" s="881"/>
      <c r="AE206" s="881"/>
    </row>
    <row r="207" spans="2:43" ht="15.5" x14ac:dyDescent="0.35">
      <c r="B207" s="148" t="s">
        <v>562</v>
      </c>
      <c r="G207" s="147"/>
      <c r="N207" s="200"/>
      <c r="Q207" s="201"/>
      <c r="R207" s="201"/>
      <c r="S207" s="201"/>
      <c r="T207" s="201"/>
      <c r="U207" s="201"/>
      <c r="V207" s="201"/>
      <c r="W207" s="201"/>
      <c r="X207" s="201"/>
      <c r="Y207" s="201"/>
      <c r="Z207" s="201"/>
      <c r="AA207" s="201"/>
      <c r="AB207" s="201">
        <f ca="1">IFERROR(AB204/AB$206,"")</f>
        <v>0.42503760857287826</v>
      </c>
      <c r="AC207" s="901"/>
      <c r="AD207" s="901"/>
      <c r="AE207" s="901"/>
    </row>
    <row r="208" spans="2:43" ht="3.75" customHeight="1" x14ac:dyDescent="0.35">
      <c r="G208" s="147"/>
      <c r="R208" s="132"/>
      <c r="S208" s="132"/>
      <c r="T208" s="132"/>
      <c r="U208" s="132"/>
      <c r="V208" s="132"/>
      <c r="W208" s="128"/>
      <c r="X208" s="128"/>
      <c r="Y208" s="128"/>
      <c r="Z208" s="128"/>
      <c r="AA208" s="128"/>
      <c r="AB208" s="128"/>
      <c r="AC208" s="899"/>
      <c r="AD208" s="229"/>
      <c r="AE208" s="229"/>
    </row>
    <row r="209" spans="1:43" ht="15.5" x14ac:dyDescent="0.35">
      <c r="B209" s="127" t="s">
        <v>563</v>
      </c>
      <c r="G209" s="147"/>
      <c r="Q209" s="201"/>
      <c r="R209" s="201"/>
      <c r="S209" s="201"/>
      <c r="T209" s="201"/>
      <c r="U209" s="201"/>
      <c r="V209" s="201"/>
      <c r="W209" s="201"/>
      <c r="X209" s="201"/>
      <c r="Y209" s="201"/>
      <c r="Z209" s="201"/>
      <c r="AA209" s="201"/>
      <c r="AB209" s="201" cm="1">
        <f t="array" aca="1" ref="AB209" ca="1">IFERROR(_FV(R4,"Price"),"")</f>
        <v>24.7</v>
      </c>
      <c r="AC209" s="901"/>
      <c r="AD209" s="901"/>
      <c r="AE209" s="901"/>
    </row>
    <row r="210" spans="1:43" ht="15.5" x14ac:dyDescent="0.35">
      <c r="B210" s="148" t="s">
        <v>564</v>
      </c>
      <c r="C210" s="148"/>
      <c r="D210" s="148"/>
      <c r="E210" s="148"/>
      <c r="F210" s="148"/>
      <c r="G210" s="202"/>
      <c r="H210" s="148"/>
      <c r="I210" s="148"/>
      <c r="J210" s="148"/>
      <c r="K210" s="148"/>
      <c r="L210" s="148"/>
      <c r="M210" s="148"/>
      <c r="N210" s="148"/>
      <c r="O210" s="148"/>
      <c r="P210" s="148"/>
      <c r="Q210" s="203"/>
      <c r="R210" s="203"/>
      <c r="S210" s="203"/>
      <c r="T210" s="203"/>
      <c r="U210" s="203"/>
      <c r="V210" s="203"/>
      <c r="W210" s="203"/>
      <c r="X210" s="203"/>
      <c r="Y210" s="203"/>
      <c r="Z210" s="203"/>
      <c r="AA210" s="203"/>
      <c r="AB210" s="203">
        <f ca="1">IFERROR(AB207/AB209-1,"")</f>
        <v>-0.98279199965291986</v>
      </c>
      <c r="AC210" s="902"/>
      <c r="AD210" s="902"/>
      <c r="AE210" s="902"/>
    </row>
    <row r="211" spans="1:43" ht="5.25" customHeight="1" x14ac:dyDescent="0.35">
      <c r="B211" s="148"/>
      <c r="C211" s="148"/>
      <c r="D211" s="148"/>
      <c r="E211" s="148"/>
      <c r="F211" s="148"/>
      <c r="G211" s="202"/>
      <c r="H211" s="148"/>
      <c r="I211" s="148"/>
      <c r="J211" s="148"/>
      <c r="K211" s="148"/>
      <c r="L211" s="148"/>
      <c r="M211" s="148"/>
      <c r="N211" s="148"/>
      <c r="O211" s="148"/>
      <c r="P211" s="148"/>
      <c r="Q211" s="203"/>
      <c r="R211" s="128"/>
      <c r="S211" s="128"/>
      <c r="T211" s="128"/>
      <c r="U211" s="128"/>
      <c r="V211" s="128"/>
      <c r="W211" s="128"/>
      <c r="X211" s="128"/>
      <c r="Y211" s="128"/>
      <c r="Z211" s="128"/>
      <c r="AA211" s="128"/>
      <c r="AB211" s="128"/>
      <c r="AC211" s="899"/>
      <c r="AD211" s="229"/>
      <c r="AE211" s="229"/>
    </row>
    <row r="212" spans="1:43" ht="15.5" x14ac:dyDescent="0.35">
      <c r="A212" s="127" t="s">
        <v>431</v>
      </c>
      <c r="B212" s="49" t="s">
        <v>565</v>
      </c>
      <c r="C212" s="49"/>
      <c r="D212" s="49"/>
      <c r="E212" s="138">
        <f>E167</f>
        <v>2022</v>
      </c>
      <c r="F212" s="138">
        <f t="shared" ref="F212:Q212" si="302">F167</f>
        <v>2023</v>
      </c>
      <c r="G212" s="138">
        <f t="shared" si="302"/>
        <v>2024</v>
      </c>
      <c r="H212" s="138">
        <f t="shared" si="302"/>
        <v>2025</v>
      </c>
      <c r="I212" s="138">
        <f t="shared" si="302"/>
        <v>2026</v>
      </c>
      <c r="J212" s="138">
        <f t="shared" si="302"/>
        <v>2027</v>
      </c>
      <c r="K212" s="138">
        <f t="shared" si="302"/>
        <v>2028</v>
      </c>
      <c r="L212" s="138">
        <f t="shared" si="302"/>
        <v>2029</v>
      </c>
      <c r="M212" s="138">
        <f t="shared" si="302"/>
        <v>2030</v>
      </c>
      <c r="N212" s="138">
        <f t="shared" si="302"/>
        <v>2031</v>
      </c>
      <c r="O212" s="138">
        <f t="shared" si="302"/>
        <v>2032</v>
      </c>
      <c r="P212" s="138">
        <f t="shared" si="302"/>
        <v>2033</v>
      </c>
      <c r="Q212" s="138">
        <f t="shared" si="302"/>
        <v>2034</v>
      </c>
      <c r="R212" s="348" t="s">
        <v>566</v>
      </c>
      <c r="S212" s="348" t="s">
        <v>567</v>
      </c>
      <c r="T212" s="348" t="s">
        <v>568</v>
      </c>
      <c r="U212" s="348" t="s">
        <v>462</v>
      </c>
      <c r="V212" s="348" t="s">
        <v>463</v>
      </c>
      <c r="W212" s="348" t="s">
        <v>464</v>
      </c>
      <c r="X212" s="348" t="s">
        <v>465</v>
      </c>
      <c r="Y212" s="348" t="s">
        <v>466</v>
      </c>
      <c r="Z212" s="348" t="s">
        <v>467</v>
      </c>
      <c r="AA212" s="348" t="s">
        <v>468</v>
      </c>
      <c r="AB212" s="348" t="s">
        <v>469</v>
      </c>
      <c r="AC212" s="861"/>
      <c r="AD212" s="861"/>
      <c r="AE212" s="861"/>
      <c r="AF212" s="861"/>
      <c r="AG212" s="861"/>
      <c r="AH212" s="861"/>
      <c r="AI212" s="861"/>
      <c r="AJ212" s="861"/>
      <c r="AK212" s="861"/>
      <c r="AL212" s="861"/>
      <c r="AM212" s="861"/>
      <c r="AN212" s="861"/>
      <c r="AO212" s="861"/>
      <c r="AP212" s="861"/>
      <c r="AQ212" s="861"/>
    </row>
    <row r="213" spans="1:43" ht="3.75" customHeight="1" x14ac:dyDescent="0.35">
      <c r="B213" s="50"/>
      <c r="C213" s="50"/>
      <c r="D213" s="50"/>
      <c r="E213" s="50"/>
      <c r="F213" s="50"/>
      <c r="G213" s="164"/>
      <c r="H213" s="50"/>
      <c r="I213" s="50"/>
      <c r="J213" s="50"/>
      <c r="K213" s="50"/>
      <c r="L213" s="50"/>
      <c r="M213" s="50"/>
      <c r="N213" s="50"/>
      <c r="O213" s="50"/>
      <c r="P213" s="50"/>
      <c r="Q213" s="903"/>
      <c r="R213" s="903"/>
      <c r="S213" s="903"/>
      <c r="T213" s="903"/>
      <c r="U213" s="903"/>
      <c r="V213" s="903"/>
      <c r="W213" s="903"/>
      <c r="X213" s="903"/>
      <c r="Y213" s="903"/>
      <c r="Z213" s="903"/>
      <c r="AA213" s="903"/>
      <c r="AB213" s="903"/>
      <c r="AC213" s="899"/>
      <c r="AD213" s="229"/>
      <c r="AE213" s="229"/>
      <c r="AF213" s="229"/>
      <c r="AG213" s="229"/>
      <c r="AH213" s="229"/>
      <c r="AI213" s="229"/>
      <c r="AJ213" s="229"/>
      <c r="AK213" s="229"/>
      <c r="AL213" s="229"/>
      <c r="AM213" s="229"/>
      <c r="AN213" s="229"/>
      <c r="AO213" s="229"/>
      <c r="AP213" s="229"/>
      <c r="AQ213" s="229"/>
    </row>
    <row r="214" spans="1:43" ht="15.5" x14ac:dyDescent="0.35">
      <c r="B214" s="182" t="s">
        <v>569</v>
      </c>
      <c r="C214" s="183"/>
      <c r="D214" s="183"/>
      <c r="E214" s="184"/>
      <c r="F214" s="184"/>
      <c r="G214" s="185"/>
      <c r="H214" s="184">
        <f ca="1">IFERROR(H191/(1+WACC!$G$16)^H194,"")</f>
        <v>-69.669923357734703</v>
      </c>
      <c r="I214" s="184">
        <f ca="1">IFERROR(I191/(1+WACC!$G$16)^I194,"")</f>
        <v>-76.662664653777171</v>
      </c>
      <c r="J214" s="184">
        <f ca="1">IFERROR(J191/(1+WACC!$G$16)^J194,"")</f>
        <v>-93.236457018318561</v>
      </c>
      <c r="K214" s="184">
        <f ca="1">IFERROR(K191/(1+WACC!$G$16)^K194,"")</f>
        <v>-117.46143349907253</v>
      </c>
      <c r="L214" s="184">
        <f ca="1">IFERROR(L191/(1+WACC!$G$16)^L194,"")</f>
        <v>-127.84498809624867</v>
      </c>
      <c r="M214" s="184">
        <f ca="1">IFERROR(M191/(1+WACC!$G$16)^M194,"")</f>
        <v>-142.9119026214064</v>
      </c>
      <c r="N214" s="184">
        <f ca="1">IFERROR(N191/(1+WACC!$G$16)^N194,"")</f>
        <v>-121.75246390605427</v>
      </c>
      <c r="O214" s="184">
        <f ca="1">IFERROR(O191/(1+WACC!$G$16)^O194,"")</f>
        <v>-88.171875888241544</v>
      </c>
      <c r="P214" s="184">
        <f ca="1">IFERROR(P191/(1+WACC!$G$16)^P194,"")</f>
        <v>-50.905664393023031</v>
      </c>
      <c r="Q214" s="167">
        <f ca="1">IFERROR(Q191/(1+WACC!$G$16)^Q194,"")</f>
        <v>-2.7067065481973485</v>
      </c>
      <c r="R214" s="167">
        <f ca="1">IFERROR(R191/(1+WACC!$G$16)^R194,"")</f>
        <v>59.891305682359892</v>
      </c>
      <c r="S214" s="167">
        <f ca="1">IFERROR(S191/(1+WACC!$G$16)^S194,"")</f>
        <v>136.55761980364514</v>
      </c>
      <c r="T214" s="167">
        <f ca="1">IFERROR(T191/(1+WACC!$G$16)^T194,"")</f>
        <v>223.66566950625401</v>
      </c>
      <c r="U214" s="167">
        <f ca="1">IFERROR(U191/(1+WACC!$G$16)^U194,"")</f>
        <v>346.91856990605783</v>
      </c>
      <c r="V214" s="167">
        <f ca="1">IFERROR(V191/(1+WACC!$G$16)^V194,"")</f>
        <v>496.28339243750389</v>
      </c>
      <c r="W214" s="167">
        <f ca="1">IFERROR(W191/(1+WACC!$G$16)^W194,"")</f>
        <v>703.38248275806234</v>
      </c>
      <c r="X214" s="167">
        <f ca="1">IFERROR(X191/(1+WACC!$G$16)^X194,"")</f>
        <v>966.26736071885114</v>
      </c>
      <c r="Y214" s="167">
        <f ca="1">IFERROR(Y191/(1+WACC!$G$16)^Y194,"")</f>
        <v>1329.7680525442313</v>
      </c>
      <c r="Z214" s="167">
        <f ca="1">IFERROR(Z191/(1+WACC!$G$16)^Z194,"")</f>
        <v>1813.528074159399</v>
      </c>
      <c r="AA214" s="167">
        <f ca="1">IFERROR(AA191/(1+WACC!$G$16)^AA194,"")</f>
        <v>2420.4243170991913</v>
      </c>
      <c r="AB214" s="606">
        <f ca="1">IFERROR(AB191/(1+WACC!$G$16)^AB194,"")</f>
        <v>3213.6051738852402</v>
      </c>
      <c r="AC214" s="899"/>
      <c r="AD214" s="229"/>
      <c r="AE214" s="229"/>
      <c r="AF214" s="229"/>
      <c r="AG214" s="229"/>
      <c r="AH214" s="229"/>
      <c r="AI214" s="229"/>
      <c r="AJ214" s="229"/>
      <c r="AK214" s="229"/>
      <c r="AL214" s="229"/>
      <c r="AM214" s="229"/>
      <c r="AN214" s="229"/>
      <c r="AO214" s="229"/>
      <c r="AP214" s="229"/>
      <c r="AQ214" s="229"/>
    </row>
    <row r="215" spans="1:43" ht="15.5" x14ac:dyDescent="0.35">
      <c r="B215" s="186" t="s">
        <v>570</v>
      </c>
      <c r="C215" s="187"/>
      <c r="D215" s="187"/>
      <c r="E215" s="187"/>
      <c r="F215" s="187"/>
      <c r="G215" s="188"/>
      <c r="H215" s="189">
        <f ca="1">IFERROR((H63*H77)/(1+WACC!$G$20)^H194,"")</f>
        <v>0</v>
      </c>
      <c r="I215" s="189">
        <f ca="1">IFERROR((I63*I77)/(1+WACC!$G$20)^I194,"")</f>
        <v>0</v>
      </c>
      <c r="J215" s="189">
        <f ca="1">IFERROR((J63*J77)/(1+WACC!$G$20)^J194,"")</f>
        <v>0</v>
      </c>
      <c r="K215" s="189">
        <f ca="1">IFERROR((K63*K77)/(1+WACC!$G$20)^K194,"")</f>
        <v>0</v>
      </c>
      <c r="L215" s="189">
        <f ca="1">IFERROR((L63*L77)/(1+WACC!$G$20)^L194,"")</f>
        <v>0</v>
      </c>
      <c r="M215" s="189">
        <f ca="1">IFERROR((M63*M77)/(1+WACC!$G$20)^M194,"")</f>
        <v>0</v>
      </c>
      <c r="N215" s="189">
        <f ca="1">IFERROR((N63*N77)/(1+WACC!$G$20)^N194,"")</f>
        <v>0</v>
      </c>
      <c r="O215" s="189">
        <f ca="1">IFERROR((O63*O77)/(1+WACC!$G$20)^O194,"")</f>
        <v>0</v>
      </c>
      <c r="P215" s="189">
        <f ca="1">IFERROR((P63*P77)/(1+WACC!$G$20)^P194,"")</f>
        <v>0</v>
      </c>
      <c r="Q215" s="189">
        <f ca="1">IFERROR((Q63*Q77)/(1+WACC!$G$20)^Q194,"")</f>
        <v>0</v>
      </c>
      <c r="R215" s="189">
        <f ca="1">IFERROR((R63*R77)/(1+WACC!$G$20)^R194,"")</f>
        <v>0</v>
      </c>
      <c r="S215" s="189">
        <f ca="1">IFERROR((S63*S77)/(1+WACC!$G$20)^S194,"")</f>
        <v>0</v>
      </c>
      <c r="T215" s="189">
        <f ca="1">IFERROR((T63*T77)/(1+WACC!$G$20)^T194,"")</f>
        <v>0</v>
      </c>
      <c r="U215" s="189">
        <f ca="1">IFERROR((U63*U77)/(1+WACC!$G$20)^U194,"")</f>
        <v>0</v>
      </c>
      <c r="V215" s="189">
        <f ca="1">IFERROR((V63*V77)/(1+WACC!$G$20)^V194,"")</f>
        <v>0</v>
      </c>
      <c r="W215" s="189">
        <f ca="1">IFERROR((W63*W77)/(1+WACC!$G$20)^W194,"")</f>
        <v>0</v>
      </c>
      <c r="X215" s="189">
        <f ca="1">IFERROR((X63*X77)/(1+WACC!$G$20)^X194,"")</f>
        <v>0</v>
      </c>
      <c r="Y215" s="189">
        <f ca="1">IFERROR((Y63*Y77)/(1+WACC!$G$20)^Y194,"")</f>
        <v>0</v>
      </c>
      <c r="Z215" s="189">
        <f ca="1">IFERROR((Z63*Z77)/(1+WACC!$G$20)^Z194,"")</f>
        <v>0</v>
      </c>
      <c r="AA215" s="189">
        <f ca="1">IFERROR((AA63*AA77)/(1+WACC!$G$20)^AA194,"")</f>
        <v>0</v>
      </c>
      <c r="AB215" s="607">
        <f ca="1">IFERROR((AB63*AB77)/(1+WACC!$G$20)^AB194,"")</f>
        <v>0</v>
      </c>
      <c r="AC215" s="899"/>
      <c r="AD215" s="229"/>
      <c r="AE215" s="229"/>
      <c r="AF215" s="229"/>
      <c r="AG215" s="229"/>
      <c r="AH215" s="229"/>
      <c r="AI215" s="229"/>
      <c r="AJ215" s="229"/>
      <c r="AK215" s="229"/>
      <c r="AL215" s="229"/>
      <c r="AM215" s="229"/>
      <c r="AN215" s="229"/>
      <c r="AO215" s="229"/>
      <c r="AP215" s="229"/>
      <c r="AQ215" s="229"/>
    </row>
    <row r="216" spans="1:43" ht="3.75" customHeight="1" x14ac:dyDescent="0.35">
      <c r="B216" s="148"/>
      <c r="C216" s="148"/>
      <c r="D216" s="148"/>
      <c r="E216" s="148"/>
      <c r="F216" s="148"/>
      <c r="G216" s="202"/>
      <c r="H216" s="148"/>
      <c r="I216" s="148"/>
      <c r="J216" s="148"/>
      <c r="K216" s="148"/>
      <c r="L216" s="148"/>
      <c r="M216" s="148"/>
      <c r="N216" s="148"/>
      <c r="O216" s="148"/>
      <c r="P216" s="148"/>
      <c r="Q216" s="203"/>
      <c r="R216" s="128"/>
      <c r="S216" s="128"/>
      <c r="T216" s="128"/>
      <c r="U216" s="128"/>
      <c r="V216" s="128"/>
      <c r="W216" s="128"/>
      <c r="X216" s="128"/>
      <c r="Y216" s="128"/>
      <c r="Z216" s="128"/>
      <c r="AA216" s="128"/>
      <c r="AB216" s="128"/>
      <c r="AC216" s="899"/>
      <c r="AD216" s="229"/>
      <c r="AE216" s="229"/>
      <c r="AF216" s="229"/>
      <c r="AG216" s="229"/>
      <c r="AH216" s="229"/>
      <c r="AI216" s="229"/>
      <c r="AJ216" s="229"/>
      <c r="AK216" s="229"/>
      <c r="AL216" s="229"/>
      <c r="AM216" s="229"/>
      <c r="AN216" s="229"/>
      <c r="AO216" s="229"/>
      <c r="AP216" s="229"/>
      <c r="AQ216" s="229"/>
    </row>
    <row r="217" spans="1:43" ht="15.5" x14ac:dyDescent="0.35">
      <c r="B217" s="127" t="s">
        <v>571</v>
      </c>
      <c r="C217" s="148"/>
      <c r="D217" s="148"/>
      <c r="E217" s="148"/>
      <c r="F217" s="148"/>
      <c r="G217" s="202"/>
      <c r="H217" s="148"/>
      <c r="I217" s="148"/>
      <c r="J217" s="148"/>
      <c r="K217" s="148"/>
      <c r="L217" s="148"/>
      <c r="M217" s="148"/>
      <c r="N217" s="148"/>
      <c r="O217" s="148"/>
      <c r="P217" s="148"/>
      <c r="Q217" s="167"/>
      <c r="R217" s="167"/>
      <c r="S217" s="167"/>
      <c r="T217" s="167"/>
      <c r="U217" s="167"/>
      <c r="V217" s="167"/>
      <c r="W217" s="167"/>
      <c r="X217" s="167"/>
      <c r="Y217" s="167"/>
      <c r="Z217" s="167"/>
      <c r="AA217" s="167"/>
      <c r="AB217" s="167">
        <f ca="1">IFERROR((AB191*(1+$C$14))/(WACC!$G$16-DCF!$C$14),"")</f>
        <v>255346.11164220364</v>
      </c>
      <c r="AC217" s="899"/>
      <c r="AD217" s="229"/>
      <c r="AE217" s="229"/>
      <c r="AF217" s="229"/>
      <c r="AG217" s="229"/>
      <c r="AH217" s="229"/>
      <c r="AI217" s="229"/>
      <c r="AJ217" s="229"/>
      <c r="AK217" s="229"/>
      <c r="AL217" s="229"/>
      <c r="AM217" s="229"/>
      <c r="AN217" s="229"/>
      <c r="AO217" s="229"/>
      <c r="AP217" s="229"/>
      <c r="AQ217" s="229"/>
    </row>
    <row r="218" spans="1:43" ht="15.5" x14ac:dyDescent="0.35">
      <c r="B218" s="127" t="s">
        <v>572</v>
      </c>
      <c r="C218" s="148"/>
      <c r="D218" s="148"/>
      <c r="E218" s="148"/>
      <c r="F218" s="148"/>
      <c r="G218" s="202"/>
      <c r="H218" s="148"/>
      <c r="I218" s="148"/>
      <c r="J218" s="148"/>
      <c r="K218" s="148"/>
      <c r="L218" s="148"/>
      <c r="M218" s="148"/>
      <c r="N218" s="148"/>
      <c r="O218" s="148"/>
      <c r="P218" s="148"/>
      <c r="Q218" s="167"/>
      <c r="R218" s="167"/>
      <c r="S218" s="167"/>
      <c r="T218" s="167"/>
      <c r="U218" s="167"/>
      <c r="V218" s="167"/>
      <c r="W218" s="167"/>
      <c r="X218" s="167"/>
      <c r="Y218" s="167"/>
      <c r="Z218" s="167"/>
      <c r="AA218" s="167"/>
      <c r="AB218" s="167">
        <f ca="1">IFERROR(AB217/(1+WACC!$G$16)^$Q$194,"")</f>
        <v>134009.12641002872</v>
      </c>
      <c r="AC218" s="899"/>
      <c r="AD218" s="229"/>
      <c r="AE218" s="229"/>
      <c r="AF218" s="229"/>
      <c r="AG218" s="229"/>
      <c r="AH218" s="229"/>
      <c r="AI218" s="229"/>
      <c r="AJ218" s="229"/>
      <c r="AK218" s="229"/>
      <c r="AL218" s="229"/>
      <c r="AM218" s="229"/>
      <c r="AN218" s="229"/>
      <c r="AO218" s="229"/>
      <c r="AP218" s="229"/>
      <c r="AQ218" s="229"/>
    </row>
    <row r="219" spans="1:43" ht="15.5" x14ac:dyDescent="0.35">
      <c r="B219" s="127" t="s">
        <v>573</v>
      </c>
      <c r="C219" s="148"/>
      <c r="D219" s="148"/>
      <c r="E219" s="148"/>
      <c r="F219" s="148"/>
      <c r="G219" s="202"/>
      <c r="H219" s="148"/>
      <c r="I219" s="148"/>
      <c r="J219" s="148"/>
      <c r="K219" s="148"/>
      <c r="L219" s="148"/>
      <c r="M219" s="148"/>
      <c r="N219" s="148"/>
      <c r="O219" s="148"/>
      <c r="P219" s="148"/>
      <c r="Q219" s="167"/>
      <c r="R219" s="167"/>
      <c r="S219" s="167"/>
      <c r="T219" s="167"/>
      <c r="U219" s="167"/>
      <c r="V219" s="167"/>
      <c r="W219" s="167"/>
      <c r="X219" s="167"/>
      <c r="Y219" s="167"/>
      <c r="Z219" s="167"/>
      <c r="AA219" s="167"/>
      <c r="AB219" s="167">
        <f ca="1">IFERROR((AB215*(1+$C$14))/(WACC!$G$16-$C$14),"")</f>
        <v>0</v>
      </c>
      <c r="AC219" s="899"/>
      <c r="AD219" s="229"/>
      <c r="AE219" s="229"/>
      <c r="AF219" s="229"/>
      <c r="AG219" s="229"/>
      <c r="AH219" s="229"/>
      <c r="AI219" s="229"/>
      <c r="AJ219" s="229"/>
      <c r="AK219" s="229"/>
      <c r="AL219" s="229"/>
      <c r="AM219" s="229"/>
      <c r="AN219" s="229"/>
      <c r="AO219" s="229"/>
      <c r="AP219" s="229"/>
      <c r="AQ219" s="229"/>
    </row>
    <row r="220" spans="1:43" ht="15.5" x14ac:dyDescent="0.35">
      <c r="B220" s="127" t="s">
        <v>574</v>
      </c>
      <c r="C220" s="148"/>
      <c r="D220" s="148"/>
      <c r="E220" s="148"/>
      <c r="F220" s="148"/>
      <c r="G220" s="202"/>
      <c r="H220" s="148"/>
      <c r="I220" s="148"/>
      <c r="J220" s="148"/>
      <c r="K220" s="148"/>
      <c r="L220" s="148"/>
      <c r="M220" s="148"/>
      <c r="N220" s="148"/>
      <c r="O220" s="148"/>
      <c r="P220" s="148"/>
      <c r="Q220" s="167"/>
      <c r="R220" s="167"/>
      <c r="S220" s="167"/>
      <c r="T220" s="167"/>
      <c r="U220" s="167"/>
      <c r="V220" s="167"/>
      <c r="W220" s="167"/>
      <c r="X220" s="167"/>
      <c r="Y220" s="167"/>
      <c r="Z220" s="167"/>
      <c r="AA220" s="167"/>
      <c r="AB220" s="167">
        <f ca="1">IFERROR(AB219/(1+WACC!$G$18)^$Q$194,"")</f>
        <v>0</v>
      </c>
      <c r="AC220" s="899"/>
      <c r="AD220" s="229"/>
      <c r="AE220" s="229"/>
      <c r="AF220" s="229"/>
      <c r="AG220" s="229"/>
      <c r="AH220" s="229"/>
      <c r="AI220" s="229"/>
      <c r="AJ220" s="229"/>
      <c r="AK220" s="229"/>
      <c r="AL220" s="229"/>
      <c r="AM220" s="229"/>
      <c r="AN220" s="229"/>
      <c r="AO220" s="229"/>
      <c r="AP220" s="229"/>
      <c r="AQ220" s="229"/>
    </row>
    <row r="221" spans="1:43" ht="15.5" x14ac:dyDescent="0.35">
      <c r="B221" s="127" t="s">
        <v>575</v>
      </c>
      <c r="G221" s="147"/>
      <c r="Q221" s="167"/>
      <c r="R221" s="167"/>
      <c r="S221" s="167"/>
      <c r="T221" s="167"/>
      <c r="U221" s="167"/>
      <c r="V221" s="167"/>
      <c r="W221" s="167"/>
      <c r="X221" s="167"/>
      <c r="Y221" s="167"/>
      <c r="Z221" s="167"/>
      <c r="AA221" s="167"/>
      <c r="AB221" s="167">
        <f ca="1">+SUM($H214:AB215,AB218,AB220)</f>
        <v>144828.09434854746</v>
      </c>
      <c r="AC221" s="899"/>
      <c r="AD221" s="229"/>
      <c r="AE221" s="229"/>
      <c r="AF221" s="229"/>
      <c r="AG221" s="229"/>
      <c r="AH221" s="229"/>
      <c r="AI221" s="229"/>
      <c r="AJ221" s="229"/>
      <c r="AK221" s="229"/>
      <c r="AL221" s="229"/>
      <c r="AM221" s="229"/>
      <c r="AN221" s="229"/>
      <c r="AO221" s="229"/>
      <c r="AP221" s="229"/>
      <c r="AQ221" s="229"/>
    </row>
    <row r="222" spans="1:43" ht="15.5" x14ac:dyDescent="0.35">
      <c r="B222" s="127" t="s">
        <v>209</v>
      </c>
      <c r="G222" s="147"/>
      <c r="Q222" s="167"/>
      <c r="R222" s="167"/>
      <c r="S222" s="167"/>
      <c r="T222" s="167"/>
      <c r="U222" s="167"/>
      <c r="V222" s="167"/>
      <c r="W222" s="167"/>
      <c r="X222" s="167"/>
      <c r="Y222" s="167"/>
      <c r="Z222" s="167"/>
      <c r="AA222" s="167"/>
      <c r="AB222" s="167">
        <f ca="1">+AB221-AB200+AB201+AB202+AB203</f>
        <v>144688.49134854745</v>
      </c>
      <c r="AC222" s="899"/>
      <c r="AD222" s="229"/>
      <c r="AE222" s="229"/>
      <c r="AF222" s="229"/>
      <c r="AG222" s="229"/>
      <c r="AH222" s="229"/>
      <c r="AI222" s="229"/>
      <c r="AJ222" s="229"/>
      <c r="AK222" s="229"/>
      <c r="AL222" s="229"/>
      <c r="AM222" s="229"/>
      <c r="AN222" s="229"/>
      <c r="AO222" s="229"/>
      <c r="AP222" s="229"/>
      <c r="AQ222" s="229"/>
    </row>
    <row r="223" spans="1:43" ht="15.5" x14ac:dyDescent="0.35">
      <c r="B223" s="148" t="s">
        <v>562</v>
      </c>
      <c r="C223" s="148"/>
      <c r="D223" s="148"/>
      <c r="E223" s="148"/>
      <c r="F223" s="148"/>
      <c r="G223" s="202"/>
      <c r="H223" s="148"/>
      <c r="I223" s="148"/>
      <c r="J223" s="148"/>
      <c r="K223" s="148"/>
      <c r="L223" s="148"/>
      <c r="M223" s="148"/>
      <c r="N223" s="148"/>
      <c r="O223" s="148"/>
      <c r="P223" s="148"/>
      <c r="Q223" s="373" t="str">
        <f>IFERROR(Q222/Q206,"")</f>
        <v/>
      </c>
      <c r="R223" s="373"/>
      <c r="S223" s="373" t="str">
        <f t="shared" ref="S223:AA223" si="303">IFERROR(S222/S206,"")</f>
        <v/>
      </c>
      <c r="T223" s="373" t="str">
        <f t="shared" si="303"/>
        <v/>
      </c>
      <c r="U223" s="373" t="str">
        <f t="shared" si="303"/>
        <v/>
      </c>
      <c r="V223" s="373" t="str">
        <f t="shared" si="303"/>
        <v/>
      </c>
      <c r="W223" s="373" t="str">
        <f t="shared" si="303"/>
        <v/>
      </c>
      <c r="X223" s="373" t="str">
        <f t="shared" si="303"/>
        <v/>
      </c>
      <c r="Y223" s="373" t="str">
        <f t="shared" si="303"/>
        <v/>
      </c>
      <c r="Z223" s="373" t="str">
        <f t="shared" si="303"/>
        <v/>
      </c>
      <c r="AA223" s="373" t="str">
        <f t="shared" si="303"/>
        <v/>
      </c>
      <c r="AB223" s="373">
        <f ca="1">IFERROR(AB222/AB206,"")</f>
        <v>0.42304312765880497</v>
      </c>
      <c r="AC223" s="899"/>
      <c r="AD223" s="229"/>
      <c r="AE223" s="229"/>
      <c r="AF223" s="229"/>
      <c r="AG223" s="229"/>
      <c r="AH223" s="229"/>
      <c r="AI223" s="229"/>
      <c r="AJ223" s="229"/>
      <c r="AK223" s="229"/>
      <c r="AL223" s="229"/>
      <c r="AM223" s="229"/>
      <c r="AN223" s="229"/>
      <c r="AO223" s="229"/>
      <c r="AP223" s="229"/>
      <c r="AQ223" s="229"/>
    </row>
    <row r="224" spans="1:43" ht="3.75" customHeight="1" x14ac:dyDescent="0.35">
      <c r="B224" s="148"/>
      <c r="C224" s="148"/>
      <c r="D224" s="148"/>
      <c r="E224" s="148"/>
      <c r="F224" s="148"/>
      <c r="G224" s="202"/>
      <c r="H224" s="148"/>
      <c r="I224" s="148"/>
      <c r="J224" s="148"/>
      <c r="K224" s="148"/>
      <c r="L224" s="148"/>
      <c r="M224" s="148"/>
      <c r="N224" s="148"/>
      <c r="O224" s="148"/>
      <c r="P224" s="148"/>
      <c r="Q224" s="373"/>
      <c r="R224" s="128"/>
      <c r="S224" s="128"/>
      <c r="T224" s="128"/>
      <c r="U224" s="128"/>
      <c r="V224" s="128"/>
      <c r="W224" s="128"/>
      <c r="X224" s="128"/>
      <c r="Y224" s="128"/>
      <c r="Z224" s="128"/>
      <c r="AA224" s="128"/>
      <c r="AB224" s="128"/>
      <c r="AC224" s="899"/>
      <c r="AD224" s="229"/>
      <c r="AE224" s="229"/>
      <c r="AF224" s="229"/>
      <c r="AG224" s="229"/>
      <c r="AH224" s="229"/>
      <c r="AI224" s="229"/>
      <c r="AJ224" s="229"/>
      <c r="AK224" s="229"/>
      <c r="AL224" s="229"/>
      <c r="AM224" s="229"/>
      <c r="AN224" s="229"/>
      <c r="AO224" s="229"/>
      <c r="AP224" s="229"/>
      <c r="AQ224" s="229"/>
    </row>
    <row r="225" spans="1:43" ht="15.5" x14ac:dyDescent="0.35">
      <c r="B225" s="374" t="s">
        <v>564</v>
      </c>
      <c r="C225" s="148"/>
      <c r="D225" s="148"/>
      <c r="E225" s="148"/>
      <c r="F225" s="148"/>
      <c r="G225" s="202"/>
      <c r="H225" s="148"/>
      <c r="I225" s="148"/>
      <c r="J225" s="148"/>
      <c r="K225" s="148"/>
      <c r="L225" s="148"/>
      <c r="M225" s="148"/>
      <c r="N225" s="148"/>
      <c r="O225" s="148"/>
      <c r="P225" s="148"/>
      <c r="Q225" s="203"/>
      <c r="R225" s="203" t="str">
        <f t="shared" ref="R225:AA225" si="304">IFERROR(R223/R209-1,"")</f>
        <v/>
      </c>
      <c r="S225" s="203" t="str">
        <f t="shared" si="304"/>
        <v/>
      </c>
      <c r="T225" s="203" t="str">
        <f t="shared" si="304"/>
        <v/>
      </c>
      <c r="U225" s="203" t="str">
        <f t="shared" si="304"/>
        <v/>
      </c>
      <c r="V225" s="203" t="str">
        <f t="shared" si="304"/>
        <v/>
      </c>
      <c r="W225" s="203" t="str">
        <f t="shared" si="304"/>
        <v/>
      </c>
      <c r="X225" s="203" t="str">
        <f t="shared" si="304"/>
        <v/>
      </c>
      <c r="Y225" s="203" t="str">
        <f t="shared" si="304"/>
        <v/>
      </c>
      <c r="Z225" s="203" t="str">
        <f t="shared" si="304"/>
        <v/>
      </c>
      <c r="AA225" s="203" t="str">
        <f t="shared" si="304"/>
        <v/>
      </c>
      <c r="AB225" s="203">
        <f ca="1">IFERROR(AB223/AB209-1,"")</f>
        <v>-0.98287274786806456</v>
      </c>
      <c r="AC225" s="899"/>
      <c r="AD225" s="229"/>
      <c r="AE225" s="229"/>
      <c r="AF225" s="229"/>
      <c r="AG225" s="229"/>
      <c r="AH225" s="229"/>
      <c r="AI225" s="229"/>
      <c r="AJ225" s="229"/>
      <c r="AK225" s="229"/>
      <c r="AL225" s="229"/>
      <c r="AM225" s="229"/>
      <c r="AN225" s="229"/>
      <c r="AO225" s="229"/>
      <c r="AP225" s="229"/>
      <c r="AQ225" s="229"/>
    </row>
    <row r="226" spans="1:43" ht="3.75" customHeight="1" x14ac:dyDescent="0.35">
      <c r="G226" s="147"/>
      <c r="AF226" s="229"/>
      <c r="AG226" s="229"/>
      <c r="AH226" s="229"/>
      <c r="AI226" s="229"/>
      <c r="AJ226" s="229"/>
      <c r="AK226" s="229"/>
      <c r="AL226" s="229"/>
      <c r="AM226" s="229"/>
      <c r="AN226" s="229"/>
      <c r="AO226" s="229"/>
      <c r="AP226" s="229"/>
      <c r="AQ226" s="229"/>
    </row>
    <row r="227" spans="1:43" ht="15.5" x14ac:dyDescent="0.35">
      <c r="A227" s="127" t="s">
        <v>431</v>
      </c>
      <c r="B227" s="49" t="s">
        <v>576</v>
      </c>
      <c r="C227" s="49"/>
      <c r="D227" s="49"/>
      <c r="E227" s="138">
        <f>E26</f>
        <v>2022</v>
      </c>
      <c r="F227" s="138">
        <f>F26</f>
        <v>2023</v>
      </c>
      <c r="G227" s="139">
        <f>G26</f>
        <v>2024</v>
      </c>
      <c r="H227" s="100">
        <f t="shared" ref="H227:Q227" si="305">1+G227</f>
        <v>2025</v>
      </c>
      <c r="I227" s="100">
        <f t="shared" si="305"/>
        <v>2026</v>
      </c>
      <c r="J227" s="100">
        <f t="shared" si="305"/>
        <v>2027</v>
      </c>
      <c r="K227" s="100">
        <f t="shared" si="305"/>
        <v>2028</v>
      </c>
      <c r="L227" s="100">
        <f t="shared" si="305"/>
        <v>2029</v>
      </c>
      <c r="M227" s="100">
        <f t="shared" si="305"/>
        <v>2030</v>
      </c>
      <c r="N227" s="100">
        <f t="shared" si="305"/>
        <v>2031</v>
      </c>
      <c r="O227" s="100">
        <f t="shared" si="305"/>
        <v>2032</v>
      </c>
      <c r="P227" s="100">
        <f t="shared" si="305"/>
        <v>2033</v>
      </c>
      <c r="Q227" s="100">
        <f t="shared" si="305"/>
        <v>2034</v>
      </c>
      <c r="R227" s="348" t="s">
        <v>459</v>
      </c>
      <c r="S227" s="348" t="s">
        <v>460</v>
      </c>
      <c r="T227" s="348" t="s">
        <v>461</v>
      </c>
      <c r="U227" s="348" t="s">
        <v>462</v>
      </c>
      <c r="V227" s="348" t="s">
        <v>463</v>
      </c>
      <c r="W227" s="348" t="s">
        <v>464</v>
      </c>
      <c r="X227" s="348" t="s">
        <v>465</v>
      </c>
      <c r="Y227" s="348" t="s">
        <v>466</v>
      </c>
      <c r="Z227" s="348" t="s">
        <v>467</v>
      </c>
      <c r="AA227" s="348" t="s">
        <v>468</v>
      </c>
      <c r="AB227" s="348" t="s">
        <v>469</v>
      </c>
      <c r="AC227" s="861"/>
      <c r="AD227" s="861"/>
      <c r="AE227" s="861"/>
      <c r="AF227" s="861"/>
      <c r="AG227" s="861"/>
      <c r="AH227" s="861"/>
      <c r="AI227" s="861"/>
      <c r="AJ227" s="861"/>
      <c r="AK227" s="861"/>
      <c r="AL227" s="861"/>
      <c r="AM227" s="861"/>
      <c r="AN227" s="861"/>
      <c r="AO227" s="861"/>
      <c r="AP227" s="861"/>
      <c r="AQ227" s="861"/>
    </row>
    <row r="228" spans="1:43" ht="3.75" customHeight="1" x14ac:dyDescent="0.35">
      <c r="B228" s="50"/>
      <c r="C228" s="50"/>
      <c r="D228" s="50"/>
      <c r="E228" s="50"/>
      <c r="F228" s="50"/>
      <c r="G228" s="204"/>
      <c r="H228" s="50"/>
      <c r="I228" s="50"/>
      <c r="J228" s="50"/>
      <c r="K228" s="50"/>
      <c r="L228" s="50"/>
      <c r="M228" s="50"/>
      <c r="N228" s="50"/>
      <c r="O228" s="50"/>
      <c r="P228" s="50"/>
      <c r="Q228" s="50"/>
      <c r="R228" s="50"/>
      <c r="S228" s="50"/>
      <c r="T228" s="50"/>
      <c r="U228" s="50"/>
      <c r="V228" s="50"/>
      <c r="W228" s="50"/>
      <c r="X228" s="50"/>
      <c r="Y228" s="50"/>
      <c r="Z228" s="50"/>
      <c r="AA228" s="50"/>
      <c r="AB228" s="50"/>
      <c r="AF228" s="229"/>
      <c r="AG228" s="229"/>
      <c r="AH228" s="229"/>
      <c r="AI228" s="229"/>
      <c r="AJ228" s="229"/>
      <c r="AK228" s="229"/>
      <c r="AL228" s="229"/>
      <c r="AM228" s="229"/>
      <c r="AN228" s="229"/>
      <c r="AO228" s="229"/>
      <c r="AP228" s="229"/>
      <c r="AQ228" s="229"/>
    </row>
    <row r="229" spans="1:43" ht="15.5" x14ac:dyDescent="0.35">
      <c r="B229" s="127" t="s">
        <v>451</v>
      </c>
      <c r="E229" s="150">
        <f t="shared" ref="E229:AB229" si="306">+E57</f>
        <v>8</v>
      </c>
      <c r="F229" s="150">
        <f t="shared" si="306"/>
        <v>-77.268000000000001</v>
      </c>
      <c r="G229" s="181">
        <f t="shared" si="306"/>
        <v>-72.786000000000001</v>
      </c>
      <c r="H229" s="175">
        <f t="shared" si="306"/>
        <v>-82.731013333333337</v>
      </c>
      <c r="I229" s="175">
        <f t="shared" si="306"/>
        <v>-104.75181244444444</v>
      </c>
      <c r="J229" s="175">
        <f t="shared" si="306"/>
        <v>-132.90496334814813</v>
      </c>
      <c r="K229" s="175">
        <f t="shared" si="306"/>
        <v>-168.57577526716045</v>
      </c>
      <c r="L229" s="175">
        <f t="shared" si="306"/>
        <v>-194.76306827186824</v>
      </c>
      <c r="M229" s="175">
        <f t="shared" si="306"/>
        <v>-224.96650171558838</v>
      </c>
      <c r="N229" s="175">
        <f t="shared" si="306"/>
        <v>-207.83540270730862</v>
      </c>
      <c r="O229" s="175">
        <f t="shared" si="306"/>
        <v>-164.59760650338268</v>
      </c>
      <c r="P229" s="175">
        <f t="shared" si="306"/>
        <v>-99.513569466163958</v>
      </c>
      <c r="Q229" s="175">
        <f t="shared" si="306"/>
        <v>-20.408528823365884</v>
      </c>
      <c r="R229" s="175">
        <f t="shared" si="306"/>
        <v>114.69174965629983</v>
      </c>
      <c r="S229" s="175">
        <f t="shared" si="306"/>
        <v>300.95750872889784</v>
      </c>
      <c r="T229" s="175">
        <f t="shared" si="306"/>
        <v>500.81447801819087</v>
      </c>
      <c r="U229" s="175">
        <f t="shared" si="306"/>
        <v>769.94838624232557</v>
      </c>
      <c r="V229" s="175">
        <f t="shared" si="306"/>
        <v>1101.0531619603444</v>
      </c>
      <c r="W229" s="175">
        <f t="shared" si="306"/>
        <v>1567.1208627483888</v>
      </c>
      <c r="X229" s="175">
        <f t="shared" si="306"/>
        <v>2141.227014131945</v>
      </c>
      <c r="Y229" s="175">
        <f t="shared" si="306"/>
        <v>2947.0286653865642</v>
      </c>
      <c r="Z229" s="175">
        <f t="shared" si="306"/>
        <v>3841.100455233423</v>
      </c>
      <c r="AA229" s="175">
        <f t="shared" si="306"/>
        <v>4890.9256750306422</v>
      </c>
      <c r="AB229" s="175">
        <f t="shared" si="306"/>
        <v>5935.953675351795</v>
      </c>
      <c r="AF229" s="229"/>
      <c r="AG229" s="229"/>
      <c r="AH229" s="229"/>
      <c r="AI229" s="229"/>
      <c r="AJ229" s="229"/>
      <c r="AK229" s="229"/>
      <c r="AL229" s="229"/>
      <c r="AM229" s="229"/>
      <c r="AN229" s="229"/>
      <c r="AO229" s="229"/>
      <c r="AP229" s="229"/>
      <c r="AQ229" s="229"/>
    </row>
    <row r="230" spans="1:43" ht="3.75" customHeight="1" x14ac:dyDescent="0.35">
      <c r="G230" s="147"/>
      <c r="AF230" s="229"/>
      <c r="AG230" s="229"/>
      <c r="AH230" s="229"/>
      <c r="AI230" s="229"/>
      <c r="AJ230" s="229"/>
      <c r="AK230" s="229"/>
      <c r="AL230" s="229"/>
      <c r="AM230" s="229"/>
      <c r="AN230" s="229"/>
      <c r="AO230" s="229"/>
      <c r="AP230" s="229"/>
      <c r="AQ230" s="229"/>
    </row>
    <row r="231" spans="1:43" ht="15" customHeight="1" x14ac:dyDescent="0.35">
      <c r="B231" s="127" t="s">
        <v>279</v>
      </c>
      <c r="E231" s="167">
        <f t="shared" ref="E231:AB231" si="307">+E79</f>
        <v>-53.701999999999998</v>
      </c>
      <c r="F231" s="167">
        <f t="shared" si="307"/>
        <v>-82.715000000000003</v>
      </c>
      <c r="G231" s="205">
        <f t="shared" si="307"/>
        <v>-143.87899999999999</v>
      </c>
      <c r="H231" s="167">
        <f t="shared" si="307"/>
        <v>-109.53498000000002</v>
      </c>
      <c r="I231" s="167">
        <f t="shared" si="307"/>
        <v>-152.02399800000001</v>
      </c>
      <c r="J231" s="167">
        <f t="shared" si="307"/>
        <v>-206.29524153333332</v>
      </c>
      <c r="K231" s="167">
        <f t="shared" si="307"/>
        <v>-249.08639485111109</v>
      </c>
      <c r="L231" s="167">
        <f t="shared" si="307"/>
        <v>-304.10342174837029</v>
      </c>
      <c r="M231" s="167">
        <f t="shared" si="307"/>
        <v>-358.26768520640735</v>
      </c>
      <c r="N231" s="167">
        <f t="shared" si="307"/>
        <v>-371.26009463774449</v>
      </c>
      <c r="O231" s="167">
        <f t="shared" si="307"/>
        <v>-369.66419597254117</v>
      </c>
      <c r="P231" s="167">
        <f t="shared" si="307"/>
        <v>-335.15849262572243</v>
      </c>
      <c r="Q231" s="167">
        <f t="shared" si="307"/>
        <v>-303.96137444940609</v>
      </c>
      <c r="R231" s="167">
        <f t="shared" si="307"/>
        <v>-225.08316271086591</v>
      </c>
      <c r="S231" s="167">
        <f t="shared" si="307"/>
        <v>-101.85977550883263</v>
      </c>
      <c r="T231" s="167">
        <f t="shared" si="307"/>
        <v>55.107152233527415</v>
      </c>
      <c r="U231" s="167">
        <f t="shared" si="307"/>
        <v>253.86967164046632</v>
      </c>
      <c r="V231" s="167">
        <f t="shared" si="307"/>
        <v>508.46124090014598</v>
      </c>
      <c r="W231" s="167">
        <f t="shared" si="307"/>
        <v>892.16688435948572</v>
      </c>
      <c r="X231" s="167">
        <f t="shared" si="307"/>
        <v>1366.7938001050056</v>
      </c>
      <c r="Y231" s="167">
        <f t="shared" si="307"/>
        <v>2060.4889134816044</v>
      </c>
      <c r="Z231" s="167">
        <f t="shared" si="307"/>
        <v>2866.9350600645316</v>
      </c>
      <c r="AA231" s="167">
        <f t="shared" si="307"/>
        <v>3792.002606033233</v>
      </c>
      <c r="AB231" s="167">
        <f t="shared" si="307"/>
        <v>4752.2540579076858</v>
      </c>
      <c r="AF231" s="229"/>
      <c r="AG231" s="229"/>
      <c r="AH231" s="229"/>
      <c r="AI231" s="229"/>
      <c r="AJ231" s="229"/>
      <c r="AK231" s="229"/>
      <c r="AL231" s="229"/>
      <c r="AM231" s="229"/>
      <c r="AN231" s="229"/>
      <c r="AO231" s="229"/>
      <c r="AP231" s="229"/>
      <c r="AQ231" s="229"/>
    </row>
    <row r="232" spans="1:43" ht="3.75" customHeight="1" x14ac:dyDescent="0.35">
      <c r="G232" s="147"/>
      <c r="AF232" s="229"/>
      <c r="AG232" s="229"/>
      <c r="AH232" s="229"/>
      <c r="AI232" s="229"/>
      <c r="AJ232" s="229"/>
      <c r="AK232" s="229"/>
      <c r="AL232" s="229"/>
      <c r="AM232" s="229"/>
      <c r="AN232" s="229"/>
      <c r="AO232" s="229"/>
      <c r="AP232" s="229"/>
      <c r="AQ232" s="229"/>
    </row>
    <row r="233" spans="1:43" ht="15" customHeight="1" x14ac:dyDescent="0.35">
      <c r="B233" s="127" t="s">
        <v>488</v>
      </c>
      <c r="E233" s="206">
        <f t="shared" ref="E233:AB233" si="308">+E121</f>
        <v>2.3330000000000002</v>
      </c>
      <c r="F233" s="206">
        <f t="shared" si="308"/>
        <v>1.845</v>
      </c>
      <c r="G233" s="207">
        <f t="shared" si="308"/>
        <v>1.9319999999999999</v>
      </c>
      <c r="H233" s="206">
        <f t="shared" si="308"/>
        <v>0</v>
      </c>
      <c r="I233" s="206">
        <f t="shared" si="308"/>
        <v>0</v>
      </c>
      <c r="J233" s="206">
        <f t="shared" si="308"/>
        <v>0</v>
      </c>
      <c r="K233" s="206">
        <f t="shared" si="308"/>
        <v>0</v>
      </c>
      <c r="L233" s="206">
        <f t="shared" si="308"/>
        <v>0</v>
      </c>
      <c r="M233" s="206">
        <f t="shared" si="308"/>
        <v>0</v>
      </c>
      <c r="N233" s="206">
        <f t="shared" si="308"/>
        <v>0</v>
      </c>
      <c r="O233" s="206">
        <f t="shared" si="308"/>
        <v>0</v>
      </c>
      <c r="P233" s="206">
        <f t="shared" si="308"/>
        <v>0</v>
      </c>
      <c r="Q233" s="206">
        <f t="shared" si="308"/>
        <v>0</v>
      </c>
      <c r="R233" s="206">
        <f t="shared" si="308"/>
        <v>0</v>
      </c>
      <c r="S233" s="206">
        <f t="shared" si="308"/>
        <v>0</v>
      </c>
      <c r="T233" s="206">
        <f t="shared" si="308"/>
        <v>0</v>
      </c>
      <c r="U233" s="206">
        <f t="shared" si="308"/>
        <v>0</v>
      </c>
      <c r="V233" s="206">
        <f t="shared" si="308"/>
        <v>0</v>
      </c>
      <c r="W233" s="206">
        <f t="shared" si="308"/>
        <v>0</v>
      </c>
      <c r="X233" s="206">
        <f t="shared" si="308"/>
        <v>0</v>
      </c>
      <c r="Y233" s="206">
        <f t="shared" si="308"/>
        <v>0</v>
      </c>
      <c r="Z233" s="206">
        <f t="shared" si="308"/>
        <v>0</v>
      </c>
      <c r="AA233" s="206">
        <f t="shared" si="308"/>
        <v>0</v>
      </c>
      <c r="AB233" s="206">
        <f t="shared" si="308"/>
        <v>0</v>
      </c>
      <c r="AF233" s="229"/>
      <c r="AG233" s="229"/>
      <c r="AH233" s="229"/>
      <c r="AI233" s="229"/>
      <c r="AJ233" s="229"/>
      <c r="AK233" s="229"/>
      <c r="AL233" s="229"/>
      <c r="AM233" s="229"/>
      <c r="AN233" s="229"/>
      <c r="AO233" s="229"/>
      <c r="AP233" s="229"/>
      <c r="AQ233" s="229"/>
    </row>
    <row r="234" spans="1:43" ht="4.4000000000000004" customHeight="1" x14ac:dyDescent="0.35">
      <c r="B234" s="151"/>
      <c r="E234" s="208"/>
      <c r="F234" s="208"/>
      <c r="G234" s="209"/>
      <c r="H234" s="210"/>
      <c r="I234" s="210"/>
      <c r="J234" s="210"/>
      <c r="K234" s="210"/>
      <c r="L234" s="210"/>
      <c r="M234" s="210"/>
      <c r="N234" s="210"/>
      <c r="O234" s="210"/>
      <c r="P234" s="210"/>
      <c r="Q234" s="210"/>
      <c r="AF234" s="229"/>
      <c r="AG234" s="229"/>
      <c r="AH234" s="229"/>
      <c r="AI234" s="229"/>
      <c r="AJ234" s="229"/>
      <c r="AK234" s="229"/>
      <c r="AL234" s="229"/>
      <c r="AM234" s="229"/>
      <c r="AN234" s="229"/>
      <c r="AO234" s="229"/>
      <c r="AP234" s="229"/>
      <c r="AQ234" s="229"/>
    </row>
    <row r="235" spans="1:43" ht="13.5" customHeight="1" x14ac:dyDescent="0.35">
      <c r="B235" s="127" t="s">
        <v>527</v>
      </c>
      <c r="E235" s="167">
        <f t="shared" ref="E235:AB235" si="309">+E123</f>
        <v>9.1639999999999997</v>
      </c>
      <c r="F235" s="167">
        <f t="shared" si="309"/>
        <v>21.919</v>
      </c>
      <c r="G235" s="205">
        <f t="shared" si="309"/>
        <v>15.661</v>
      </c>
      <c r="H235" s="167">
        <f t="shared" si="309"/>
        <v>15.298815722152627</v>
      </c>
      <c r="I235" s="167">
        <f t="shared" si="309"/>
        <v>17.390506713017157</v>
      </c>
      <c r="J235" s="167">
        <f t="shared" si="309"/>
        <v>15.556612921289579</v>
      </c>
      <c r="K235" s="167">
        <f t="shared" si="309"/>
        <v>17.03732859209612</v>
      </c>
      <c r="L235" s="167">
        <f t="shared" si="309"/>
        <v>17.146309305200418</v>
      </c>
      <c r="M235" s="167">
        <f t="shared" si="309"/>
        <v>15.233207504001628</v>
      </c>
      <c r="N235" s="167">
        <f t="shared" si="309"/>
        <v>15.332827203856175</v>
      </c>
      <c r="O235" s="167">
        <f t="shared" si="309"/>
        <v>17.249142405951819</v>
      </c>
      <c r="P235" s="167">
        <f t="shared" si="309"/>
        <v>16.064512007379687</v>
      </c>
      <c r="Q235" s="167">
        <f t="shared" si="309"/>
        <v>22.52281740348128</v>
      </c>
      <c r="R235" s="167">
        <f t="shared" si="309"/>
        <v>25.219418419722441</v>
      </c>
      <c r="S235" s="167">
        <f t="shared" si="309"/>
        <v>30.883935901837066</v>
      </c>
      <c r="T235" s="167">
        <f t="shared" si="309"/>
        <v>34.423639321898676</v>
      </c>
      <c r="U235" s="167">
        <f t="shared" si="309"/>
        <v>37.288937848193967</v>
      </c>
      <c r="V235" s="167">
        <f t="shared" si="309"/>
        <v>48.473765775331572</v>
      </c>
      <c r="W235" s="167">
        <f t="shared" si="309"/>
        <v>50.415505812414665</v>
      </c>
      <c r="X235" s="167">
        <f t="shared" si="309"/>
        <v>65.538575348791014</v>
      </c>
      <c r="Y235" s="167">
        <f t="shared" si="309"/>
        <v>63.899960875782966</v>
      </c>
      <c r="Z235" s="167">
        <f t="shared" si="309"/>
        <v>53.250479293913834</v>
      </c>
      <c r="AA235" s="167">
        <f t="shared" si="309"/>
        <v>66.562724650538485</v>
      </c>
      <c r="AB235" s="167">
        <f t="shared" si="309"/>
        <v>79.87531320541521</v>
      </c>
      <c r="AF235" s="229"/>
      <c r="AG235" s="229"/>
      <c r="AH235" s="229"/>
      <c r="AI235" s="229"/>
      <c r="AJ235" s="229"/>
      <c r="AK235" s="229"/>
      <c r="AL235" s="229"/>
      <c r="AM235" s="229"/>
      <c r="AN235" s="229"/>
      <c r="AO235" s="229"/>
      <c r="AP235" s="229"/>
      <c r="AQ235" s="229"/>
    </row>
    <row r="236" spans="1:43" ht="4.4000000000000004" customHeight="1" x14ac:dyDescent="0.35">
      <c r="B236" s="151"/>
      <c r="E236" s="208"/>
      <c r="F236" s="208"/>
      <c r="G236" s="209"/>
      <c r="H236" s="210"/>
      <c r="I236" s="210"/>
      <c r="J236" s="210"/>
      <c r="K236" s="210"/>
      <c r="L236" s="210"/>
      <c r="M236" s="210"/>
      <c r="N236" s="210"/>
      <c r="O236" s="210"/>
      <c r="P236" s="210"/>
      <c r="Q236" s="210"/>
      <c r="AF236" s="229"/>
      <c r="AG236" s="229"/>
      <c r="AH236" s="229"/>
      <c r="AI236" s="229"/>
      <c r="AJ236" s="229"/>
      <c r="AK236" s="229"/>
      <c r="AL236" s="229"/>
      <c r="AM236" s="229"/>
      <c r="AN236" s="229"/>
      <c r="AO236" s="229"/>
      <c r="AP236" s="229"/>
      <c r="AQ236" s="229"/>
    </row>
    <row r="237" spans="1:43" ht="15" customHeight="1" x14ac:dyDescent="0.35">
      <c r="B237" s="127" t="s">
        <v>550</v>
      </c>
      <c r="E237" s="167">
        <f t="shared" ref="E237:AB237" si="310">E187</f>
        <v>3.0219999999999998</v>
      </c>
      <c r="F237" s="167">
        <f t="shared" si="310"/>
        <v>-2.698</v>
      </c>
      <c r="G237" s="205">
        <f t="shared" si="310"/>
        <v>20.861999999999998</v>
      </c>
      <c r="H237" s="167">
        <f t="shared" si="310"/>
        <v>-2.8557527122768072</v>
      </c>
      <c r="I237" s="167">
        <f t="shared" si="310"/>
        <v>4.3563874605540178</v>
      </c>
      <c r="J237" s="167">
        <f t="shared" si="310"/>
        <v>9.008047033990934</v>
      </c>
      <c r="K237" s="167">
        <f t="shared" si="310"/>
        <v>5.056550983642822</v>
      </c>
      <c r="L237" s="167">
        <f t="shared" si="310"/>
        <v>6.5141105797581957</v>
      </c>
      <c r="M237" s="167">
        <f t="shared" si="310"/>
        <v>4.463146207864078</v>
      </c>
      <c r="N237" s="167">
        <f t="shared" si="310"/>
        <v>4.8219151923191319</v>
      </c>
      <c r="O237" s="167">
        <f t="shared" si="310"/>
        <v>1.481745162768199</v>
      </c>
      <c r="P237" s="167">
        <f t="shared" si="310"/>
        <v>-6.9318324525750654</v>
      </c>
      <c r="Q237" s="167">
        <f t="shared" si="310"/>
        <v>-7.2717506944789818</v>
      </c>
      <c r="R237" s="167">
        <f t="shared" si="310"/>
        <v>-17.437415822324624</v>
      </c>
      <c r="S237" s="167">
        <f t="shared" si="310"/>
        <v>-32.146407996860347</v>
      </c>
      <c r="T237" s="167">
        <f t="shared" si="310"/>
        <v>-46.960434297692302</v>
      </c>
      <c r="U237" s="167">
        <f t="shared" si="310"/>
        <v>-53.326983939560989</v>
      </c>
      <c r="V237" s="167">
        <f t="shared" si="310"/>
        <v>-77.348289594078153</v>
      </c>
      <c r="W237" s="167">
        <f t="shared" si="310"/>
        <v>-110.44885217706292</v>
      </c>
      <c r="X237" s="167">
        <f t="shared" si="310"/>
        <v>-148.00437418507289</v>
      </c>
      <c r="Y237" s="167">
        <f t="shared" si="310"/>
        <v>-202.00530656836213</v>
      </c>
      <c r="Z237" s="167">
        <f t="shared" si="310"/>
        <v>-237.69420356393357</v>
      </c>
      <c r="AA237" s="167">
        <f t="shared" si="310"/>
        <v>-288.83073228843421</v>
      </c>
      <c r="AB237" s="167">
        <f t="shared" si="310"/>
        <v>-310.84575239401602</v>
      </c>
      <c r="AF237" s="229"/>
      <c r="AG237" s="229"/>
      <c r="AH237" s="229"/>
      <c r="AI237" s="229"/>
      <c r="AJ237" s="229"/>
      <c r="AK237" s="229"/>
      <c r="AL237" s="229"/>
      <c r="AM237" s="229"/>
      <c r="AN237" s="229"/>
      <c r="AO237" s="229"/>
      <c r="AP237" s="229"/>
      <c r="AQ237" s="229"/>
    </row>
    <row r="238" spans="1:43" ht="3.75" customHeight="1" x14ac:dyDescent="0.35">
      <c r="E238" s="167"/>
      <c r="F238" s="167"/>
      <c r="G238" s="205"/>
      <c r="H238" s="167"/>
      <c r="I238" s="167"/>
      <c r="J238" s="167"/>
      <c r="K238" s="167"/>
      <c r="L238" s="167"/>
      <c r="M238" s="167"/>
      <c r="N238" s="167"/>
      <c r="O238" s="167"/>
      <c r="P238" s="167"/>
      <c r="Q238" s="167"/>
      <c r="AF238" s="229"/>
      <c r="AG238" s="229"/>
      <c r="AH238" s="229"/>
      <c r="AI238" s="229"/>
      <c r="AJ238" s="229"/>
      <c r="AK238" s="229"/>
      <c r="AL238" s="229"/>
      <c r="AM238" s="229"/>
      <c r="AN238" s="229"/>
      <c r="AO238" s="229"/>
      <c r="AP238" s="229"/>
      <c r="AQ238" s="229"/>
    </row>
    <row r="239" spans="1:43" ht="15" customHeight="1" x14ac:dyDescent="0.35">
      <c r="B239" s="127" t="s">
        <v>23</v>
      </c>
      <c r="E239" s="150">
        <f>E132</f>
        <v>-0.42299999999999999</v>
      </c>
      <c r="F239" s="150">
        <f>F132</f>
        <v>-0.58299999999999996</v>
      </c>
      <c r="G239" s="181">
        <f>G132</f>
        <v>-2.395</v>
      </c>
      <c r="H239" s="150">
        <f t="shared" ref="H239:AB239" si="311">H189</f>
        <v>0</v>
      </c>
      <c r="I239" s="150">
        <f t="shared" si="311"/>
        <v>0</v>
      </c>
      <c r="J239" s="150">
        <f t="shared" si="311"/>
        <v>0</v>
      </c>
      <c r="K239" s="150">
        <f t="shared" si="311"/>
        <v>0</v>
      </c>
      <c r="L239" s="150">
        <f t="shared" si="311"/>
        <v>0</v>
      </c>
      <c r="M239" s="150">
        <f t="shared" si="311"/>
        <v>0</v>
      </c>
      <c r="N239" s="150">
        <f t="shared" si="311"/>
        <v>0</v>
      </c>
      <c r="O239" s="150">
        <f t="shared" si="311"/>
        <v>0</v>
      </c>
      <c r="P239" s="150">
        <f t="shared" si="311"/>
        <v>0</v>
      </c>
      <c r="Q239" s="150">
        <f t="shared" si="311"/>
        <v>0</v>
      </c>
      <c r="R239" s="150">
        <f t="shared" si="311"/>
        <v>0</v>
      </c>
      <c r="S239" s="150">
        <f t="shared" si="311"/>
        <v>0</v>
      </c>
      <c r="T239" s="150">
        <f t="shared" si="311"/>
        <v>0</v>
      </c>
      <c r="U239" s="150">
        <f t="shared" si="311"/>
        <v>0</v>
      </c>
      <c r="V239" s="150">
        <f t="shared" si="311"/>
        <v>0</v>
      </c>
      <c r="W239" s="150">
        <f t="shared" si="311"/>
        <v>0</v>
      </c>
      <c r="X239" s="150">
        <f t="shared" si="311"/>
        <v>0</v>
      </c>
      <c r="Y239" s="150">
        <f t="shared" si="311"/>
        <v>0</v>
      </c>
      <c r="Z239" s="150">
        <f t="shared" si="311"/>
        <v>0</v>
      </c>
      <c r="AA239" s="150">
        <f t="shared" si="311"/>
        <v>0</v>
      </c>
      <c r="AB239" s="150">
        <f t="shared" si="311"/>
        <v>0</v>
      </c>
      <c r="AF239" s="229"/>
      <c r="AG239" s="229"/>
      <c r="AH239" s="229"/>
      <c r="AI239" s="229"/>
      <c r="AJ239" s="229"/>
      <c r="AK239" s="229"/>
      <c r="AL239" s="229"/>
      <c r="AM239" s="229"/>
      <c r="AN239" s="229"/>
      <c r="AO239" s="229"/>
      <c r="AP239" s="229"/>
      <c r="AQ239" s="229"/>
    </row>
    <row r="240" spans="1:43" ht="3.75" customHeight="1" x14ac:dyDescent="0.35">
      <c r="G240" s="147"/>
      <c r="AF240" s="229"/>
      <c r="AG240" s="229"/>
      <c r="AH240" s="229"/>
      <c r="AI240" s="229"/>
      <c r="AJ240" s="229"/>
      <c r="AK240" s="229"/>
      <c r="AL240" s="229"/>
      <c r="AM240" s="229"/>
      <c r="AN240" s="229"/>
      <c r="AO240" s="229"/>
      <c r="AP240" s="229"/>
      <c r="AQ240" s="229"/>
    </row>
    <row r="241" spans="1:43" ht="15" customHeight="1" x14ac:dyDescent="0.35">
      <c r="B241" s="127" t="s">
        <v>577</v>
      </c>
      <c r="E241" s="206">
        <f>+E155-E157</f>
        <v>44.67</v>
      </c>
      <c r="F241" s="206">
        <f t="shared" ref="F241:G241" si="312">+F155-F157</f>
        <v>33.887999999999998</v>
      </c>
      <c r="G241" s="207">
        <f t="shared" si="312"/>
        <v>30.37</v>
      </c>
      <c r="H241" s="206">
        <f>IFERROR(H155-H157,"")</f>
        <v>77.448999999999998</v>
      </c>
      <c r="I241" s="206">
        <f t="shared" ref="I241:AB241" si="313">IFERROR(I155-I157,"")</f>
        <v>19.642916990124206</v>
      </c>
      <c r="J241" s="206">
        <f t="shared" si="313"/>
        <v>110.63418683630465</v>
      </c>
      <c r="K241" s="206">
        <f t="shared" si="313"/>
        <v>71.096394741748156</v>
      </c>
      <c r="L241" s="206">
        <f t="shared" si="313"/>
        <v>155.89612053362401</v>
      </c>
      <c r="M241" s="206">
        <f t="shared" si="313"/>
        <v>124.54688132978765</v>
      </c>
      <c r="N241" s="206">
        <f t="shared" si="313"/>
        <v>214.02445016475394</v>
      </c>
      <c r="O241" s="206">
        <f t="shared" si="313"/>
        <v>137.08090207681522</v>
      </c>
      <c r="P241" s="206">
        <f t="shared" si="313"/>
        <v>213.85240632700589</v>
      </c>
      <c r="Q241" s="206">
        <f t="shared" si="313"/>
        <v>112.17340674391193</v>
      </c>
      <c r="R241" s="206">
        <f t="shared" si="313"/>
        <v>176.53690099649185</v>
      </c>
      <c r="S241" s="206">
        <f t="shared" si="313"/>
        <v>40.764259116976234</v>
      </c>
      <c r="T241" s="206">
        <f t="shared" si="313"/>
        <v>62.357988486879677</v>
      </c>
      <c r="U241" s="206">
        <f t="shared" si="313"/>
        <v>0</v>
      </c>
      <c r="V241" s="206">
        <f t="shared" si="313"/>
        <v>0</v>
      </c>
      <c r="W241" s="206">
        <f t="shared" si="313"/>
        <v>0</v>
      </c>
      <c r="X241" s="206">
        <f t="shared" si="313"/>
        <v>0</v>
      </c>
      <c r="Y241" s="206">
        <f t="shared" si="313"/>
        <v>0</v>
      </c>
      <c r="Z241" s="206">
        <f t="shared" si="313"/>
        <v>0</v>
      </c>
      <c r="AA241" s="206">
        <f t="shared" si="313"/>
        <v>0</v>
      </c>
      <c r="AB241" s="206">
        <f t="shared" si="313"/>
        <v>0</v>
      </c>
      <c r="AF241" s="229"/>
      <c r="AG241" s="229"/>
      <c r="AH241" s="229"/>
      <c r="AI241" s="229"/>
      <c r="AJ241" s="229"/>
      <c r="AK241" s="229"/>
      <c r="AL241" s="229"/>
      <c r="AM241" s="229"/>
      <c r="AN241" s="229"/>
      <c r="AO241" s="229"/>
      <c r="AP241" s="229"/>
      <c r="AQ241" s="229"/>
    </row>
    <row r="242" spans="1:43" ht="4.4000000000000004" customHeight="1" x14ac:dyDescent="0.35">
      <c r="G242" s="147"/>
      <c r="AF242" s="229"/>
      <c r="AG242" s="229"/>
      <c r="AH242" s="229"/>
      <c r="AI242" s="229"/>
      <c r="AJ242" s="229"/>
      <c r="AK242" s="229"/>
      <c r="AL242" s="229"/>
      <c r="AM242" s="229"/>
      <c r="AN242" s="229"/>
      <c r="AO242" s="229"/>
      <c r="AP242" s="229"/>
      <c r="AQ242" s="229"/>
    </row>
    <row r="243" spans="1:43" ht="15" customHeight="1" x14ac:dyDescent="0.35">
      <c r="B243" s="182" t="s">
        <v>444</v>
      </c>
      <c r="C243" s="183"/>
      <c r="D243" s="183"/>
      <c r="E243" s="184">
        <f t="shared" ref="E243:G243" si="314">+E231+E233+E235+E237+E239+E241</f>
        <v>5.0640000000000001</v>
      </c>
      <c r="F243" s="184">
        <f t="shared" si="314"/>
        <v>-28.344000000000008</v>
      </c>
      <c r="G243" s="185">
        <f t="shared" si="314"/>
        <v>-77.448999999999998</v>
      </c>
      <c r="H243" s="184">
        <f>IFERROR(+H231+H233+H235+H237+H239+H241,"")</f>
        <v>-19.642916990124206</v>
      </c>
      <c r="I243" s="184">
        <f t="shared" ref="I243:AB243" si="315">IFERROR(+I231+I233+I235+I237+I239+I241,"")</f>
        <v>-110.63418683630465</v>
      </c>
      <c r="J243" s="184">
        <f t="shared" si="315"/>
        <v>-71.096394741748156</v>
      </c>
      <c r="K243" s="184">
        <f t="shared" si="315"/>
        <v>-155.89612053362401</v>
      </c>
      <c r="L243" s="184">
        <f t="shared" si="315"/>
        <v>-124.54688132978765</v>
      </c>
      <c r="M243" s="184">
        <f t="shared" si="315"/>
        <v>-214.02445016475394</v>
      </c>
      <c r="N243" s="184">
        <f t="shared" si="315"/>
        <v>-137.08090207681522</v>
      </c>
      <c r="O243" s="184">
        <f t="shared" si="315"/>
        <v>-213.85240632700589</v>
      </c>
      <c r="P243" s="184">
        <f t="shared" si="315"/>
        <v>-112.17340674391193</v>
      </c>
      <c r="Q243" s="184">
        <f t="shared" si="315"/>
        <v>-176.53690099649185</v>
      </c>
      <c r="R243" s="184">
        <f t="shared" si="315"/>
        <v>-40.764259116976234</v>
      </c>
      <c r="S243" s="184">
        <f t="shared" si="315"/>
        <v>-62.357988486879677</v>
      </c>
      <c r="T243" s="184">
        <f t="shared" si="315"/>
        <v>104.92834574461347</v>
      </c>
      <c r="U243" s="184">
        <f t="shared" si="315"/>
        <v>237.83162554909933</v>
      </c>
      <c r="V243" s="184">
        <f t="shared" si="315"/>
        <v>479.5867170813994</v>
      </c>
      <c r="W243" s="184">
        <f t="shared" si="315"/>
        <v>832.13353799483752</v>
      </c>
      <c r="X243" s="184">
        <f t="shared" si="315"/>
        <v>1284.3280012687237</v>
      </c>
      <c r="Y243" s="184">
        <f t="shared" si="315"/>
        <v>1922.3835677890254</v>
      </c>
      <c r="Z243" s="184">
        <f t="shared" si="315"/>
        <v>2682.491335794512</v>
      </c>
      <c r="AA243" s="184">
        <f t="shared" si="315"/>
        <v>3569.7345983953369</v>
      </c>
      <c r="AB243" s="606">
        <f t="shared" si="315"/>
        <v>4521.2836187190851</v>
      </c>
      <c r="AF243" s="229"/>
      <c r="AG243" s="229"/>
      <c r="AH243" s="229"/>
      <c r="AI243" s="229"/>
      <c r="AJ243" s="229"/>
      <c r="AK243" s="229"/>
      <c r="AL243" s="229"/>
      <c r="AM243" s="229"/>
      <c r="AN243" s="229"/>
      <c r="AO243" s="229"/>
      <c r="AP243" s="229"/>
      <c r="AQ243" s="229"/>
    </row>
    <row r="244" spans="1:43" ht="15" customHeight="1" x14ac:dyDescent="0.35">
      <c r="B244" s="186" t="s">
        <v>578</v>
      </c>
      <c r="C244" s="187"/>
      <c r="D244" s="187"/>
      <c r="E244" s="187"/>
      <c r="F244" s="187"/>
      <c r="G244" s="188"/>
      <c r="H244" s="189">
        <f t="shared" ref="H244:AB244" ca="1" si="316">IFERROR(H243/(1+$C$12)^H$194,"")</f>
        <v>-19.470437911734535</v>
      </c>
      <c r="I244" s="189">
        <f t="shared" ca="1" si="316"/>
        <v>-102.19202159013528</v>
      </c>
      <c r="J244" s="189">
        <f t="shared" ca="1" si="316"/>
        <v>-61.197421694158173</v>
      </c>
      <c r="K244" s="189">
        <f t="shared" ca="1" si="316"/>
        <v>-125.04857848109526</v>
      </c>
      <c r="L244" s="189">
        <f t="shared" ca="1" si="316"/>
        <v>-93.096684141172375</v>
      </c>
      <c r="M244" s="189">
        <f t="shared" ca="1" si="316"/>
        <v>-149.08112109804532</v>
      </c>
      <c r="N244" s="189">
        <f t="shared" ca="1" si="316"/>
        <v>-88.980351719966592</v>
      </c>
      <c r="O244" s="189">
        <f t="shared" ca="1" si="316"/>
        <v>-129.35678411193891</v>
      </c>
      <c r="P244" s="189">
        <f t="shared" ca="1" si="316"/>
        <v>-63.229956483307525</v>
      </c>
      <c r="Q244" s="189">
        <f t="shared" ca="1" si="316"/>
        <v>-92.731305956546407</v>
      </c>
      <c r="R244" s="189">
        <f t="shared" ca="1" si="316"/>
        <v>-19.953924997513717</v>
      </c>
      <c r="S244" s="189">
        <f t="shared" ca="1" si="316"/>
        <v>-28.44453142050855</v>
      </c>
      <c r="T244" s="189">
        <f t="shared" ca="1" si="316"/>
        <v>44.602316665094691</v>
      </c>
      <c r="U244" s="189">
        <f t="shared" ca="1" si="316"/>
        <v>94.208936103866449</v>
      </c>
      <c r="V244" s="189">
        <f t="shared" ca="1" si="316"/>
        <v>177.03027566939156</v>
      </c>
      <c r="W244" s="189">
        <f t="shared" ca="1" si="316"/>
        <v>286.24066350368929</v>
      </c>
      <c r="X244" s="189">
        <f t="shared" ca="1" si="316"/>
        <v>411.69174566296795</v>
      </c>
      <c r="Y244" s="189">
        <f t="shared" ca="1" si="316"/>
        <v>574.24094836308871</v>
      </c>
      <c r="Z244" s="189">
        <f t="shared" ca="1" si="316"/>
        <v>746.7072103728176</v>
      </c>
      <c r="AA244" s="189">
        <f t="shared" ca="1" si="316"/>
        <v>925.98904763624614</v>
      </c>
      <c r="AB244" s="607">
        <f t="shared" ca="1" si="316"/>
        <v>1092.9230285718004</v>
      </c>
      <c r="AF244" s="229"/>
      <c r="AG244" s="229"/>
      <c r="AH244" s="229"/>
      <c r="AI244" s="229"/>
      <c r="AJ244" s="229"/>
      <c r="AK244" s="229"/>
      <c r="AL244" s="229"/>
      <c r="AM244" s="229"/>
      <c r="AN244" s="229"/>
      <c r="AO244" s="229"/>
      <c r="AP244" s="229"/>
      <c r="AQ244" s="229"/>
    </row>
    <row r="245" spans="1:43" ht="3.75" customHeight="1" x14ac:dyDescent="0.35">
      <c r="G245" s="147"/>
      <c r="AB245" s="904"/>
      <c r="AF245" s="229"/>
      <c r="AG245" s="229"/>
      <c r="AH245" s="229"/>
      <c r="AI245" s="229"/>
      <c r="AJ245" s="229"/>
      <c r="AK245" s="229"/>
      <c r="AL245" s="229"/>
      <c r="AM245" s="229"/>
      <c r="AN245" s="229"/>
      <c r="AO245" s="229"/>
      <c r="AP245" s="229"/>
      <c r="AQ245" s="229"/>
    </row>
    <row r="246" spans="1:43" ht="15" customHeight="1" x14ac:dyDescent="0.35">
      <c r="B246" s="127" t="s">
        <v>554</v>
      </c>
      <c r="G246" s="147"/>
      <c r="Q246" s="167"/>
      <c r="R246" s="167"/>
      <c r="S246" s="167"/>
      <c r="T246" s="167"/>
      <c r="U246" s="167"/>
      <c r="V246" s="167"/>
      <c r="W246" s="167"/>
      <c r="X246" s="167"/>
      <c r="Y246" s="167"/>
      <c r="Z246" s="167"/>
      <c r="AA246" s="167"/>
      <c r="AB246" s="167">
        <f>IFERROR((AB243*(1+$C$14))/(WACC!$G$11-$C$14),"")</f>
        <v>86671.346431850747</v>
      </c>
      <c r="AF246" s="229"/>
      <c r="AG246" s="229"/>
      <c r="AH246" s="229"/>
      <c r="AI246" s="229"/>
      <c r="AJ246" s="229"/>
      <c r="AK246" s="229"/>
      <c r="AL246" s="229"/>
      <c r="AM246" s="229"/>
      <c r="AN246" s="229"/>
      <c r="AO246" s="229"/>
      <c r="AP246" s="229"/>
      <c r="AQ246" s="229"/>
    </row>
    <row r="247" spans="1:43" ht="15" customHeight="1" x14ac:dyDescent="0.35">
      <c r="B247" s="127" t="s">
        <v>555</v>
      </c>
      <c r="G247" s="147"/>
      <c r="Q247" s="211"/>
      <c r="R247" s="211"/>
      <c r="S247" s="211"/>
      <c r="T247" s="211"/>
      <c r="U247" s="211"/>
      <c r="V247" s="211"/>
      <c r="W247" s="211"/>
      <c r="X247" s="211"/>
      <c r="Y247" s="211"/>
      <c r="Z247" s="211"/>
      <c r="AA247" s="211"/>
      <c r="AB247" s="211">
        <f ca="1">IFERROR(AB246/(1+WACC!$G$11)^$Q$194,"")</f>
        <v>45486.306195992176</v>
      </c>
      <c r="AF247" s="229"/>
      <c r="AG247" s="229"/>
      <c r="AH247" s="229"/>
      <c r="AI247" s="229"/>
      <c r="AJ247" s="229"/>
      <c r="AK247" s="229"/>
      <c r="AL247" s="229"/>
      <c r="AM247" s="229"/>
      <c r="AN247" s="229"/>
      <c r="AO247" s="229"/>
      <c r="AP247" s="229"/>
      <c r="AQ247" s="229"/>
    </row>
    <row r="248" spans="1:43" ht="15" customHeight="1" x14ac:dyDescent="0.35">
      <c r="B248" s="127" t="s">
        <v>209</v>
      </c>
      <c r="G248" s="147"/>
      <c r="Q248" s="167"/>
      <c r="R248" s="167"/>
      <c r="S248" s="167"/>
      <c r="T248" s="167"/>
      <c r="U248" s="167"/>
      <c r="V248" s="167"/>
      <c r="W248" s="167"/>
      <c r="X248" s="167"/>
      <c r="Y248" s="167"/>
      <c r="Z248" s="167"/>
      <c r="AA248" s="167"/>
      <c r="AB248" s="167">
        <f ca="1">+SUM(AB247,$H244:AB244)</f>
        <v>48867.157248935022</v>
      </c>
      <c r="AF248" s="229"/>
      <c r="AG248" s="229"/>
      <c r="AH248" s="229"/>
      <c r="AI248" s="229"/>
      <c r="AJ248" s="229"/>
      <c r="AK248" s="229"/>
      <c r="AL248" s="229"/>
      <c r="AM248" s="229"/>
      <c r="AN248" s="229"/>
      <c r="AO248" s="229"/>
      <c r="AP248" s="229"/>
      <c r="AQ248" s="229"/>
    </row>
    <row r="249" spans="1:43" ht="3.75" customHeight="1" x14ac:dyDescent="0.35">
      <c r="G249" s="147"/>
      <c r="AF249" s="229"/>
      <c r="AG249" s="229"/>
      <c r="AH249" s="229"/>
      <c r="AI249" s="229"/>
      <c r="AJ249" s="229"/>
      <c r="AK249" s="229"/>
      <c r="AL249" s="229"/>
      <c r="AM249" s="229"/>
      <c r="AN249" s="229"/>
      <c r="AO249" s="229"/>
      <c r="AP249" s="229"/>
      <c r="AQ249" s="229"/>
    </row>
    <row r="250" spans="1:43" ht="15" customHeight="1" x14ac:dyDescent="0.35">
      <c r="B250" s="148" t="s">
        <v>562</v>
      </c>
      <c r="G250" s="147"/>
      <c r="N250" s="200"/>
      <c r="Q250" s="201"/>
      <c r="R250" s="201"/>
      <c r="S250" s="201"/>
      <c r="T250" s="201"/>
      <c r="U250" s="201"/>
      <c r="V250" s="201"/>
      <c r="W250" s="201"/>
      <c r="X250" s="201"/>
      <c r="Y250" s="201"/>
      <c r="Z250" s="201"/>
      <c r="AA250" s="201"/>
      <c r="AB250" s="201">
        <f t="shared" ref="AB250" ca="1" si="317">IFERROR(AB248/AB206,"")</f>
        <v>0.1428787794364659</v>
      </c>
      <c r="AF250" s="229"/>
      <c r="AG250" s="229"/>
      <c r="AH250" s="229"/>
      <c r="AI250" s="229"/>
      <c r="AJ250" s="229"/>
      <c r="AK250" s="229"/>
      <c r="AL250" s="229"/>
      <c r="AM250" s="229"/>
      <c r="AN250" s="229"/>
      <c r="AO250" s="229"/>
      <c r="AP250" s="229"/>
      <c r="AQ250" s="229"/>
    </row>
    <row r="251" spans="1:43" ht="3.75" customHeight="1" x14ac:dyDescent="0.35">
      <c r="G251" s="147"/>
      <c r="AF251" s="229"/>
      <c r="AG251" s="229"/>
      <c r="AH251" s="229"/>
      <c r="AI251" s="229"/>
      <c r="AJ251" s="229"/>
      <c r="AK251" s="229"/>
      <c r="AL251" s="229"/>
      <c r="AM251" s="229"/>
      <c r="AN251" s="229"/>
      <c r="AO251" s="229"/>
      <c r="AP251" s="229"/>
      <c r="AQ251" s="229"/>
    </row>
    <row r="252" spans="1:43" ht="15" customHeight="1" x14ac:dyDescent="0.35">
      <c r="B252" s="148" t="s">
        <v>564</v>
      </c>
      <c r="C252" s="148"/>
      <c r="D252" s="148"/>
      <c r="E252" s="148"/>
      <c r="F252" s="148"/>
      <c r="G252" s="202"/>
      <c r="H252" s="148"/>
      <c r="I252" s="148"/>
      <c r="J252" s="148"/>
      <c r="K252" s="148"/>
      <c r="L252" s="148"/>
      <c r="M252" s="148"/>
      <c r="N252" s="148"/>
      <c r="O252" s="148"/>
      <c r="P252" s="148"/>
      <c r="Q252" s="203"/>
      <c r="R252" s="203"/>
      <c r="S252" s="203"/>
      <c r="T252" s="203"/>
      <c r="U252" s="203"/>
      <c r="V252" s="203"/>
      <c r="W252" s="203"/>
      <c r="X252" s="203"/>
      <c r="Y252" s="203"/>
      <c r="Z252" s="203"/>
      <c r="AA252" s="203"/>
      <c r="AB252" s="203">
        <f t="shared" ref="AB252" ca="1" si="318">IFERROR(AB250/AB209-1,"")</f>
        <v>-0.99421543403091228</v>
      </c>
      <c r="AF252" s="229"/>
      <c r="AG252" s="229"/>
      <c r="AH252" s="229"/>
      <c r="AI252" s="229"/>
      <c r="AJ252" s="229"/>
      <c r="AK252" s="229"/>
      <c r="AL252" s="229"/>
      <c r="AM252" s="229"/>
      <c r="AN252" s="229"/>
      <c r="AO252" s="229"/>
      <c r="AP252" s="229"/>
      <c r="AQ252" s="229"/>
    </row>
    <row r="253" spans="1:43" s="208" customFormat="1" ht="3.75" customHeight="1" x14ac:dyDescent="0.35">
      <c r="G253" s="209"/>
      <c r="AF253" s="891"/>
      <c r="AG253" s="891"/>
      <c r="AH253" s="891"/>
      <c r="AI253" s="891"/>
      <c r="AJ253" s="891"/>
      <c r="AK253" s="891"/>
      <c r="AL253" s="891"/>
      <c r="AM253" s="891"/>
      <c r="AN253" s="891"/>
      <c r="AO253" s="891"/>
      <c r="AP253" s="891"/>
      <c r="AQ253" s="891"/>
    </row>
    <row r="254" spans="1:43" ht="15" customHeight="1" x14ac:dyDescent="0.35">
      <c r="A254" s="127" t="s">
        <v>431</v>
      </c>
      <c r="B254" s="49" t="s">
        <v>579</v>
      </c>
      <c r="C254" s="49"/>
      <c r="D254" s="49"/>
      <c r="E254" s="138">
        <f>+E227</f>
        <v>2022</v>
      </c>
      <c r="F254" s="138">
        <f>+F227</f>
        <v>2023</v>
      </c>
      <c r="G254" s="139">
        <f>+G227</f>
        <v>2024</v>
      </c>
      <c r="H254" s="100">
        <f t="shared" ref="H254:Q254" si="319">1+G254</f>
        <v>2025</v>
      </c>
      <c r="I254" s="100">
        <f t="shared" si="319"/>
        <v>2026</v>
      </c>
      <c r="J254" s="100">
        <f t="shared" si="319"/>
        <v>2027</v>
      </c>
      <c r="K254" s="100">
        <f t="shared" si="319"/>
        <v>2028</v>
      </c>
      <c r="L254" s="100">
        <f t="shared" si="319"/>
        <v>2029</v>
      </c>
      <c r="M254" s="100">
        <f t="shared" si="319"/>
        <v>2030</v>
      </c>
      <c r="N254" s="100">
        <f t="shared" si="319"/>
        <v>2031</v>
      </c>
      <c r="O254" s="100">
        <f t="shared" si="319"/>
        <v>2032</v>
      </c>
      <c r="P254" s="100">
        <f t="shared" si="319"/>
        <v>2033</v>
      </c>
      <c r="Q254" s="100">
        <f t="shared" si="319"/>
        <v>2034</v>
      </c>
      <c r="R254" s="348" t="s">
        <v>459</v>
      </c>
      <c r="S254" s="348" t="s">
        <v>460</v>
      </c>
      <c r="T254" s="348" t="s">
        <v>461</v>
      </c>
      <c r="U254" s="348" t="s">
        <v>462</v>
      </c>
      <c r="V254" s="348" t="s">
        <v>463</v>
      </c>
      <c r="W254" s="348" t="s">
        <v>464</v>
      </c>
      <c r="X254" s="348" t="s">
        <v>465</v>
      </c>
      <c r="Y254" s="348" t="s">
        <v>466</v>
      </c>
      <c r="Z254" s="348" t="s">
        <v>467</v>
      </c>
      <c r="AA254" s="348" t="s">
        <v>468</v>
      </c>
      <c r="AB254" s="348" t="s">
        <v>469</v>
      </c>
      <c r="AC254" s="861"/>
      <c r="AD254" s="861"/>
      <c r="AE254" s="861"/>
      <c r="AF254" s="861"/>
      <c r="AG254" s="861"/>
      <c r="AH254" s="861"/>
      <c r="AI254" s="861"/>
      <c r="AJ254" s="861"/>
      <c r="AK254" s="861"/>
      <c r="AL254" s="861"/>
      <c r="AM254" s="861"/>
      <c r="AN254" s="861"/>
      <c r="AO254" s="861"/>
      <c r="AP254" s="861"/>
      <c r="AQ254" s="861"/>
    </row>
    <row r="255" spans="1:43" ht="3.75" customHeight="1" x14ac:dyDescent="0.35">
      <c r="B255" s="50"/>
      <c r="C255" s="50"/>
      <c r="D255" s="50"/>
      <c r="E255" s="50"/>
      <c r="F255" s="50"/>
      <c r="G255" s="204"/>
      <c r="H255" s="50"/>
      <c r="I255" s="50"/>
      <c r="J255" s="50"/>
      <c r="K255" s="50"/>
      <c r="L255" s="50"/>
      <c r="M255" s="50"/>
      <c r="N255" s="50"/>
      <c r="O255" s="50"/>
      <c r="P255" s="50"/>
      <c r="Q255" s="50"/>
      <c r="R255" s="50"/>
      <c r="S255" s="50"/>
      <c r="T255" s="50"/>
      <c r="U255" s="50"/>
      <c r="V255" s="50"/>
      <c r="W255" s="50"/>
      <c r="X255" s="50"/>
      <c r="Y255" s="50"/>
      <c r="Z255" s="50"/>
      <c r="AA255" s="50"/>
      <c r="AB255" s="50"/>
      <c r="AC255" s="229"/>
      <c r="AD255" s="229"/>
      <c r="AE255" s="229"/>
      <c r="AF255" s="229"/>
      <c r="AG255" s="229"/>
      <c r="AH255" s="229"/>
      <c r="AI255" s="229"/>
      <c r="AJ255" s="229"/>
      <c r="AK255" s="229"/>
      <c r="AL255" s="229"/>
      <c r="AM255" s="229"/>
      <c r="AN255" s="229"/>
      <c r="AO255" s="229"/>
      <c r="AP255" s="229"/>
      <c r="AQ255" s="229"/>
    </row>
    <row r="256" spans="1:43" ht="15" customHeight="1" x14ac:dyDescent="0.35">
      <c r="B256" s="127" t="s">
        <v>446</v>
      </c>
      <c r="E256" s="167">
        <f t="shared" ref="E256:G256" si="320">+E149+E146</f>
        <v>40</v>
      </c>
      <c r="F256" s="167">
        <f t="shared" si="320"/>
        <v>63.676000000000002</v>
      </c>
      <c r="G256" s="205">
        <f t="shared" si="320"/>
        <v>214.191</v>
      </c>
      <c r="H256" s="167">
        <f>IFERROR(H149+H146,"")</f>
        <v>0</v>
      </c>
      <c r="I256" s="167">
        <f t="shared" ref="I256:AA256" si="321">IFERROR(I149+I146,"")</f>
        <v>0</v>
      </c>
      <c r="J256" s="167">
        <f t="shared" si="321"/>
        <v>0</v>
      </c>
      <c r="K256" s="167">
        <f t="shared" si="321"/>
        <v>0</v>
      </c>
      <c r="L256" s="167">
        <f t="shared" si="321"/>
        <v>0</v>
      </c>
      <c r="M256" s="167">
        <f t="shared" si="321"/>
        <v>0</v>
      </c>
      <c r="N256" s="167">
        <f t="shared" si="321"/>
        <v>0</v>
      </c>
      <c r="O256" s="167">
        <f t="shared" si="321"/>
        <v>0</v>
      </c>
      <c r="P256" s="167">
        <f t="shared" si="321"/>
        <v>0</v>
      </c>
      <c r="Q256" s="167">
        <f t="shared" si="321"/>
        <v>0</v>
      </c>
      <c r="R256" s="167">
        <f t="shared" si="321"/>
        <v>0</v>
      </c>
      <c r="S256" s="167">
        <f t="shared" si="321"/>
        <v>0</v>
      </c>
      <c r="T256" s="167">
        <f t="shared" si="321"/>
        <v>0</v>
      </c>
      <c r="U256" s="167">
        <f t="shared" si="321"/>
        <v>0</v>
      </c>
      <c r="V256" s="167">
        <f t="shared" si="321"/>
        <v>0</v>
      </c>
      <c r="W256" s="167">
        <f t="shared" si="321"/>
        <v>0</v>
      </c>
      <c r="X256" s="167">
        <f t="shared" si="321"/>
        <v>0</v>
      </c>
      <c r="Y256" s="167">
        <f t="shared" si="321"/>
        <v>0</v>
      </c>
      <c r="Z256" s="167">
        <f t="shared" si="321"/>
        <v>0</v>
      </c>
      <c r="AA256" s="167">
        <f t="shared" si="321"/>
        <v>0</v>
      </c>
      <c r="AB256" s="167">
        <f>IFERROR(AB149+AB146,"")</f>
        <v>0</v>
      </c>
      <c r="AC256" s="199"/>
      <c r="AD256" s="199"/>
      <c r="AE256" s="199"/>
      <c r="AF256" s="229"/>
      <c r="AG256" s="229"/>
      <c r="AH256" s="229"/>
      <c r="AI256" s="229"/>
      <c r="AJ256" s="229"/>
      <c r="AK256" s="229"/>
      <c r="AL256" s="229"/>
      <c r="AM256" s="229"/>
      <c r="AN256" s="229"/>
      <c r="AO256" s="229"/>
      <c r="AP256" s="229"/>
      <c r="AQ256" s="229"/>
    </row>
    <row r="257" spans="1:43" ht="15" customHeight="1" x14ac:dyDescent="0.35">
      <c r="B257" s="151" t="s">
        <v>580</v>
      </c>
      <c r="E257" s="208">
        <f t="shared" ref="E257:AB257" si="322">IFERROR(_xlfn.XLOOKUP("Repurchase payout",$B:$B,E:E)+_xlfn.XLOOKUP("Dividend payout",$B:$B,E:E),"")</f>
        <v>0.74485121596961013</v>
      </c>
      <c r="F257" s="208">
        <f t="shared" si="322"/>
        <v>0.76982409478329206</v>
      </c>
      <c r="G257" s="209">
        <f t="shared" si="322"/>
        <v>1.4886884117904629</v>
      </c>
      <c r="H257" s="208">
        <f t="shared" si="322"/>
        <v>0</v>
      </c>
      <c r="I257" s="208">
        <f t="shared" si="322"/>
        <v>0</v>
      </c>
      <c r="J257" s="208">
        <f t="shared" si="322"/>
        <v>0</v>
      </c>
      <c r="K257" s="208">
        <f t="shared" si="322"/>
        <v>0</v>
      </c>
      <c r="L257" s="208">
        <f t="shared" si="322"/>
        <v>0</v>
      </c>
      <c r="M257" s="208">
        <f t="shared" si="322"/>
        <v>0</v>
      </c>
      <c r="N257" s="208">
        <f t="shared" si="322"/>
        <v>0</v>
      </c>
      <c r="O257" s="208">
        <f t="shared" si="322"/>
        <v>0</v>
      </c>
      <c r="P257" s="208">
        <f t="shared" si="322"/>
        <v>0</v>
      </c>
      <c r="Q257" s="208">
        <f t="shared" si="322"/>
        <v>0</v>
      </c>
      <c r="R257" s="208">
        <f t="shared" si="322"/>
        <v>0</v>
      </c>
      <c r="S257" s="208">
        <f t="shared" si="322"/>
        <v>0</v>
      </c>
      <c r="T257" s="208">
        <f t="shared" si="322"/>
        <v>0</v>
      </c>
      <c r="U257" s="208">
        <f t="shared" si="322"/>
        <v>0</v>
      </c>
      <c r="V257" s="208">
        <f t="shared" si="322"/>
        <v>0</v>
      </c>
      <c r="W257" s="208">
        <f t="shared" si="322"/>
        <v>0</v>
      </c>
      <c r="X257" s="208">
        <f t="shared" si="322"/>
        <v>0</v>
      </c>
      <c r="Y257" s="208">
        <f t="shared" si="322"/>
        <v>0</v>
      </c>
      <c r="Z257" s="208">
        <f t="shared" si="322"/>
        <v>0</v>
      </c>
      <c r="AA257" s="208">
        <f t="shared" si="322"/>
        <v>0</v>
      </c>
      <c r="AB257" s="208">
        <f t="shared" si="322"/>
        <v>0</v>
      </c>
      <c r="AF257" s="229"/>
      <c r="AG257" s="229"/>
      <c r="AH257" s="229"/>
      <c r="AI257" s="229"/>
      <c r="AJ257" s="229"/>
      <c r="AK257" s="229"/>
      <c r="AL257" s="229"/>
      <c r="AM257" s="229"/>
      <c r="AN257" s="229"/>
      <c r="AO257" s="229"/>
      <c r="AP257" s="229"/>
      <c r="AQ257" s="229"/>
    </row>
    <row r="258" spans="1:43" ht="15" customHeight="1" x14ac:dyDescent="0.35">
      <c r="B258" s="127" t="s">
        <v>581</v>
      </c>
      <c r="E258" s="208">
        <f>IFERROR(1-E257,"")</f>
        <v>0.25514878403038987</v>
      </c>
      <c r="F258" s="208">
        <f t="shared" ref="F258:AB258" si="323">IFERROR(1-F257,"")</f>
        <v>0.23017590521670794</v>
      </c>
      <c r="G258" s="209">
        <f t="shared" si="323"/>
        <v>-0.48868841179046285</v>
      </c>
      <c r="H258" s="208">
        <f t="shared" si="323"/>
        <v>1</v>
      </c>
      <c r="I258" s="208">
        <f t="shared" si="323"/>
        <v>1</v>
      </c>
      <c r="J258" s="208">
        <f t="shared" si="323"/>
        <v>1</v>
      </c>
      <c r="K258" s="208">
        <f t="shared" si="323"/>
        <v>1</v>
      </c>
      <c r="L258" s="208">
        <f t="shared" si="323"/>
        <v>1</v>
      </c>
      <c r="M258" s="208">
        <f t="shared" si="323"/>
        <v>1</v>
      </c>
      <c r="N258" s="208">
        <f t="shared" si="323"/>
        <v>1</v>
      </c>
      <c r="O258" s="208">
        <f t="shared" si="323"/>
        <v>1</v>
      </c>
      <c r="P258" s="208">
        <f t="shared" si="323"/>
        <v>1</v>
      </c>
      <c r="Q258" s="208">
        <f t="shared" si="323"/>
        <v>1</v>
      </c>
      <c r="R258" s="208">
        <f t="shared" si="323"/>
        <v>1</v>
      </c>
      <c r="S258" s="208">
        <f t="shared" si="323"/>
        <v>1</v>
      </c>
      <c r="T258" s="208">
        <f t="shared" si="323"/>
        <v>1</v>
      </c>
      <c r="U258" s="208">
        <f t="shared" si="323"/>
        <v>1</v>
      </c>
      <c r="V258" s="208">
        <f t="shared" si="323"/>
        <v>1</v>
      </c>
      <c r="W258" s="208">
        <f t="shared" si="323"/>
        <v>1</v>
      </c>
      <c r="X258" s="208">
        <f t="shared" si="323"/>
        <v>1</v>
      </c>
      <c r="Y258" s="208">
        <f t="shared" si="323"/>
        <v>1</v>
      </c>
      <c r="Z258" s="208">
        <f t="shared" si="323"/>
        <v>1</v>
      </c>
      <c r="AA258" s="208">
        <f t="shared" si="323"/>
        <v>1</v>
      </c>
      <c r="AB258" s="208">
        <f t="shared" si="323"/>
        <v>1</v>
      </c>
      <c r="AF258" s="229"/>
      <c r="AG258" s="229"/>
      <c r="AH258" s="229"/>
      <c r="AI258" s="229"/>
      <c r="AJ258" s="229"/>
      <c r="AK258" s="229"/>
      <c r="AL258" s="229"/>
      <c r="AM258" s="229"/>
      <c r="AN258" s="229"/>
      <c r="AO258" s="229"/>
      <c r="AP258" s="229"/>
      <c r="AQ258" s="229"/>
    </row>
    <row r="259" spans="1:43" ht="3.75" customHeight="1" x14ac:dyDescent="0.35">
      <c r="G259" s="147"/>
      <c r="AF259" s="229"/>
      <c r="AG259" s="229"/>
      <c r="AH259" s="229"/>
      <c r="AI259" s="229"/>
      <c r="AJ259" s="229"/>
      <c r="AK259" s="229"/>
      <c r="AL259" s="229"/>
      <c r="AM259" s="229"/>
      <c r="AN259" s="229"/>
      <c r="AO259" s="229"/>
      <c r="AP259" s="229"/>
      <c r="AQ259" s="229"/>
    </row>
    <row r="260" spans="1:43" ht="15" customHeight="1" x14ac:dyDescent="0.35">
      <c r="B260" s="212" t="s">
        <v>582</v>
      </c>
      <c r="C260" s="213"/>
      <c r="D260" s="213"/>
      <c r="E260" s="213"/>
      <c r="F260" s="213"/>
      <c r="G260" s="214"/>
      <c r="H260" s="215">
        <f ca="1">IFERROR(-H256/(1+WACC!$G$11)^H$194,"")</f>
        <v>0</v>
      </c>
      <c r="I260" s="215">
        <f ca="1">IFERROR(-I256/(1+WACC!$G$11)^I$194,"")</f>
        <v>0</v>
      </c>
      <c r="J260" s="215">
        <f ca="1">IFERROR(-J256/(1+WACC!$G$11)^J$194,"")</f>
        <v>0</v>
      </c>
      <c r="K260" s="215">
        <f ca="1">IFERROR(-K256/(1+WACC!$G$11)^K$194,"")</f>
        <v>0</v>
      </c>
      <c r="L260" s="215">
        <f ca="1">IFERROR(-L256/(1+WACC!$G$11)^L$194,"")</f>
        <v>0</v>
      </c>
      <c r="M260" s="215">
        <f ca="1">IFERROR(-M256/(1+WACC!$G$11)^M$194,"")</f>
        <v>0</v>
      </c>
      <c r="N260" s="215">
        <f ca="1">IFERROR(-N256/(1+WACC!$G$11)^N$194,"")</f>
        <v>0</v>
      </c>
      <c r="O260" s="215">
        <f ca="1">IFERROR(-O256/(1+WACC!$G$11)^O$194,"")</f>
        <v>0</v>
      </c>
      <c r="P260" s="215">
        <f ca="1">IFERROR(-P256/(1+WACC!$G$11)^P$194,"")</f>
        <v>0</v>
      </c>
      <c r="Q260" s="215">
        <f ca="1">IFERROR(-Q256/(1+WACC!$G$11)^Q$194,"")</f>
        <v>0</v>
      </c>
      <c r="R260" s="215">
        <f ca="1">IFERROR(-R256/(1+WACC!$G$11)^R$194,"")</f>
        <v>0</v>
      </c>
      <c r="S260" s="215">
        <f ca="1">IFERROR(-S256/(1+WACC!$G$11)^S$194,"")</f>
        <v>0</v>
      </c>
      <c r="T260" s="215">
        <f ca="1">IFERROR(-T256/(1+WACC!$G$11)^T$194,"")</f>
        <v>0</v>
      </c>
      <c r="U260" s="215">
        <f ca="1">IFERROR(-U256/(1+WACC!$G$11)^U$194,"")</f>
        <v>0</v>
      </c>
      <c r="V260" s="215">
        <f ca="1">IFERROR(-V256/(1+WACC!$G$11)^V$194,"")</f>
        <v>0</v>
      </c>
      <c r="W260" s="215">
        <f ca="1">IFERROR(-W256/(1+WACC!$G$11)^W$194,"")</f>
        <v>0</v>
      </c>
      <c r="X260" s="215">
        <f ca="1">IFERROR(-X256/(1+WACC!$G$11)^X$194,"")</f>
        <v>0</v>
      </c>
      <c r="Y260" s="215">
        <f ca="1">IFERROR(-Y256/(1+WACC!$G$11)^Y$194,"")</f>
        <v>0</v>
      </c>
      <c r="Z260" s="215">
        <f ca="1">IFERROR(-Z256/(1+WACC!$G$11)^Z$194,"")</f>
        <v>0</v>
      </c>
      <c r="AA260" s="215">
        <f ca="1">IFERROR(-AA256/(1+WACC!$G$11)^AA$194,"")</f>
        <v>0</v>
      </c>
      <c r="AB260" s="215">
        <f ca="1">IFERROR(-AB256/(1+WACC!$G$11)^AB$194,"")</f>
        <v>0</v>
      </c>
      <c r="AF260" s="229"/>
      <c r="AG260" s="229"/>
      <c r="AH260" s="229"/>
      <c r="AI260" s="229"/>
      <c r="AJ260" s="229"/>
      <c r="AK260" s="229"/>
      <c r="AL260" s="229"/>
      <c r="AM260" s="229"/>
      <c r="AN260" s="229"/>
      <c r="AO260" s="229"/>
      <c r="AP260" s="229"/>
      <c r="AQ260" s="229"/>
    </row>
    <row r="261" spans="1:43" ht="3.75" customHeight="1" x14ac:dyDescent="0.35">
      <c r="G261" s="147"/>
      <c r="AF261" s="229"/>
      <c r="AG261" s="229"/>
      <c r="AH261" s="229"/>
      <c r="AI261" s="229"/>
      <c r="AJ261" s="229"/>
      <c r="AK261" s="229"/>
      <c r="AL261" s="229"/>
      <c r="AM261" s="229"/>
      <c r="AN261" s="229"/>
      <c r="AO261" s="229"/>
      <c r="AP261" s="229"/>
      <c r="AQ261" s="229"/>
    </row>
    <row r="262" spans="1:43" ht="13.5" customHeight="1" x14ac:dyDescent="0.35">
      <c r="B262" s="127" t="s">
        <v>554</v>
      </c>
      <c r="G262" s="147"/>
      <c r="Q262" s="167"/>
      <c r="R262" s="167"/>
      <c r="S262" s="167"/>
      <c r="T262" s="167"/>
      <c r="U262" s="167"/>
      <c r="V262" s="167"/>
      <c r="W262" s="167"/>
      <c r="X262" s="167"/>
      <c r="Y262" s="167"/>
      <c r="Z262" s="167"/>
      <c r="AA262" s="167"/>
      <c r="AB262" s="167">
        <f ca="1">IFERROR(+(AB260*(1+$C$14))/(WACC!$G$11-$C$14),"")</f>
        <v>0</v>
      </c>
      <c r="AF262" s="229"/>
      <c r="AG262" s="229"/>
      <c r="AH262" s="229"/>
      <c r="AI262" s="229"/>
      <c r="AJ262" s="229"/>
      <c r="AK262" s="229"/>
      <c r="AL262" s="229"/>
      <c r="AM262" s="229"/>
      <c r="AN262" s="229"/>
      <c r="AO262" s="229"/>
      <c r="AP262" s="229"/>
      <c r="AQ262" s="229"/>
    </row>
    <row r="263" spans="1:43" ht="15" customHeight="1" x14ac:dyDescent="0.35">
      <c r="B263" s="127" t="s">
        <v>555</v>
      </c>
      <c r="G263" s="147"/>
      <c r="Q263" s="211"/>
      <c r="R263" s="211"/>
      <c r="S263" s="211"/>
      <c r="T263" s="211"/>
      <c r="U263" s="211"/>
      <c r="V263" s="211"/>
      <c r="W263" s="211"/>
      <c r="X263" s="211"/>
      <c r="Y263" s="211"/>
      <c r="Z263" s="211"/>
      <c r="AA263" s="211"/>
      <c r="AB263" s="211">
        <f ca="1">IFERROR(AB262/(1+$C$12)^$Q$194,"")</f>
        <v>0</v>
      </c>
      <c r="AF263" s="229"/>
      <c r="AG263" s="229"/>
      <c r="AH263" s="229"/>
      <c r="AI263" s="229"/>
      <c r="AJ263" s="229"/>
      <c r="AK263" s="229"/>
      <c r="AL263" s="229"/>
      <c r="AM263" s="229"/>
      <c r="AN263" s="229"/>
      <c r="AO263" s="229"/>
      <c r="AP263" s="229"/>
      <c r="AQ263" s="229"/>
    </row>
    <row r="264" spans="1:43" ht="15" customHeight="1" x14ac:dyDescent="0.35">
      <c r="B264" s="127" t="s">
        <v>209</v>
      </c>
      <c r="G264" s="147"/>
      <c r="Q264" s="167"/>
      <c r="R264" s="167"/>
      <c r="S264" s="167"/>
      <c r="T264" s="167"/>
      <c r="U264" s="167"/>
      <c r="V264" s="167"/>
      <c r="W264" s="167"/>
      <c r="X264" s="167"/>
      <c r="Y264" s="167"/>
      <c r="Z264" s="167"/>
      <c r="AA264" s="167"/>
      <c r="AB264" s="167">
        <f ca="1">+SUM(AB263,$H260:AB260)</f>
        <v>0</v>
      </c>
      <c r="AF264" s="229"/>
      <c r="AG264" s="229"/>
      <c r="AH264" s="229"/>
      <c r="AI264" s="229"/>
      <c r="AJ264" s="229"/>
      <c r="AK264" s="229"/>
      <c r="AL264" s="229"/>
      <c r="AM264" s="229"/>
      <c r="AN264" s="229"/>
      <c r="AO264" s="229"/>
      <c r="AP264" s="229"/>
      <c r="AQ264" s="229"/>
    </row>
    <row r="265" spans="1:43" ht="3.75" customHeight="1" x14ac:dyDescent="0.35">
      <c r="G265" s="147"/>
      <c r="N265" s="200"/>
      <c r="AF265" s="229"/>
      <c r="AG265" s="229"/>
      <c r="AH265" s="229"/>
      <c r="AI265" s="229"/>
      <c r="AJ265" s="229"/>
      <c r="AK265" s="229"/>
      <c r="AL265" s="229"/>
      <c r="AM265" s="229"/>
      <c r="AN265" s="229"/>
      <c r="AO265" s="229"/>
      <c r="AP265" s="229"/>
      <c r="AQ265" s="229"/>
    </row>
    <row r="266" spans="1:43" ht="15" customHeight="1" x14ac:dyDescent="0.35">
      <c r="B266" s="148" t="s">
        <v>562</v>
      </c>
      <c r="G266" s="147"/>
      <c r="Q266" s="201"/>
      <c r="R266" s="201"/>
      <c r="S266" s="201"/>
      <c r="T266" s="201"/>
      <c r="U266" s="201"/>
      <c r="V266" s="201"/>
      <c r="W266" s="201"/>
      <c r="X266" s="201"/>
      <c r="Y266" s="201"/>
      <c r="Z266" s="201"/>
      <c r="AA266" s="201"/>
      <c r="AB266" s="201">
        <f t="shared" ref="AB266" ca="1" si="324">IFERROR(AB263/AB206,"")</f>
        <v>0</v>
      </c>
      <c r="AF266" s="229"/>
      <c r="AG266" s="229"/>
      <c r="AH266" s="229"/>
      <c r="AI266" s="229"/>
      <c r="AJ266" s="229"/>
      <c r="AK266" s="229"/>
      <c r="AL266" s="229"/>
      <c r="AM266" s="229"/>
      <c r="AN266" s="229"/>
      <c r="AO266" s="229"/>
      <c r="AP266" s="229"/>
      <c r="AQ266" s="229"/>
    </row>
    <row r="267" spans="1:43" ht="3.75" customHeight="1" x14ac:dyDescent="0.35">
      <c r="B267" s="148"/>
      <c r="G267" s="147"/>
      <c r="AF267" s="229"/>
      <c r="AG267" s="229"/>
      <c r="AH267" s="229"/>
      <c r="AI267" s="229"/>
      <c r="AJ267" s="229"/>
      <c r="AK267" s="229"/>
      <c r="AL267" s="229"/>
      <c r="AM267" s="229"/>
      <c r="AN267" s="229"/>
      <c r="AO267" s="229"/>
      <c r="AP267" s="229"/>
      <c r="AQ267" s="229"/>
    </row>
    <row r="268" spans="1:43" ht="15" customHeight="1" x14ac:dyDescent="0.35">
      <c r="B268" s="148" t="s">
        <v>564</v>
      </c>
      <c r="C268" s="148"/>
      <c r="D268" s="148"/>
      <c r="E268" s="148"/>
      <c r="F268" s="148"/>
      <c r="G268" s="202"/>
      <c r="H268" s="148"/>
      <c r="I268" s="148"/>
      <c r="J268" s="148"/>
      <c r="K268" s="148"/>
      <c r="L268" s="148"/>
      <c r="M268" s="148"/>
      <c r="N268" s="148"/>
      <c r="O268" s="148"/>
      <c r="P268" s="148"/>
      <c r="Q268" s="216"/>
      <c r="R268" s="216"/>
      <c r="S268" s="216"/>
      <c r="T268" s="216"/>
      <c r="U268" s="216"/>
      <c r="V268" s="216"/>
      <c r="W268" s="216"/>
      <c r="X268" s="216"/>
      <c r="Y268" s="216"/>
      <c r="Z268" s="216"/>
      <c r="AA268" s="216"/>
      <c r="AB268" s="216">
        <f t="shared" ref="AB268" ca="1" si="325">IFERROR(AB266/AB209-1,"")</f>
        <v>-1</v>
      </c>
      <c r="AF268" s="229"/>
      <c r="AG268" s="229"/>
      <c r="AH268" s="229"/>
      <c r="AI268" s="229"/>
      <c r="AJ268" s="229"/>
      <c r="AK268" s="229"/>
      <c r="AL268" s="229"/>
      <c r="AM268" s="229"/>
      <c r="AN268" s="229"/>
      <c r="AO268" s="229"/>
      <c r="AP268" s="229"/>
      <c r="AQ268" s="229"/>
    </row>
    <row r="269" spans="1:43" ht="15" customHeight="1" x14ac:dyDescent="0.35">
      <c r="AF269" s="229"/>
      <c r="AG269" s="229"/>
      <c r="AH269" s="229"/>
      <c r="AI269" s="229"/>
      <c r="AJ269" s="229"/>
      <c r="AK269" s="229"/>
      <c r="AL269" s="229"/>
      <c r="AM269" s="229"/>
      <c r="AN269" s="229"/>
      <c r="AO269" s="229"/>
      <c r="AP269" s="229"/>
      <c r="AQ269" s="229"/>
    </row>
    <row r="270" spans="1:43" ht="15" customHeight="1" x14ac:dyDescent="0.35">
      <c r="A270" s="127" t="s">
        <v>431</v>
      </c>
      <c r="B270" s="66" t="s">
        <v>124</v>
      </c>
      <c r="C270" s="67"/>
      <c r="D270" s="66"/>
      <c r="E270" s="67"/>
      <c r="F270" s="67"/>
      <c r="G270" s="67"/>
      <c r="H270" s="67"/>
      <c r="I270" s="67"/>
      <c r="J270" s="95"/>
      <c r="K270" s="96"/>
      <c r="L270" s="96"/>
      <c r="M270" s="96"/>
      <c r="N270" s="96"/>
      <c r="O270" s="96"/>
      <c r="P270" s="96"/>
      <c r="Q270" s="96"/>
      <c r="R270" s="96"/>
      <c r="S270" s="96"/>
      <c r="T270" s="96"/>
      <c r="U270" s="96"/>
      <c r="V270" s="96"/>
      <c r="W270" s="96"/>
      <c r="X270" s="96"/>
      <c r="Y270" s="96"/>
      <c r="Z270" s="96"/>
      <c r="AA270" s="96"/>
      <c r="AB270" s="96"/>
      <c r="AC270" s="925"/>
      <c r="AD270" s="925"/>
      <c r="AE270" s="925"/>
      <c r="AF270" s="229"/>
      <c r="AG270" s="229"/>
      <c r="AH270" s="229"/>
      <c r="AI270" s="229"/>
      <c r="AJ270" s="229"/>
      <c r="AK270" s="229"/>
      <c r="AL270" s="229"/>
      <c r="AM270" s="229"/>
      <c r="AN270" s="229"/>
      <c r="AO270" s="229"/>
      <c r="AP270" s="229"/>
      <c r="AQ270" s="229"/>
    </row>
    <row r="271" spans="1:43" ht="3.75" customHeight="1" x14ac:dyDescent="0.35">
      <c r="B271" s="68"/>
      <c r="C271" s="68"/>
      <c r="D271" s="68"/>
      <c r="E271" s="68"/>
      <c r="F271" s="68"/>
      <c r="G271" s="68"/>
      <c r="H271" s="68"/>
      <c r="I271" s="68"/>
      <c r="J271" s="97"/>
      <c r="K271" s="97"/>
      <c r="L271" s="97"/>
      <c r="M271" s="97"/>
      <c r="N271" s="97"/>
      <c r="O271" s="97"/>
      <c r="P271" s="97"/>
      <c r="Q271" s="97"/>
      <c r="R271" s="97"/>
      <c r="S271" s="97"/>
      <c r="T271" s="97"/>
      <c r="U271" s="97"/>
      <c r="V271" s="97"/>
      <c r="W271" s="97"/>
      <c r="X271" s="97"/>
      <c r="Y271" s="97"/>
      <c r="Z271" s="97"/>
      <c r="AA271" s="97"/>
      <c r="AB271" s="97"/>
      <c r="AC271" s="925"/>
      <c r="AD271" s="925"/>
      <c r="AE271" s="925"/>
      <c r="AF271" s="229"/>
      <c r="AG271" s="229"/>
      <c r="AH271" s="229"/>
      <c r="AI271" s="229"/>
      <c r="AJ271" s="229"/>
      <c r="AK271" s="229"/>
      <c r="AL271" s="229"/>
      <c r="AM271" s="229"/>
      <c r="AN271" s="229"/>
      <c r="AO271" s="229"/>
      <c r="AP271" s="229"/>
      <c r="AQ271" s="229"/>
    </row>
    <row r="272" spans="1:43" ht="39.75" customHeight="1" x14ac:dyDescent="0.35">
      <c r="B272" s="983"/>
      <c r="C272" s="983"/>
      <c r="D272" s="984"/>
      <c r="E272" s="984"/>
      <c r="F272" s="984"/>
      <c r="G272" s="984"/>
      <c r="H272" s="984"/>
      <c r="I272" s="984"/>
      <c r="J272" s="984"/>
      <c r="K272" s="984"/>
      <c r="L272" s="984"/>
      <c r="M272" s="984"/>
      <c r="N272" s="984"/>
      <c r="O272" s="984"/>
      <c r="AF272" s="229"/>
      <c r="AG272" s="229"/>
      <c r="AH272" s="229"/>
      <c r="AI272" s="229"/>
      <c r="AJ272" s="229"/>
      <c r="AK272" s="229"/>
      <c r="AL272" s="229"/>
      <c r="AM272" s="229"/>
      <c r="AN272" s="229"/>
      <c r="AO272" s="229"/>
      <c r="AP272" s="229"/>
      <c r="AQ272" s="229"/>
    </row>
    <row r="273" spans="1:49" ht="39.75" customHeight="1" x14ac:dyDescent="0.35">
      <c r="B273" s="983"/>
      <c r="C273" s="983"/>
      <c r="D273" s="969"/>
      <c r="E273" s="969"/>
      <c r="F273" s="969"/>
      <c r="G273" s="969"/>
      <c r="H273" s="969"/>
      <c r="I273" s="969"/>
      <c r="J273" s="969"/>
      <c r="K273" s="969"/>
      <c r="L273" s="969"/>
      <c r="M273" s="969"/>
      <c r="N273" s="969"/>
      <c r="O273"/>
      <c r="AF273" s="229"/>
      <c r="AG273" s="229"/>
      <c r="AH273" s="229"/>
      <c r="AI273" s="229"/>
      <c r="AJ273" s="229"/>
      <c r="AK273" s="229"/>
      <c r="AL273" s="229"/>
      <c r="AM273" s="229"/>
      <c r="AN273" s="229"/>
      <c r="AO273" s="229"/>
      <c r="AP273" s="229"/>
      <c r="AQ273" s="229"/>
    </row>
    <row r="274" spans="1:49" ht="39.75" customHeight="1" x14ac:dyDescent="0.35">
      <c r="B274" s="983"/>
      <c r="C274" s="983"/>
      <c r="D274" s="969"/>
      <c r="E274" s="969"/>
      <c r="F274" s="969"/>
      <c r="G274" s="969"/>
      <c r="H274" s="969"/>
      <c r="I274" s="969"/>
      <c r="J274" s="969"/>
      <c r="K274" s="969"/>
      <c r="L274" s="969"/>
      <c r="M274" s="969"/>
      <c r="N274" s="969"/>
      <c r="O274"/>
      <c r="AF274" s="229"/>
      <c r="AG274" s="229"/>
      <c r="AH274" s="229"/>
      <c r="AI274" s="229"/>
      <c r="AJ274" s="229"/>
      <c r="AK274" s="229"/>
      <c r="AL274" s="229"/>
      <c r="AM274" s="229"/>
      <c r="AN274" s="229"/>
      <c r="AO274" s="229"/>
      <c r="AP274" s="229"/>
      <c r="AQ274" s="229"/>
    </row>
    <row r="275" spans="1:49" ht="39.75" customHeight="1" x14ac:dyDescent="0.35">
      <c r="B275" s="983"/>
      <c r="C275" s="983"/>
      <c r="D275" s="969"/>
      <c r="E275" s="969"/>
      <c r="F275" s="969"/>
      <c r="G275" s="969"/>
      <c r="H275" s="969"/>
      <c r="I275" s="969"/>
      <c r="J275" s="969"/>
      <c r="K275" s="969"/>
      <c r="L275" s="969"/>
      <c r="M275" s="969"/>
      <c r="N275" s="969"/>
      <c r="O275"/>
      <c r="AF275" s="229"/>
      <c r="AG275" s="229"/>
      <c r="AH275" s="229"/>
      <c r="AI275" s="229"/>
      <c r="AJ275" s="229"/>
      <c r="AK275" s="229"/>
      <c r="AL275" s="229"/>
      <c r="AM275" s="229"/>
      <c r="AN275" s="229"/>
      <c r="AO275" s="229"/>
      <c r="AP275" s="229"/>
      <c r="AQ275" s="229"/>
    </row>
    <row r="276" spans="1:49" ht="39.75" customHeight="1" x14ac:dyDescent="0.35">
      <c r="B276" s="983"/>
      <c r="C276" s="983"/>
      <c r="D276" s="984"/>
      <c r="E276" s="984"/>
      <c r="F276" s="984"/>
      <c r="G276" s="984"/>
      <c r="H276" s="984"/>
      <c r="I276" s="984"/>
      <c r="J276" s="984"/>
      <c r="K276" s="984"/>
      <c r="L276" s="984"/>
      <c r="M276" s="984"/>
      <c r="N276" s="984"/>
      <c r="O276" s="984"/>
      <c r="AF276" s="229"/>
      <c r="AG276" s="229"/>
      <c r="AH276" s="229"/>
      <c r="AI276" s="229"/>
      <c r="AJ276" s="229"/>
      <c r="AK276" s="229"/>
      <c r="AL276" s="229"/>
      <c r="AM276" s="229"/>
      <c r="AN276" s="229"/>
      <c r="AO276" s="229"/>
      <c r="AP276" s="229"/>
      <c r="AQ276" s="229"/>
    </row>
    <row r="277" spans="1:49" ht="39.75" customHeight="1" x14ac:dyDescent="0.35">
      <c r="B277" s="983"/>
      <c r="C277" s="983"/>
      <c r="D277" s="984"/>
      <c r="E277" s="984"/>
      <c r="F277" s="984"/>
      <c r="G277" s="984"/>
      <c r="H277" s="984"/>
      <c r="I277" s="984"/>
      <c r="J277" s="984"/>
      <c r="K277" s="984"/>
      <c r="L277" s="984"/>
      <c r="M277" s="984"/>
      <c r="N277" s="984"/>
      <c r="O277" s="984"/>
      <c r="AF277" s="229"/>
      <c r="AG277" s="229"/>
      <c r="AH277" s="229"/>
      <c r="AI277" s="229"/>
      <c r="AJ277" s="229"/>
      <c r="AK277" s="229"/>
      <c r="AL277" s="229"/>
      <c r="AM277" s="229"/>
      <c r="AN277" s="229"/>
      <c r="AO277" s="229"/>
      <c r="AP277" s="229"/>
      <c r="AQ277" s="229"/>
    </row>
    <row r="278" spans="1:49" ht="15" customHeight="1" x14ac:dyDescent="0.35">
      <c r="D278" s="969"/>
      <c r="E278" s="969"/>
      <c r="F278" s="969"/>
      <c r="G278" s="969"/>
      <c r="H278" s="969"/>
      <c r="I278" s="969"/>
      <c r="J278" s="969"/>
      <c r="K278" s="969"/>
      <c r="L278" s="969"/>
      <c r="M278" s="969"/>
      <c r="N278" s="969"/>
      <c r="O278"/>
    </row>
    <row r="279" spans="1:49" s="41" customFormat="1" ht="20.149999999999999" customHeight="1" x14ac:dyDescent="0.4">
      <c r="A279" s="127"/>
      <c r="B279" s="956"/>
      <c r="C279" s="956"/>
      <c r="D279" s="969"/>
      <c r="E279" s="969"/>
      <c r="F279" s="969"/>
      <c r="G279" s="969"/>
      <c r="H279" s="969"/>
      <c r="I279" s="969"/>
      <c r="J279" s="969"/>
      <c r="K279" s="969"/>
      <c r="L279" s="969"/>
      <c r="M279" s="969"/>
      <c r="N279" s="969"/>
      <c r="O279"/>
      <c r="P279" s="127"/>
      <c r="Q279" s="127"/>
      <c r="R279" s="127"/>
      <c r="S279" s="127"/>
      <c r="T279" s="127"/>
      <c r="U279" s="127"/>
      <c r="V279" s="127"/>
      <c r="W279" s="127"/>
      <c r="X279" s="127"/>
      <c r="Y279" s="127"/>
      <c r="Z279" s="127"/>
      <c r="AA279" s="127"/>
      <c r="AB279" s="127"/>
      <c r="AC279" s="127"/>
      <c r="AD279" s="127"/>
      <c r="AE279" s="127"/>
      <c r="AF279" s="127"/>
      <c r="AG279" s="127"/>
      <c r="AH279" s="127"/>
      <c r="AI279" s="127"/>
      <c r="AJ279" s="127"/>
      <c r="AK279" s="127"/>
      <c r="AN279" s="695" t="s">
        <v>583</v>
      </c>
    </row>
    <row r="281" spans="1:49" ht="15" customHeight="1" x14ac:dyDescent="0.35">
      <c r="AN281" s="614" t="str">
        <f>Peers!AM286&amp;" Stock Price - Blended Discount Rate and Terminal Growth Rate"</f>
        <v xml:space="preserve"> Stock Price - Blended Discount Rate and Terminal Growth Rate</v>
      </c>
      <c r="AO281"/>
      <c r="AP281"/>
      <c r="AQ281"/>
      <c r="AR281"/>
      <c r="AS281"/>
      <c r="AT281"/>
      <c r="AW281" s="127">
        <v>1</v>
      </c>
    </row>
    <row r="282" spans="1:49" ht="15" customHeight="1" thickBot="1" x14ac:dyDescent="0.4">
      <c r="AN282" t="s">
        <v>584</v>
      </c>
      <c r="AO282"/>
      <c r="AP282"/>
      <c r="AQ282"/>
      <c r="AR282"/>
      <c r="AS282"/>
      <c r="AT282"/>
      <c r="AW282" s="127">
        <v>2</v>
      </c>
    </row>
    <row r="283" spans="1:49" ht="15" customHeight="1" x14ac:dyDescent="0.35">
      <c r="AN283" s="612"/>
      <c r="AO283" s="613"/>
      <c r="AP283" s="696"/>
      <c r="AQ283" s="612"/>
      <c r="AR283" s="697" t="s">
        <v>453</v>
      </c>
      <c r="AS283" s="612"/>
      <c r="AT283" s="612"/>
      <c r="AW283" s="127">
        <v>3</v>
      </c>
    </row>
    <row r="284" spans="1:49" ht="15" customHeight="1" thickBot="1" x14ac:dyDescent="0.4">
      <c r="AN284" s="605"/>
      <c r="AO284" s="704">
        <f>Q207</f>
        <v>0</v>
      </c>
      <c r="AP284" s="617"/>
      <c r="AQ284" s="617"/>
      <c r="AR284" s="617"/>
      <c r="AS284" s="617"/>
      <c r="AT284" s="617"/>
      <c r="AW284" s="127">
        <v>4</v>
      </c>
    </row>
    <row r="285" spans="1:49" ht="15" customHeight="1" x14ac:dyDescent="0.35">
      <c r="AN285"/>
      <c r="AO285" s="609">
        <v>0.01</v>
      </c>
      <c r="AP285" s="615"/>
      <c r="AQ285" s="615"/>
      <c r="AR285" s="615"/>
      <c r="AS285" s="615"/>
      <c r="AT285" s="615"/>
      <c r="AW285" s="127">
        <v>5</v>
      </c>
    </row>
    <row r="286" spans="1:49" ht="15" customHeight="1" x14ac:dyDescent="0.4">
      <c r="AN286" s="694"/>
      <c r="AO286" s="609">
        <v>0.02</v>
      </c>
      <c r="AP286" s="615"/>
      <c r="AQ286" s="615"/>
      <c r="AR286" s="615"/>
      <c r="AS286" s="615"/>
      <c r="AT286" s="615"/>
      <c r="AW286" s="127">
        <v>6</v>
      </c>
    </row>
    <row r="287" spans="1:49" ht="15" customHeight="1" x14ac:dyDescent="0.35">
      <c r="AN287" s="24" t="s">
        <v>455</v>
      </c>
      <c r="AO287" s="609">
        <v>0.03</v>
      </c>
      <c r="AP287" s="615"/>
      <c r="AQ287" s="615"/>
      <c r="AR287" s="615"/>
      <c r="AS287" s="615"/>
      <c r="AT287" s="615"/>
      <c r="AW287" s="127">
        <v>7</v>
      </c>
    </row>
    <row r="288" spans="1:49" ht="15" customHeight="1" x14ac:dyDescent="0.35">
      <c r="AN288"/>
      <c r="AO288" s="609">
        <v>0.04</v>
      </c>
      <c r="AP288" s="615"/>
      <c r="AQ288" s="615"/>
      <c r="AR288" s="615"/>
      <c r="AS288" s="615"/>
      <c r="AT288" s="615"/>
      <c r="AW288" s="127">
        <v>8</v>
      </c>
    </row>
    <row r="289" spans="40:49" ht="15" customHeight="1" thickBot="1" x14ac:dyDescent="0.4">
      <c r="AN289" s="605"/>
      <c r="AO289" s="610">
        <v>0.05</v>
      </c>
      <c r="AP289" s="616"/>
      <c r="AQ289" s="616"/>
      <c r="AR289" s="616"/>
      <c r="AS289" s="616"/>
      <c r="AT289" s="616"/>
      <c r="AW289" s="127">
        <v>9</v>
      </c>
    </row>
    <row r="290" spans="40:49" ht="15" customHeight="1" x14ac:dyDescent="0.35">
      <c r="AN290"/>
      <c r="AO290" s="706"/>
      <c r="AP290"/>
      <c r="AQ290"/>
      <c r="AR290"/>
      <c r="AS290"/>
      <c r="AT290"/>
      <c r="AW290" s="127">
        <v>10</v>
      </c>
    </row>
    <row r="291" spans="40:49" ht="15" customHeight="1" x14ac:dyDescent="0.35">
      <c r="AN291" s="614" t="str">
        <f>Peers!AM286&amp;" Stock Price - Blended Revenue Growth and Operating Margin"</f>
        <v xml:space="preserve"> Stock Price - Blended Revenue Growth and Operating Margin</v>
      </c>
      <c r="AO291"/>
      <c r="AP291"/>
      <c r="AQ291"/>
      <c r="AR291"/>
      <c r="AS291"/>
      <c r="AT291"/>
      <c r="AW291" s="127">
        <v>11</v>
      </c>
    </row>
    <row r="292" spans="40:49" ht="15" customHeight="1" thickBot="1" x14ac:dyDescent="0.4">
      <c r="AN292" t="s">
        <v>584</v>
      </c>
      <c r="AO292"/>
      <c r="AP292"/>
      <c r="AQ292"/>
      <c r="AR292"/>
      <c r="AS292"/>
      <c r="AT292"/>
      <c r="AW292" s="127">
        <v>12</v>
      </c>
    </row>
    <row r="293" spans="40:49" ht="15" customHeight="1" x14ac:dyDescent="0.35">
      <c r="AN293" s="612"/>
      <c r="AO293" s="613"/>
      <c r="AP293" s="612"/>
      <c r="AQ293" s="618" t="s">
        <v>212</v>
      </c>
      <c r="AR293" s="612"/>
      <c r="AS293"/>
      <c r="AT293"/>
      <c r="AW293" s="127">
        <v>13</v>
      </c>
    </row>
    <row r="294" spans="40:49" ht="15" customHeight="1" thickBot="1" x14ac:dyDescent="0.4">
      <c r="AN294" s="605"/>
      <c r="AO294" s="704">
        <f>Q207</f>
        <v>0</v>
      </c>
      <c r="AP294" s="698">
        <v>1</v>
      </c>
      <c r="AQ294" s="698">
        <v>2</v>
      </c>
      <c r="AR294" s="698">
        <v>3</v>
      </c>
      <c r="AS294"/>
      <c r="AT294"/>
      <c r="AW294" s="127">
        <v>14</v>
      </c>
    </row>
    <row r="295" spans="40:49" ht="15" customHeight="1" x14ac:dyDescent="0.35">
      <c r="AN295"/>
      <c r="AO295" s="699">
        <v>1</v>
      </c>
      <c r="AP295"/>
      <c r="AQ295"/>
      <c r="AR295"/>
      <c r="AS295"/>
      <c r="AT295"/>
      <c r="AW295" s="127">
        <v>15</v>
      </c>
    </row>
    <row r="296" spans="40:49" ht="15" customHeight="1" x14ac:dyDescent="0.35">
      <c r="AN296" s="24" t="s">
        <v>451</v>
      </c>
      <c r="AO296" s="699">
        <v>2</v>
      </c>
      <c r="AP296"/>
      <c r="AQ296"/>
      <c r="AR296"/>
      <c r="AS296"/>
      <c r="AT296"/>
      <c r="AW296" s="127">
        <v>16</v>
      </c>
    </row>
    <row r="297" spans="40:49" ht="15" customHeight="1" thickBot="1" x14ac:dyDescent="0.4">
      <c r="AN297" s="605"/>
      <c r="AO297" s="700">
        <v>3</v>
      </c>
      <c r="AP297" s="605"/>
      <c r="AQ297" s="605"/>
      <c r="AR297" s="605"/>
      <c r="AS297"/>
      <c r="AT297"/>
      <c r="AW297" s="127">
        <v>17</v>
      </c>
    </row>
    <row r="298" spans="40:49" ht="15" customHeight="1" x14ac:dyDescent="0.35">
      <c r="AN298"/>
      <c r="AO298" s="701"/>
      <c r="AP298"/>
      <c r="AQ298"/>
      <c r="AR298"/>
      <c r="AS298"/>
      <c r="AT298"/>
      <c r="AW298" s="127">
        <v>18</v>
      </c>
    </row>
    <row r="299" spans="40:49" ht="15" customHeight="1" x14ac:dyDescent="0.35">
      <c r="AN299" s="622" t="s">
        <v>585</v>
      </c>
      <c r="AO299" s="37"/>
      <c r="AP299" s="37"/>
      <c r="AQ299" s="37"/>
      <c r="AR299" s="37"/>
      <c r="AS299" s="37"/>
      <c r="AT299" s="37"/>
      <c r="AW299" s="127">
        <v>19</v>
      </c>
    </row>
    <row r="300" spans="40:49" ht="15" customHeight="1" x14ac:dyDescent="0.35">
      <c r="AW300" s="127">
        <v>20</v>
      </c>
    </row>
    <row r="301" spans="40:49" ht="15" customHeight="1" x14ac:dyDescent="0.35">
      <c r="AW301" s="127">
        <v>21</v>
      </c>
    </row>
    <row r="302" spans="40:49" ht="15" customHeight="1" x14ac:dyDescent="0.35">
      <c r="AR302" s="134"/>
      <c r="AS302" s="134"/>
      <c r="AW302" s="127">
        <v>22</v>
      </c>
    </row>
    <row r="303" spans="40:49" ht="15" customHeight="1" x14ac:dyDescent="0.35">
      <c r="AR303" s="134"/>
      <c r="AS303" s="134"/>
      <c r="AW303" s="127">
        <v>23</v>
      </c>
    </row>
    <row r="304" spans="40:49" ht="15" customHeight="1" x14ac:dyDescent="0.35">
      <c r="AR304" s="176"/>
      <c r="AS304" s="176"/>
      <c r="AW304" s="127">
        <v>24</v>
      </c>
    </row>
    <row r="305" spans="40:49" ht="15" customHeight="1" x14ac:dyDescent="0.35">
      <c r="AW305" s="127">
        <v>25</v>
      </c>
    </row>
    <row r="306" spans="40:49" ht="15" customHeight="1" x14ac:dyDescent="0.35">
      <c r="AN306" s="148"/>
      <c r="AW306" s="127">
        <v>26</v>
      </c>
    </row>
    <row r="307" spans="40:49" ht="15" customHeight="1" x14ac:dyDescent="0.35">
      <c r="AW307" s="127">
        <v>27</v>
      </c>
    </row>
    <row r="308" spans="40:49" ht="15" customHeight="1" x14ac:dyDescent="0.35">
      <c r="AW308" s="127">
        <v>28</v>
      </c>
    </row>
    <row r="309" spans="40:49" ht="15" customHeight="1" x14ac:dyDescent="0.35">
      <c r="AW309" s="127">
        <v>29</v>
      </c>
    </row>
    <row r="310" spans="40:49" ht="15" customHeight="1" x14ac:dyDescent="0.35">
      <c r="AW310" s="127">
        <v>30</v>
      </c>
    </row>
    <row r="311" spans="40:49" ht="15" customHeight="1" x14ac:dyDescent="0.35">
      <c r="AW311" s="127">
        <v>31</v>
      </c>
    </row>
    <row r="312" spans="40:49" ht="15" customHeight="1" x14ac:dyDescent="0.35">
      <c r="AW312" s="127">
        <v>32</v>
      </c>
    </row>
    <row r="313" spans="40:49" ht="15" customHeight="1" x14ac:dyDescent="0.35">
      <c r="AW313" s="127">
        <v>33</v>
      </c>
    </row>
    <row r="314" spans="40:49" ht="15" customHeight="1" x14ac:dyDescent="0.35">
      <c r="AW314" s="127">
        <v>34</v>
      </c>
    </row>
    <row r="315" spans="40:49" ht="15" customHeight="1" x14ac:dyDescent="0.35">
      <c r="AW315" s="127">
        <v>35</v>
      </c>
    </row>
    <row r="316" spans="40:49" ht="15" customHeight="1" x14ac:dyDescent="0.35">
      <c r="AW316" s="127">
        <v>36</v>
      </c>
    </row>
    <row r="317" spans="40:49" ht="15" customHeight="1" x14ac:dyDescent="0.35">
      <c r="AW317" s="127">
        <v>37</v>
      </c>
    </row>
    <row r="318" spans="40:49" ht="15" customHeight="1" x14ac:dyDescent="0.35">
      <c r="AW318" s="127">
        <v>38</v>
      </c>
    </row>
    <row r="319" spans="40:49" ht="15" customHeight="1" x14ac:dyDescent="0.35">
      <c r="AW319" s="127">
        <v>39</v>
      </c>
    </row>
    <row r="320" spans="40:49" ht="15" customHeight="1" x14ac:dyDescent="0.35">
      <c r="AW320" s="127">
        <v>40</v>
      </c>
    </row>
    <row r="321" spans="49:49" ht="15" customHeight="1" x14ac:dyDescent="0.35">
      <c r="AW321" s="127">
        <v>41</v>
      </c>
    </row>
    <row r="322" spans="49:49" ht="15" customHeight="1" x14ac:dyDescent="0.35">
      <c r="AW322" s="127">
        <v>42</v>
      </c>
    </row>
    <row r="323" spans="49:49" ht="15" customHeight="1" x14ac:dyDescent="0.35">
      <c r="AW323" s="127">
        <v>43</v>
      </c>
    </row>
    <row r="324" spans="49:49" ht="15" customHeight="1" x14ac:dyDescent="0.35">
      <c r="AW324" s="127">
        <v>44</v>
      </c>
    </row>
    <row r="325" spans="49:49" ht="15" customHeight="1" x14ac:dyDescent="0.35">
      <c r="AW325" s="127">
        <v>45</v>
      </c>
    </row>
    <row r="326" spans="49:49" ht="15" customHeight="1" x14ac:dyDescent="0.35">
      <c r="AW326" s="127">
        <v>46</v>
      </c>
    </row>
    <row r="327" spans="49:49" ht="15" customHeight="1" x14ac:dyDescent="0.35">
      <c r="AW327" s="127">
        <v>47</v>
      </c>
    </row>
    <row r="328" spans="49:49" ht="15" customHeight="1" x14ac:dyDescent="0.35">
      <c r="AW328" s="127">
        <v>48</v>
      </c>
    </row>
    <row r="329" spans="49:49" ht="15" customHeight="1" x14ac:dyDescent="0.35">
      <c r="AW329" s="127">
        <v>49</v>
      </c>
    </row>
    <row r="330" spans="49:49" ht="15" customHeight="1" x14ac:dyDescent="0.35">
      <c r="AW330" s="127">
        <v>50</v>
      </c>
    </row>
    <row r="331" spans="49:49" ht="15" customHeight="1" x14ac:dyDescent="0.35">
      <c r="AW331" s="127">
        <v>51</v>
      </c>
    </row>
    <row r="332" spans="49:49" ht="15" customHeight="1" x14ac:dyDescent="0.35">
      <c r="AW332" s="127">
        <v>52</v>
      </c>
    </row>
    <row r="333" spans="49:49" ht="15" customHeight="1" x14ac:dyDescent="0.35">
      <c r="AW333" s="127">
        <v>53</v>
      </c>
    </row>
    <row r="334" spans="49:49" ht="15" customHeight="1" x14ac:dyDescent="0.35">
      <c r="AW334" s="127">
        <v>54</v>
      </c>
    </row>
    <row r="335" spans="49:49" ht="15" customHeight="1" x14ac:dyDescent="0.35">
      <c r="AW335" s="127">
        <v>55</v>
      </c>
    </row>
    <row r="336" spans="49:49" ht="15" customHeight="1" x14ac:dyDescent="0.35">
      <c r="AW336" s="127">
        <v>56</v>
      </c>
    </row>
    <row r="337" spans="49:49" ht="15" customHeight="1" x14ac:dyDescent="0.35">
      <c r="AW337" s="127">
        <v>57</v>
      </c>
    </row>
    <row r="338" spans="49:49" ht="15" customHeight="1" x14ac:dyDescent="0.35">
      <c r="AW338" s="127">
        <v>58</v>
      </c>
    </row>
    <row r="339" spans="49:49" ht="15" customHeight="1" x14ac:dyDescent="0.35">
      <c r="AW339" s="127">
        <v>59</v>
      </c>
    </row>
    <row r="340" spans="49:49" ht="15" customHeight="1" x14ac:dyDescent="0.35">
      <c r="AW340" s="127">
        <v>60</v>
      </c>
    </row>
    <row r="341" spans="49:49" ht="15" customHeight="1" x14ac:dyDescent="0.35">
      <c r="AW341" s="127">
        <v>61</v>
      </c>
    </row>
    <row r="342" spans="49:49" ht="15" customHeight="1" x14ac:dyDescent="0.35">
      <c r="AW342" s="127">
        <v>62</v>
      </c>
    </row>
    <row r="343" spans="49:49" ht="15" customHeight="1" x14ac:dyDescent="0.35">
      <c r="AW343" s="127">
        <v>63</v>
      </c>
    </row>
    <row r="344" spans="49:49" ht="15" customHeight="1" x14ac:dyDescent="0.35">
      <c r="AW344" s="127">
        <v>64</v>
      </c>
    </row>
    <row r="345" spans="49:49" ht="15" customHeight="1" x14ac:dyDescent="0.35">
      <c r="AW345" s="127">
        <v>65</v>
      </c>
    </row>
    <row r="346" spans="49:49" ht="15" customHeight="1" x14ac:dyDescent="0.35">
      <c r="AW346" s="127">
        <v>66</v>
      </c>
    </row>
    <row r="347" spans="49:49" ht="15" customHeight="1" x14ac:dyDescent="0.35">
      <c r="AW347" s="127">
        <v>67</v>
      </c>
    </row>
    <row r="348" spans="49:49" ht="15" customHeight="1" x14ac:dyDescent="0.35">
      <c r="AW348" s="127">
        <v>68</v>
      </c>
    </row>
    <row r="349" spans="49:49" ht="15" customHeight="1" x14ac:dyDescent="0.35">
      <c r="AW349" s="127">
        <v>69</v>
      </c>
    </row>
    <row r="350" spans="49:49" ht="15" customHeight="1" x14ac:dyDescent="0.35">
      <c r="AW350" s="127">
        <v>70</v>
      </c>
    </row>
    <row r="351" spans="49:49" ht="15" customHeight="1" x14ac:dyDescent="0.35">
      <c r="AW351" s="127">
        <v>71</v>
      </c>
    </row>
    <row r="352" spans="49:49" ht="15" customHeight="1" x14ac:dyDescent="0.35">
      <c r="AW352" s="127">
        <v>72</v>
      </c>
    </row>
    <row r="353" spans="49:49" ht="15" customHeight="1" x14ac:dyDescent="0.35">
      <c r="AW353" s="127">
        <v>73</v>
      </c>
    </row>
    <row r="354" spans="49:49" ht="15" customHeight="1" x14ac:dyDescent="0.35">
      <c r="AW354" s="127">
        <v>74</v>
      </c>
    </row>
    <row r="355" spans="49:49" ht="15" customHeight="1" x14ac:dyDescent="0.35">
      <c r="AW355" s="127">
        <v>75</v>
      </c>
    </row>
    <row r="356" spans="49:49" ht="15" customHeight="1" x14ac:dyDescent="0.35">
      <c r="AW356" s="127">
        <v>76</v>
      </c>
    </row>
    <row r="357" spans="49:49" ht="15" customHeight="1" x14ac:dyDescent="0.35">
      <c r="AW357" s="127">
        <v>77</v>
      </c>
    </row>
    <row r="358" spans="49:49" ht="15" customHeight="1" x14ac:dyDescent="0.35">
      <c r="AW358" s="127">
        <v>78</v>
      </c>
    </row>
    <row r="359" spans="49:49" ht="15" customHeight="1" x14ac:dyDescent="0.35">
      <c r="AW359" s="127">
        <v>79</v>
      </c>
    </row>
    <row r="360" spans="49:49" ht="15" customHeight="1" x14ac:dyDescent="0.35">
      <c r="AW360" s="127">
        <v>80</v>
      </c>
    </row>
    <row r="361" spans="49:49" ht="15" customHeight="1" x14ac:dyDescent="0.35">
      <c r="AW361" s="127">
        <v>81</v>
      </c>
    </row>
    <row r="362" spans="49:49" ht="15" customHeight="1" x14ac:dyDescent="0.35">
      <c r="AW362" s="127">
        <v>82</v>
      </c>
    </row>
    <row r="363" spans="49:49" ht="15" customHeight="1" x14ac:dyDescent="0.35">
      <c r="AW363" s="127">
        <v>83</v>
      </c>
    </row>
    <row r="364" spans="49:49" ht="15" customHeight="1" x14ac:dyDescent="0.35">
      <c r="AW364" s="127">
        <v>84</v>
      </c>
    </row>
    <row r="365" spans="49:49" ht="15" customHeight="1" x14ac:dyDescent="0.35">
      <c r="AW365" s="127">
        <v>85</v>
      </c>
    </row>
    <row r="366" spans="49:49" ht="15" customHeight="1" x14ac:dyDescent="0.35">
      <c r="AW366" s="127">
        <v>86</v>
      </c>
    </row>
    <row r="367" spans="49:49" ht="15" customHeight="1" x14ac:dyDescent="0.35">
      <c r="AW367" s="127">
        <v>87</v>
      </c>
    </row>
    <row r="368" spans="49:49" ht="15" customHeight="1" x14ac:dyDescent="0.35">
      <c r="AW368" s="127">
        <v>88</v>
      </c>
    </row>
    <row r="369" spans="49:49" ht="15" customHeight="1" x14ac:dyDescent="0.35">
      <c r="AW369" s="127">
        <v>89</v>
      </c>
    </row>
    <row r="370" spans="49:49" ht="15" customHeight="1" x14ac:dyDescent="0.35">
      <c r="AW370" s="127">
        <v>90</v>
      </c>
    </row>
    <row r="371" spans="49:49" ht="15" customHeight="1" x14ac:dyDescent="0.35">
      <c r="AW371" s="127">
        <v>91</v>
      </c>
    </row>
    <row r="372" spans="49:49" ht="15" customHeight="1" x14ac:dyDescent="0.35">
      <c r="AW372" s="127">
        <v>92</v>
      </c>
    </row>
    <row r="373" spans="49:49" ht="15" customHeight="1" x14ac:dyDescent="0.35">
      <c r="AW373" s="127">
        <v>93</v>
      </c>
    </row>
    <row r="374" spans="49:49" ht="15" customHeight="1" x14ac:dyDescent="0.35">
      <c r="AW374" s="127">
        <v>94</v>
      </c>
    </row>
    <row r="375" spans="49:49" ht="15" customHeight="1" x14ac:dyDescent="0.35">
      <c r="AW375" s="127">
        <v>95</v>
      </c>
    </row>
    <row r="376" spans="49:49" ht="15" customHeight="1" x14ac:dyDescent="0.35">
      <c r="AW376" s="127">
        <v>96</v>
      </c>
    </row>
    <row r="377" spans="49:49" ht="15" customHeight="1" x14ac:dyDescent="0.35">
      <c r="AW377" s="127">
        <v>97</v>
      </c>
    </row>
    <row r="378" spans="49:49" ht="15" customHeight="1" x14ac:dyDescent="0.35">
      <c r="AW378" s="127">
        <v>98</v>
      </c>
    </row>
    <row r="379" spans="49:49" ht="15" customHeight="1" x14ac:dyDescent="0.35">
      <c r="AW379" s="127">
        <v>99</v>
      </c>
    </row>
    <row r="380" spans="49:49" ht="15" customHeight="1" x14ac:dyDescent="0.35">
      <c r="AW380" s="127">
        <v>100</v>
      </c>
    </row>
    <row r="381" spans="49:49" ht="15" customHeight="1" x14ac:dyDescent="0.35">
      <c r="AW381" s="127">
        <v>101</v>
      </c>
    </row>
    <row r="382" spans="49:49" ht="15" customHeight="1" x14ac:dyDescent="0.35">
      <c r="AW382" s="127">
        <v>102</v>
      </c>
    </row>
    <row r="383" spans="49:49" ht="15" customHeight="1" x14ac:dyDescent="0.35">
      <c r="AW383" s="127">
        <v>103</v>
      </c>
    </row>
    <row r="384" spans="49:49" ht="15" customHeight="1" x14ac:dyDescent="0.35">
      <c r="AW384" s="127">
        <v>104</v>
      </c>
    </row>
    <row r="385" spans="49:49" ht="15" customHeight="1" x14ac:dyDescent="0.35">
      <c r="AW385" s="127">
        <v>105</v>
      </c>
    </row>
    <row r="386" spans="49:49" ht="15" customHeight="1" x14ac:dyDescent="0.35">
      <c r="AW386" s="127">
        <v>106</v>
      </c>
    </row>
    <row r="387" spans="49:49" ht="15" customHeight="1" x14ac:dyDescent="0.35">
      <c r="AW387" s="127">
        <v>107</v>
      </c>
    </row>
    <row r="388" spans="49:49" ht="15" customHeight="1" x14ac:dyDescent="0.35">
      <c r="AW388" s="127">
        <v>108</v>
      </c>
    </row>
    <row r="389" spans="49:49" ht="15" customHeight="1" x14ac:dyDescent="0.35">
      <c r="AW389" s="127">
        <v>109</v>
      </c>
    </row>
    <row r="390" spans="49:49" ht="15" customHeight="1" x14ac:dyDescent="0.35">
      <c r="AW390" s="127">
        <v>110</v>
      </c>
    </row>
    <row r="391" spans="49:49" ht="15" customHeight="1" x14ac:dyDescent="0.35">
      <c r="AW391" s="127">
        <v>111</v>
      </c>
    </row>
    <row r="392" spans="49:49" ht="15" customHeight="1" x14ac:dyDescent="0.35">
      <c r="AW392" s="127">
        <v>112</v>
      </c>
    </row>
    <row r="393" spans="49:49" ht="15" customHeight="1" x14ac:dyDescent="0.35">
      <c r="AW393" s="127">
        <v>113</v>
      </c>
    </row>
    <row r="394" spans="49:49" ht="15" customHeight="1" x14ac:dyDescent="0.35">
      <c r="AW394" s="127">
        <v>114</v>
      </c>
    </row>
    <row r="395" spans="49:49" ht="15" customHeight="1" x14ac:dyDescent="0.35">
      <c r="AW395" s="127">
        <v>115</v>
      </c>
    </row>
    <row r="396" spans="49:49" ht="15" customHeight="1" x14ac:dyDescent="0.35">
      <c r="AW396" s="127">
        <v>116</v>
      </c>
    </row>
    <row r="397" spans="49:49" ht="15" customHeight="1" x14ac:dyDescent="0.35">
      <c r="AW397" s="127">
        <v>117</v>
      </c>
    </row>
    <row r="398" spans="49:49" ht="15" customHeight="1" x14ac:dyDescent="0.35">
      <c r="AW398" s="127">
        <v>118</v>
      </c>
    </row>
    <row r="399" spans="49:49" ht="15" customHeight="1" x14ac:dyDescent="0.35">
      <c r="AW399" s="127">
        <v>119</v>
      </c>
    </row>
    <row r="400" spans="49:49" ht="15" customHeight="1" x14ac:dyDescent="0.35">
      <c r="AW400" s="127">
        <v>120</v>
      </c>
    </row>
    <row r="401" spans="49:49" ht="15" customHeight="1" x14ac:dyDescent="0.35">
      <c r="AW401" s="127">
        <v>121</v>
      </c>
    </row>
    <row r="402" spans="49:49" ht="15" customHeight="1" x14ac:dyDescent="0.35">
      <c r="AW402" s="127">
        <v>122</v>
      </c>
    </row>
    <row r="403" spans="49:49" ht="15" customHeight="1" x14ac:dyDescent="0.35">
      <c r="AW403" s="127">
        <v>123</v>
      </c>
    </row>
    <row r="404" spans="49:49" ht="15" customHeight="1" x14ac:dyDescent="0.35">
      <c r="AW404" s="127">
        <v>124</v>
      </c>
    </row>
    <row r="405" spans="49:49" ht="15" customHeight="1" x14ac:dyDescent="0.35">
      <c r="AW405" s="127">
        <v>125</v>
      </c>
    </row>
    <row r="406" spans="49:49" ht="15" customHeight="1" x14ac:dyDescent="0.35">
      <c r="AW406" s="127">
        <v>126</v>
      </c>
    </row>
    <row r="407" spans="49:49" ht="15" customHeight="1" x14ac:dyDescent="0.35">
      <c r="AW407" s="127">
        <v>127</v>
      </c>
    </row>
    <row r="408" spans="49:49" ht="15" customHeight="1" x14ac:dyDescent="0.35">
      <c r="AW408" s="127">
        <v>128</v>
      </c>
    </row>
    <row r="409" spans="49:49" ht="15" customHeight="1" x14ac:dyDescent="0.35">
      <c r="AW409" s="127">
        <v>129</v>
      </c>
    </row>
    <row r="410" spans="49:49" ht="15" customHeight="1" x14ac:dyDescent="0.35">
      <c r="AW410" s="127">
        <v>130</v>
      </c>
    </row>
    <row r="411" spans="49:49" ht="15" customHeight="1" x14ac:dyDescent="0.35">
      <c r="AW411" s="127">
        <v>131</v>
      </c>
    </row>
    <row r="412" spans="49:49" ht="15" customHeight="1" x14ac:dyDescent="0.35">
      <c r="AW412" s="127">
        <v>132</v>
      </c>
    </row>
    <row r="413" spans="49:49" ht="15" customHeight="1" x14ac:dyDescent="0.35">
      <c r="AW413" s="127">
        <v>133</v>
      </c>
    </row>
    <row r="414" spans="49:49" ht="15" customHeight="1" x14ac:dyDescent="0.35">
      <c r="AW414" s="127">
        <v>134</v>
      </c>
    </row>
    <row r="415" spans="49:49" ht="15" customHeight="1" x14ac:dyDescent="0.35">
      <c r="AW415" s="127">
        <v>135</v>
      </c>
    </row>
    <row r="416" spans="49:49" ht="15" customHeight="1" x14ac:dyDescent="0.35">
      <c r="AW416" s="127">
        <v>136</v>
      </c>
    </row>
    <row r="417" spans="49:49" ht="15" customHeight="1" x14ac:dyDescent="0.35">
      <c r="AW417" s="127">
        <v>137</v>
      </c>
    </row>
    <row r="418" spans="49:49" ht="15" customHeight="1" x14ac:dyDescent="0.35">
      <c r="AW418" s="127">
        <v>138</v>
      </c>
    </row>
    <row r="419" spans="49:49" ht="15" customHeight="1" x14ac:dyDescent="0.35">
      <c r="AW419" s="127">
        <v>139</v>
      </c>
    </row>
    <row r="420" spans="49:49" ht="15" customHeight="1" x14ac:dyDescent="0.35">
      <c r="AW420" s="127">
        <v>140</v>
      </c>
    </row>
    <row r="421" spans="49:49" ht="15" customHeight="1" x14ac:dyDescent="0.35">
      <c r="AW421" s="127">
        <v>141</v>
      </c>
    </row>
    <row r="422" spans="49:49" ht="15" customHeight="1" x14ac:dyDescent="0.35">
      <c r="AW422" s="127">
        <v>142</v>
      </c>
    </row>
    <row r="423" spans="49:49" ht="15" customHeight="1" x14ac:dyDescent="0.35">
      <c r="AW423" s="127">
        <v>143</v>
      </c>
    </row>
    <row r="424" spans="49:49" ht="15" customHeight="1" x14ac:dyDescent="0.35">
      <c r="AW424" s="127">
        <v>144</v>
      </c>
    </row>
    <row r="425" spans="49:49" ht="15" customHeight="1" x14ac:dyDescent="0.35">
      <c r="AW425" s="127">
        <v>145</v>
      </c>
    </row>
    <row r="426" spans="49:49" ht="15" customHeight="1" x14ac:dyDescent="0.35">
      <c r="AW426" s="127">
        <v>146</v>
      </c>
    </row>
    <row r="427" spans="49:49" ht="15" customHeight="1" x14ac:dyDescent="0.35">
      <c r="AW427" s="127">
        <v>147</v>
      </c>
    </row>
    <row r="428" spans="49:49" ht="15" customHeight="1" x14ac:dyDescent="0.35">
      <c r="AW428" s="127">
        <v>148</v>
      </c>
    </row>
    <row r="429" spans="49:49" ht="15" customHeight="1" x14ac:dyDescent="0.35">
      <c r="AW429" s="127">
        <v>149</v>
      </c>
    </row>
    <row r="430" spans="49:49" ht="15" customHeight="1" x14ac:dyDescent="0.35">
      <c r="AW430" s="127">
        <v>150</v>
      </c>
    </row>
    <row r="431" spans="49:49" ht="15" customHeight="1" x14ac:dyDescent="0.35">
      <c r="AW431" s="127">
        <v>151</v>
      </c>
    </row>
    <row r="432" spans="49:49" ht="15" customHeight="1" x14ac:dyDescent="0.35">
      <c r="AW432" s="127">
        <v>152</v>
      </c>
    </row>
    <row r="433" spans="49:49" ht="15" customHeight="1" x14ac:dyDescent="0.35">
      <c r="AW433" s="127">
        <v>153</v>
      </c>
    </row>
    <row r="434" spans="49:49" ht="15" customHeight="1" x14ac:dyDescent="0.35">
      <c r="AW434" s="127">
        <v>154</v>
      </c>
    </row>
    <row r="435" spans="49:49" ht="15" customHeight="1" x14ac:dyDescent="0.35">
      <c r="AW435" s="127">
        <v>155</v>
      </c>
    </row>
    <row r="436" spans="49:49" ht="15" customHeight="1" x14ac:dyDescent="0.35">
      <c r="AW436" s="127">
        <v>156</v>
      </c>
    </row>
    <row r="437" spans="49:49" ht="15" customHeight="1" x14ac:dyDescent="0.35">
      <c r="AW437" s="127">
        <v>157</v>
      </c>
    </row>
    <row r="438" spans="49:49" ht="15" customHeight="1" x14ac:dyDescent="0.35">
      <c r="AW438" s="127">
        <v>158</v>
      </c>
    </row>
    <row r="439" spans="49:49" ht="15" customHeight="1" x14ac:dyDescent="0.35">
      <c r="AW439" s="127">
        <v>159</v>
      </c>
    </row>
    <row r="440" spans="49:49" ht="15" customHeight="1" x14ac:dyDescent="0.35">
      <c r="AW440" s="127">
        <v>160</v>
      </c>
    </row>
    <row r="441" spans="49:49" ht="15" customHeight="1" x14ac:dyDescent="0.35">
      <c r="AW441" s="127">
        <v>161</v>
      </c>
    </row>
    <row r="442" spans="49:49" ht="15" customHeight="1" x14ac:dyDescent="0.35">
      <c r="AW442" s="127">
        <v>162</v>
      </c>
    </row>
    <row r="443" spans="49:49" ht="15" customHeight="1" x14ac:dyDescent="0.35">
      <c r="AW443" s="127">
        <v>163</v>
      </c>
    </row>
    <row r="444" spans="49:49" ht="15" customHeight="1" x14ac:dyDescent="0.35">
      <c r="AW444" s="127">
        <v>164</v>
      </c>
    </row>
    <row r="445" spans="49:49" ht="15" customHeight="1" x14ac:dyDescent="0.35">
      <c r="AW445" s="127">
        <v>165</v>
      </c>
    </row>
    <row r="446" spans="49:49" ht="15" customHeight="1" x14ac:dyDescent="0.35">
      <c r="AW446" s="127">
        <v>166</v>
      </c>
    </row>
    <row r="447" spans="49:49" ht="15" customHeight="1" x14ac:dyDescent="0.35">
      <c r="AW447" s="127">
        <v>167</v>
      </c>
    </row>
    <row r="448" spans="49:49" ht="15" customHeight="1" x14ac:dyDescent="0.35">
      <c r="AW448" s="127">
        <v>168</v>
      </c>
    </row>
    <row r="449" spans="49:49" ht="15" customHeight="1" x14ac:dyDescent="0.35">
      <c r="AW449" s="127">
        <v>169</v>
      </c>
    </row>
    <row r="450" spans="49:49" ht="15" customHeight="1" x14ac:dyDescent="0.35">
      <c r="AW450" s="127">
        <v>170</v>
      </c>
    </row>
    <row r="451" spans="49:49" ht="15" customHeight="1" x14ac:dyDescent="0.35">
      <c r="AW451" s="127">
        <v>171</v>
      </c>
    </row>
    <row r="452" spans="49:49" ht="15" customHeight="1" x14ac:dyDescent="0.35">
      <c r="AW452" s="127">
        <v>172</v>
      </c>
    </row>
    <row r="453" spans="49:49" ht="15" customHeight="1" x14ac:dyDescent="0.35">
      <c r="AW453" s="127">
        <v>173</v>
      </c>
    </row>
    <row r="454" spans="49:49" ht="15" customHeight="1" x14ac:dyDescent="0.35">
      <c r="AW454" s="127">
        <v>174</v>
      </c>
    </row>
    <row r="455" spans="49:49" ht="15" customHeight="1" x14ac:dyDescent="0.35">
      <c r="AW455" s="127">
        <v>175</v>
      </c>
    </row>
    <row r="456" spans="49:49" ht="15" customHeight="1" x14ac:dyDescent="0.35">
      <c r="AW456" s="127">
        <v>176</v>
      </c>
    </row>
    <row r="457" spans="49:49" ht="15" customHeight="1" x14ac:dyDescent="0.35">
      <c r="AW457" s="127">
        <v>177</v>
      </c>
    </row>
    <row r="458" spans="49:49" ht="15" customHeight="1" x14ac:dyDescent="0.35">
      <c r="AW458" s="127">
        <v>178</v>
      </c>
    </row>
    <row r="459" spans="49:49" ht="15" customHeight="1" x14ac:dyDescent="0.35">
      <c r="AW459" s="127">
        <v>179</v>
      </c>
    </row>
    <row r="460" spans="49:49" ht="15" customHeight="1" x14ac:dyDescent="0.35">
      <c r="AW460" s="127">
        <v>180</v>
      </c>
    </row>
    <row r="461" spans="49:49" ht="15" customHeight="1" x14ac:dyDescent="0.35">
      <c r="AW461" s="127">
        <v>181</v>
      </c>
    </row>
    <row r="462" spans="49:49" ht="15" customHeight="1" x14ac:dyDescent="0.35">
      <c r="AW462" s="127">
        <v>182</v>
      </c>
    </row>
    <row r="463" spans="49:49" ht="15" customHeight="1" x14ac:dyDescent="0.35">
      <c r="AW463" s="127">
        <v>183</v>
      </c>
    </row>
    <row r="464" spans="49:49" ht="15" customHeight="1" x14ac:dyDescent="0.35">
      <c r="AW464" s="127">
        <v>184</v>
      </c>
    </row>
    <row r="465" spans="49:49" ht="15" customHeight="1" x14ac:dyDescent="0.35">
      <c r="AW465" s="127">
        <v>185</v>
      </c>
    </row>
    <row r="466" spans="49:49" ht="15" customHeight="1" x14ac:dyDescent="0.35">
      <c r="AW466" s="127">
        <v>186</v>
      </c>
    </row>
    <row r="467" spans="49:49" ht="15" customHeight="1" x14ac:dyDescent="0.35">
      <c r="AW467" s="127">
        <v>187</v>
      </c>
    </row>
    <row r="468" spans="49:49" ht="15" customHeight="1" x14ac:dyDescent="0.35">
      <c r="AW468" s="127">
        <v>188</v>
      </c>
    </row>
    <row r="469" spans="49:49" ht="15" customHeight="1" x14ac:dyDescent="0.35">
      <c r="AW469" s="127">
        <v>189</v>
      </c>
    </row>
    <row r="470" spans="49:49" ht="15" customHeight="1" x14ac:dyDescent="0.35">
      <c r="AW470" s="127">
        <v>190</v>
      </c>
    </row>
    <row r="471" spans="49:49" ht="15" customHeight="1" x14ac:dyDescent="0.35">
      <c r="AW471" s="127">
        <v>191</v>
      </c>
    </row>
    <row r="472" spans="49:49" ht="15" customHeight="1" x14ac:dyDescent="0.35">
      <c r="AW472" s="127">
        <v>192</v>
      </c>
    </row>
    <row r="473" spans="49:49" ht="15" customHeight="1" x14ac:dyDescent="0.35">
      <c r="AW473" s="127">
        <v>193</v>
      </c>
    </row>
    <row r="474" spans="49:49" ht="15" customHeight="1" x14ac:dyDescent="0.35">
      <c r="AW474" s="127">
        <v>194</v>
      </c>
    </row>
    <row r="475" spans="49:49" ht="15" customHeight="1" x14ac:dyDescent="0.35">
      <c r="AW475" s="127">
        <v>195</v>
      </c>
    </row>
    <row r="476" spans="49:49" ht="15" customHeight="1" x14ac:dyDescent="0.35">
      <c r="AW476" s="127">
        <v>196</v>
      </c>
    </row>
    <row r="477" spans="49:49" ht="15" customHeight="1" x14ac:dyDescent="0.35">
      <c r="AW477" s="127">
        <v>197</v>
      </c>
    </row>
    <row r="478" spans="49:49" ht="15" customHeight="1" x14ac:dyDescent="0.35">
      <c r="AW478" s="127">
        <v>198</v>
      </c>
    </row>
    <row r="479" spans="49:49" ht="15" customHeight="1" x14ac:dyDescent="0.35">
      <c r="AW479" s="127">
        <v>199</v>
      </c>
    </row>
    <row r="480" spans="49:49" ht="15" customHeight="1" x14ac:dyDescent="0.35">
      <c r="AW480" s="127">
        <v>200</v>
      </c>
    </row>
    <row r="481" spans="49:49" ht="15" customHeight="1" x14ac:dyDescent="0.35">
      <c r="AW481" s="127">
        <v>201</v>
      </c>
    </row>
    <row r="482" spans="49:49" ht="15" customHeight="1" x14ac:dyDescent="0.35">
      <c r="AW482" s="127">
        <v>202</v>
      </c>
    </row>
    <row r="483" spans="49:49" ht="15" customHeight="1" x14ac:dyDescent="0.35">
      <c r="AW483" s="127">
        <v>203</v>
      </c>
    </row>
    <row r="484" spans="49:49" ht="15" customHeight="1" x14ac:dyDescent="0.35">
      <c r="AW484" s="127">
        <v>204</v>
      </c>
    </row>
    <row r="485" spans="49:49" ht="15" customHeight="1" x14ac:dyDescent="0.35">
      <c r="AW485" s="127">
        <v>205</v>
      </c>
    </row>
    <row r="486" spans="49:49" ht="15" customHeight="1" x14ac:dyDescent="0.35">
      <c r="AW486" s="127">
        <v>206</v>
      </c>
    </row>
    <row r="487" spans="49:49" ht="15" customHeight="1" x14ac:dyDescent="0.35">
      <c r="AW487" s="127">
        <v>207</v>
      </c>
    </row>
    <row r="488" spans="49:49" ht="15" customHeight="1" x14ac:dyDescent="0.35">
      <c r="AW488" s="127">
        <v>208</v>
      </c>
    </row>
    <row r="489" spans="49:49" ht="15" customHeight="1" x14ac:dyDescent="0.35">
      <c r="AW489" s="127">
        <v>209</v>
      </c>
    </row>
    <row r="490" spans="49:49" ht="15" customHeight="1" x14ac:dyDescent="0.35">
      <c r="AW490" s="127">
        <v>210</v>
      </c>
    </row>
    <row r="491" spans="49:49" ht="15" customHeight="1" x14ac:dyDescent="0.35">
      <c r="AW491" s="127">
        <v>211</v>
      </c>
    </row>
    <row r="492" spans="49:49" ht="15" customHeight="1" x14ac:dyDescent="0.35">
      <c r="AW492" s="127">
        <v>212</v>
      </c>
    </row>
    <row r="493" spans="49:49" ht="15" customHeight="1" x14ac:dyDescent="0.35">
      <c r="AW493" s="127">
        <v>213</v>
      </c>
    </row>
    <row r="494" spans="49:49" ht="15" customHeight="1" x14ac:dyDescent="0.35">
      <c r="AW494" s="127">
        <v>214</v>
      </c>
    </row>
    <row r="495" spans="49:49" ht="15" customHeight="1" x14ac:dyDescent="0.35">
      <c r="AW495" s="127">
        <v>215</v>
      </c>
    </row>
    <row r="496" spans="49:49" ht="15" customHeight="1" x14ac:dyDescent="0.35">
      <c r="AW496" s="127">
        <v>216</v>
      </c>
    </row>
    <row r="497" spans="49:49" ht="15" customHeight="1" x14ac:dyDescent="0.35">
      <c r="AW497" s="127">
        <v>217</v>
      </c>
    </row>
    <row r="498" spans="49:49" ht="15" customHeight="1" x14ac:dyDescent="0.35">
      <c r="AW498" s="127">
        <v>218</v>
      </c>
    </row>
    <row r="499" spans="49:49" ht="15" customHeight="1" x14ac:dyDescent="0.35">
      <c r="AW499" s="127">
        <v>219</v>
      </c>
    </row>
    <row r="500" spans="49:49" ht="15" customHeight="1" x14ac:dyDescent="0.35">
      <c r="AW500" s="127">
        <v>220</v>
      </c>
    </row>
    <row r="501" spans="49:49" ht="15" customHeight="1" x14ac:dyDescent="0.35">
      <c r="AW501" s="127">
        <v>221</v>
      </c>
    </row>
    <row r="502" spans="49:49" ht="15" customHeight="1" x14ac:dyDescent="0.35">
      <c r="AW502" s="127">
        <v>222</v>
      </c>
    </row>
    <row r="503" spans="49:49" ht="15" customHeight="1" x14ac:dyDescent="0.35">
      <c r="AW503" s="127">
        <v>223</v>
      </c>
    </row>
    <row r="504" spans="49:49" ht="15" customHeight="1" x14ac:dyDescent="0.35">
      <c r="AW504" s="127">
        <v>224</v>
      </c>
    </row>
    <row r="505" spans="49:49" ht="15" customHeight="1" x14ac:dyDescent="0.35">
      <c r="AW505" s="127">
        <v>225</v>
      </c>
    </row>
    <row r="506" spans="49:49" ht="15" customHeight="1" x14ac:dyDescent="0.35">
      <c r="AW506" s="127">
        <v>226</v>
      </c>
    </row>
    <row r="507" spans="49:49" ht="15" customHeight="1" x14ac:dyDescent="0.35">
      <c r="AW507" s="127">
        <v>227</v>
      </c>
    </row>
    <row r="508" spans="49:49" ht="15" customHeight="1" x14ac:dyDescent="0.35">
      <c r="AW508" s="127">
        <v>228</v>
      </c>
    </row>
    <row r="509" spans="49:49" ht="15" customHeight="1" x14ac:dyDescent="0.35">
      <c r="AW509" s="127">
        <v>229</v>
      </c>
    </row>
    <row r="510" spans="49:49" ht="15" customHeight="1" x14ac:dyDescent="0.35">
      <c r="AW510" s="127">
        <v>230</v>
      </c>
    </row>
    <row r="511" spans="49:49" ht="15" customHeight="1" x14ac:dyDescent="0.35">
      <c r="AW511" s="127">
        <v>231</v>
      </c>
    </row>
    <row r="512" spans="49:49" ht="15" customHeight="1" x14ac:dyDescent="0.35">
      <c r="AW512" s="127">
        <v>232</v>
      </c>
    </row>
    <row r="513" spans="49:49" ht="15" customHeight="1" x14ac:dyDescent="0.35">
      <c r="AW513" s="127">
        <v>233</v>
      </c>
    </row>
    <row r="514" spans="49:49" ht="15" customHeight="1" x14ac:dyDescent="0.35">
      <c r="AW514" s="127">
        <v>234</v>
      </c>
    </row>
    <row r="515" spans="49:49" ht="15" customHeight="1" x14ac:dyDescent="0.35">
      <c r="AW515" s="127">
        <v>235</v>
      </c>
    </row>
    <row r="516" spans="49:49" ht="15" customHeight="1" x14ac:dyDescent="0.35">
      <c r="AW516" s="127">
        <v>236</v>
      </c>
    </row>
    <row r="517" spans="49:49" ht="15" customHeight="1" x14ac:dyDescent="0.35">
      <c r="AW517" s="127">
        <v>237</v>
      </c>
    </row>
    <row r="518" spans="49:49" ht="15" customHeight="1" x14ac:dyDescent="0.35">
      <c r="AW518" s="127">
        <v>238</v>
      </c>
    </row>
    <row r="519" spans="49:49" ht="15" customHeight="1" x14ac:dyDescent="0.35">
      <c r="AW519" s="127">
        <v>239</v>
      </c>
    </row>
    <row r="520" spans="49:49" ht="15" customHeight="1" x14ac:dyDescent="0.35">
      <c r="AW520" s="127">
        <v>240</v>
      </c>
    </row>
    <row r="521" spans="49:49" ht="15" customHeight="1" x14ac:dyDescent="0.35">
      <c r="AW521" s="127">
        <v>241</v>
      </c>
    </row>
    <row r="522" spans="49:49" ht="15" customHeight="1" x14ac:dyDescent="0.35">
      <c r="AW522" s="127">
        <v>242</v>
      </c>
    </row>
    <row r="523" spans="49:49" ht="15" customHeight="1" x14ac:dyDescent="0.35">
      <c r="AW523" s="127">
        <v>243</v>
      </c>
    </row>
    <row r="524" spans="49:49" ht="15" customHeight="1" x14ac:dyDescent="0.35">
      <c r="AW524" s="127">
        <v>244</v>
      </c>
    </row>
    <row r="525" spans="49:49" ht="15" customHeight="1" x14ac:dyDescent="0.35">
      <c r="AW525" s="127">
        <v>245</v>
      </c>
    </row>
    <row r="526" spans="49:49" ht="15" customHeight="1" x14ac:dyDescent="0.35">
      <c r="AW526" s="127">
        <v>246</v>
      </c>
    </row>
    <row r="527" spans="49:49" ht="15" customHeight="1" x14ac:dyDescent="0.35">
      <c r="AW527" s="127">
        <v>247</v>
      </c>
    </row>
    <row r="528" spans="49:49" ht="15" customHeight="1" x14ac:dyDescent="0.35">
      <c r="AW528" s="127">
        <v>248</v>
      </c>
    </row>
    <row r="529" spans="49:49" ht="15" customHeight="1" x14ac:dyDescent="0.35">
      <c r="AW529" s="127">
        <v>249</v>
      </c>
    </row>
    <row r="530" spans="49:49" ht="15" customHeight="1" x14ac:dyDescent="0.35">
      <c r="AW530" s="127">
        <v>250</v>
      </c>
    </row>
    <row r="531" spans="49:49" ht="15" customHeight="1" x14ac:dyDescent="0.35">
      <c r="AW531" s="127">
        <v>251</v>
      </c>
    </row>
    <row r="532" spans="49:49" ht="15" customHeight="1" x14ac:dyDescent="0.35">
      <c r="AW532" s="127">
        <v>252</v>
      </c>
    </row>
    <row r="533" spans="49:49" ht="15" customHeight="1" x14ac:dyDescent="0.35">
      <c r="AW533" s="127">
        <v>253</v>
      </c>
    </row>
    <row r="534" spans="49:49" ht="15" customHeight="1" x14ac:dyDescent="0.35">
      <c r="AW534" s="127">
        <v>254</v>
      </c>
    </row>
    <row r="535" spans="49:49" ht="15" customHeight="1" x14ac:dyDescent="0.35">
      <c r="AW535" s="127">
        <v>255</v>
      </c>
    </row>
    <row r="536" spans="49:49" ht="15" customHeight="1" x14ac:dyDescent="0.35">
      <c r="AW536" s="127">
        <v>256</v>
      </c>
    </row>
    <row r="537" spans="49:49" ht="15" customHeight="1" x14ac:dyDescent="0.35">
      <c r="AW537" s="127">
        <v>257</v>
      </c>
    </row>
    <row r="538" spans="49:49" ht="15" customHeight="1" x14ac:dyDescent="0.35">
      <c r="AW538" s="127">
        <v>258</v>
      </c>
    </row>
    <row r="539" spans="49:49" ht="15" customHeight="1" x14ac:dyDescent="0.35">
      <c r="AW539" s="127">
        <v>259</v>
      </c>
    </row>
    <row r="540" spans="49:49" ht="15" customHeight="1" x14ac:dyDescent="0.35">
      <c r="AW540" s="127">
        <v>260</v>
      </c>
    </row>
    <row r="541" spans="49:49" ht="15" customHeight="1" x14ac:dyDescent="0.35">
      <c r="AW541" s="127">
        <v>261</v>
      </c>
    </row>
    <row r="542" spans="49:49" ht="15" customHeight="1" x14ac:dyDescent="0.35">
      <c r="AW542" s="127">
        <v>262</v>
      </c>
    </row>
    <row r="543" spans="49:49" ht="15" customHeight="1" x14ac:dyDescent="0.35">
      <c r="AW543" s="127">
        <v>263</v>
      </c>
    </row>
    <row r="544" spans="49:49" ht="15" customHeight="1" x14ac:dyDescent="0.35">
      <c r="AW544" s="127">
        <v>264</v>
      </c>
    </row>
    <row r="545" spans="49:49" ht="15" customHeight="1" x14ac:dyDescent="0.35">
      <c r="AW545" s="127">
        <v>265</v>
      </c>
    </row>
    <row r="546" spans="49:49" ht="15" customHeight="1" x14ac:dyDescent="0.35">
      <c r="AW546" s="127">
        <v>266</v>
      </c>
    </row>
    <row r="547" spans="49:49" ht="15" customHeight="1" x14ac:dyDescent="0.35">
      <c r="AW547" s="127">
        <v>267</v>
      </c>
    </row>
    <row r="548" spans="49:49" ht="15" customHeight="1" x14ac:dyDescent="0.35">
      <c r="AW548" s="127">
        <v>268</v>
      </c>
    </row>
    <row r="549" spans="49:49" ht="15" customHeight="1" x14ac:dyDescent="0.35">
      <c r="AW549" s="127">
        <v>269</v>
      </c>
    </row>
    <row r="550" spans="49:49" ht="15" customHeight="1" x14ac:dyDescent="0.35">
      <c r="AW550" s="127">
        <v>270</v>
      </c>
    </row>
    <row r="551" spans="49:49" ht="15" customHeight="1" x14ac:dyDescent="0.35">
      <c r="AW551" s="127">
        <v>271</v>
      </c>
    </row>
    <row r="552" spans="49:49" ht="15" customHeight="1" x14ac:dyDescent="0.35">
      <c r="AW552" s="127">
        <v>272</v>
      </c>
    </row>
    <row r="553" spans="49:49" ht="15" customHeight="1" x14ac:dyDescent="0.35">
      <c r="AW553" s="127">
        <v>273</v>
      </c>
    </row>
    <row r="554" spans="49:49" ht="15" customHeight="1" x14ac:dyDescent="0.35">
      <c r="AW554" s="127">
        <v>274</v>
      </c>
    </row>
    <row r="555" spans="49:49" ht="15" customHeight="1" x14ac:dyDescent="0.35">
      <c r="AW555" s="127">
        <v>275</v>
      </c>
    </row>
    <row r="556" spans="49:49" ht="15" customHeight="1" x14ac:dyDescent="0.35">
      <c r="AW556" s="127">
        <v>276</v>
      </c>
    </row>
    <row r="557" spans="49:49" ht="15" customHeight="1" x14ac:dyDescent="0.35">
      <c r="AW557" s="127">
        <v>277</v>
      </c>
    </row>
    <row r="558" spans="49:49" ht="15" customHeight="1" x14ac:dyDescent="0.35">
      <c r="AW558" s="127">
        <v>278</v>
      </c>
    </row>
    <row r="559" spans="49:49" ht="15" customHeight="1" x14ac:dyDescent="0.35">
      <c r="AW559" s="127">
        <v>279</v>
      </c>
    </row>
    <row r="560" spans="49:49" ht="15" customHeight="1" x14ac:dyDescent="0.35">
      <c r="AW560" s="127">
        <v>280</v>
      </c>
    </row>
    <row r="561" spans="49:49" ht="15" customHeight="1" x14ac:dyDescent="0.35">
      <c r="AW561" s="127">
        <v>281</v>
      </c>
    </row>
    <row r="562" spans="49:49" ht="15" customHeight="1" x14ac:dyDescent="0.35">
      <c r="AW562" s="127">
        <v>282</v>
      </c>
    </row>
    <row r="563" spans="49:49" ht="15" customHeight="1" x14ac:dyDescent="0.35">
      <c r="AW563" s="127">
        <v>283</v>
      </c>
    </row>
    <row r="564" spans="49:49" ht="15" customHeight="1" x14ac:dyDescent="0.35">
      <c r="AW564" s="127">
        <v>284</v>
      </c>
    </row>
    <row r="565" spans="49:49" ht="15" customHeight="1" x14ac:dyDescent="0.35">
      <c r="AW565" s="127">
        <v>285</v>
      </c>
    </row>
    <row r="566" spans="49:49" ht="15" customHeight="1" x14ac:dyDescent="0.35">
      <c r="AW566" s="127">
        <v>286</v>
      </c>
    </row>
    <row r="567" spans="49:49" ht="15" customHeight="1" x14ac:dyDescent="0.35">
      <c r="AW567" s="127">
        <v>287</v>
      </c>
    </row>
    <row r="568" spans="49:49" ht="15" customHeight="1" x14ac:dyDescent="0.35">
      <c r="AW568" s="127">
        <v>288</v>
      </c>
    </row>
    <row r="569" spans="49:49" ht="15" customHeight="1" x14ac:dyDescent="0.35">
      <c r="AW569" s="127">
        <v>289</v>
      </c>
    </row>
    <row r="570" spans="49:49" ht="15" customHeight="1" x14ac:dyDescent="0.35">
      <c r="AW570" s="127">
        <v>290</v>
      </c>
    </row>
    <row r="571" spans="49:49" ht="15" customHeight="1" x14ac:dyDescent="0.35">
      <c r="AW571" s="127">
        <v>291</v>
      </c>
    </row>
    <row r="572" spans="49:49" ht="15" customHeight="1" x14ac:dyDescent="0.35">
      <c r="AW572" s="127">
        <v>292</v>
      </c>
    </row>
    <row r="573" spans="49:49" ht="15" customHeight="1" x14ac:dyDescent="0.35">
      <c r="AW573" s="127">
        <v>293</v>
      </c>
    </row>
    <row r="574" spans="49:49" ht="15" customHeight="1" x14ac:dyDescent="0.35">
      <c r="AW574" s="127">
        <v>294</v>
      </c>
    </row>
    <row r="575" spans="49:49" ht="15" customHeight="1" x14ac:dyDescent="0.35">
      <c r="AW575" s="127">
        <v>295</v>
      </c>
    </row>
    <row r="576" spans="49:49" ht="15" customHeight="1" x14ac:dyDescent="0.35">
      <c r="AW576" s="127">
        <v>296</v>
      </c>
    </row>
    <row r="577" spans="49:49" ht="15" customHeight="1" x14ac:dyDescent="0.35">
      <c r="AW577" s="127">
        <v>297</v>
      </c>
    </row>
    <row r="578" spans="49:49" ht="15" customHeight="1" x14ac:dyDescent="0.35">
      <c r="AW578" s="127">
        <v>298</v>
      </c>
    </row>
    <row r="579" spans="49:49" ht="15" customHeight="1" x14ac:dyDescent="0.35">
      <c r="AW579" s="127">
        <v>299</v>
      </c>
    </row>
    <row r="580" spans="49:49" ht="15" customHeight="1" x14ac:dyDescent="0.35">
      <c r="AW580" s="127">
        <v>300</v>
      </c>
    </row>
    <row r="581" spans="49:49" ht="15" customHeight="1" x14ac:dyDescent="0.35">
      <c r="AW581" s="127">
        <v>301</v>
      </c>
    </row>
    <row r="582" spans="49:49" ht="15" customHeight="1" x14ac:dyDescent="0.35">
      <c r="AW582" s="127">
        <v>302</v>
      </c>
    </row>
    <row r="583" spans="49:49" ht="15" customHeight="1" x14ac:dyDescent="0.35">
      <c r="AW583" s="127">
        <v>303</v>
      </c>
    </row>
    <row r="584" spans="49:49" ht="15" customHeight="1" x14ac:dyDescent="0.35">
      <c r="AW584" s="127">
        <v>304</v>
      </c>
    </row>
    <row r="585" spans="49:49" ht="15" customHeight="1" x14ac:dyDescent="0.35">
      <c r="AW585" s="127">
        <v>305</v>
      </c>
    </row>
    <row r="586" spans="49:49" ht="15" customHeight="1" x14ac:dyDescent="0.35">
      <c r="AW586" s="127">
        <v>306</v>
      </c>
    </row>
    <row r="587" spans="49:49" ht="15" customHeight="1" x14ac:dyDescent="0.35">
      <c r="AW587" s="127">
        <v>307</v>
      </c>
    </row>
    <row r="588" spans="49:49" ht="15" customHeight="1" x14ac:dyDescent="0.35">
      <c r="AW588" s="127">
        <v>308</v>
      </c>
    </row>
    <row r="589" spans="49:49" ht="15" customHeight="1" x14ac:dyDescent="0.35">
      <c r="AW589" s="127">
        <v>309</v>
      </c>
    </row>
    <row r="590" spans="49:49" ht="15" customHeight="1" x14ac:dyDescent="0.35">
      <c r="AW590" s="127">
        <v>310</v>
      </c>
    </row>
    <row r="591" spans="49:49" ht="15" customHeight="1" x14ac:dyDescent="0.35">
      <c r="AW591" s="127">
        <v>311</v>
      </c>
    </row>
    <row r="592" spans="49:49" ht="15" customHeight="1" x14ac:dyDescent="0.35">
      <c r="AW592" s="127">
        <v>312</v>
      </c>
    </row>
    <row r="593" spans="49:49" ht="15" customHeight="1" x14ac:dyDescent="0.35">
      <c r="AW593" s="127">
        <v>313</v>
      </c>
    </row>
    <row r="594" spans="49:49" ht="15" customHeight="1" x14ac:dyDescent="0.35">
      <c r="AW594" s="127">
        <v>314</v>
      </c>
    </row>
    <row r="595" spans="49:49" ht="15" customHeight="1" x14ac:dyDescent="0.35">
      <c r="AW595" s="127">
        <v>315</v>
      </c>
    </row>
    <row r="596" spans="49:49" ht="15" customHeight="1" x14ac:dyDescent="0.35">
      <c r="AW596" s="127">
        <v>316</v>
      </c>
    </row>
    <row r="597" spans="49:49" ht="15" customHeight="1" x14ac:dyDescent="0.35">
      <c r="AW597" s="127">
        <v>317</v>
      </c>
    </row>
    <row r="598" spans="49:49" ht="15" customHeight="1" x14ac:dyDescent="0.35">
      <c r="AW598" s="127">
        <v>318</v>
      </c>
    </row>
    <row r="599" spans="49:49" ht="15" customHeight="1" x14ac:dyDescent="0.35">
      <c r="AW599" s="127">
        <v>319</v>
      </c>
    </row>
    <row r="600" spans="49:49" ht="15" customHeight="1" x14ac:dyDescent="0.35">
      <c r="AW600" s="127">
        <v>320</v>
      </c>
    </row>
    <row r="601" spans="49:49" ht="15" customHeight="1" x14ac:dyDescent="0.35">
      <c r="AW601" s="127">
        <v>321</v>
      </c>
    </row>
    <row r="602" spans="49:49" ht="15" customHeight="1" x14ac:dyDescent="0.35">
      <c r="AW602" s="127">
        <v>322</v>
      </c>
    </row>
    <row r="603" spans="49:49" ht="15" customHeight="1" x14ac:dyDescent="0.35">
      <c r="AW603" s="127">
        <v>323</v>
      </c>
    </row>
    <row r="604" spans="49:49" ht="15" customHeight="1" x14ac:dyDescent="0.35">
      <c r="AW604" s="127">
        <v>324</v>
      </c>
    </row>
    <row r="605" spans="49:49" ht="15" customHeight="1" x14ac:dyDescent="0.35">
      <c r="AW605" s="127">
        <v>325</v>
      </c>
    </row>
    <row r="606" spans="49:49" ht="15" customHeight="1" x14ac:dyDescent="0.35">
      <c r="AW606" s="127">
        <v>326</v>
      </c>
    </row>
    <row r="607" spans="49:49" ht="15" customHeight="1" x14ac:dyDescent="0.35">
      <c r="AW607" s="127">
        <v>327</v>
      </c>
    </row>
    <row r="608" spans="49:49" ht="15" customHeight="1" x14ac:dyDescent="0.35">
      <c r="AW608" s="127">
        <v>328</v>
      </c>
    </row>
    <row r="609" spans="49:49" ht="15" customHeight="1" x14ac:dyDescent="0.35">
      <c r="AW609" s="127">
        <v>329</v>
      </c>
    </row>
    <row r="610" spans="49:49" ht="15" customHeight="1" x14ac:dyDescent="0.35">
      <c r="AW610" s="127">
        <v>330</v>
      </c>
    </row>
    <row r="611" spans="49:49" ht="15" customHeight="1" x14ac:dyDescent="0.35">
      <c r="AW611" s="127">
        <v>331</v>
      </c>
    </row>
    <row r="612" spans="49:49" ht="15" customHeight="1" x14ac:dyDescent="0.35">
      <c r="AW612" s="127">
        <v>332</v>
      </c>
    </row>
    <row r="613" spans="49:49" ht="15" customHeight="1" x14ac:dyDescent="0.35">
      <c r="AW613" s="127">
        <v>333</v>
      </c>
    </row>
    <row r="614" spans="49:49" ht="15" customHeight="1" x14ac:dyDescent="0.35">
      <c r="AW614" s="127">
        <v>334</v>
      </c>
    </row>
    <row r="615" spans="49:49" ht="15" customHeight="1" x14ac:dyDescent="0.35">
      <c r="AW615" s="127">
        <v>335</v>
      </c>
    </row>
    <row r="616" spans="49:49" ht="15" customHeight="1" x14ac:dyDescent="0.35">
      <c r="AW616" s="127">
        <v>336</v>
      </c>
    </row>
    <row r="617" spans="49:49" ht="15" customHeight="1" x14ac:dyDescent="0.35">
      <c r="AW617" s="127">
        <v>337</v>
      </c>
    </row>
    <row r="618" spans="49:49" ht="15" customHeight="1" x14ac:dyDescent="0.35">
      <c r="AW618" s="127">
        <v>338</v>
      </c>
    </row>
    <row r="619" spans="49:49" ht="15" customHeight="1" x14ac:dyDescent="0.35">
      <c r="AW619" s="127">
        <v>339</v>
      </c>
    </row>
    <row r="620" spans="49:49" ht="15" customHeight="1" x14ac:dyDescent="0.35">
      <c r="AW620" s="127">
        <v>340</v>
      </c>
    </row>
    <row r="621" spans="49:49" ht="15" customHeight="1" x14ac:dyDescent="0.35">
      <c r="AW621" s="127">
        <v>341</v>
      </c>
    </row>
    <row r="622" spans="49:49" ht="15" customHeight="1" x14ac:dyDescent="0.35">
      <c r="AW622" s="127">
        <v>342</v>
      </c>
    </row>
    <row r="623" spans="49:49" ht="15" customHeight="1" x14ac:dyDescent="0.35">
      <c r="AW623" s="127">
        <v>343</v>
      </c>
    </row>
    <row r="624" spans="49:49" ht="15" customHeight="1" x14ac:dyDescent="0.35">
      <c r="AW624" s="127">
        <v>344</v>
      </c>
    </row>
    <row r="625" spans="49:49" ht="15" customHeight="1" x14ac:dyDescent="0.35">
      <c r="AW625" s="127">
        <v>345</v>
      </c>
    </row>
    <row r="626" spans="49:49" ht="15" customHeight="1" x14ac:dyDescent="0.35">
      <c r="AW626" s="127">
        <v>346</v>
      </c>
    </row>
    <row r="627" spans="49:49" ht="15" customHeight="1" x14ac:dyDescent="0.35">
      <c r="AW627" s="127">
        <v>347</v>
      </c>
    </row>
    <row r="628" spans="49:49" ht="15" customHeight="1" x14ac:dyDescent="0.35">
      <c r="AW628" s="127">
        <v>348</v>
      </c>
    </row>
    <row r="629" spans="49:49" ht="15" customHeight="1" x14ac:dyDescent="0.35">
      <c r="AW629" s="127">
        <v>349</v>
      </c>
    </row>
    <row r="630" spans="49:49" ht="15" customHeight="1" x14ac:dyDescent="0.35">
      <c r="AW630" s="127">
        <v>350</v>
      </c>
    </row>
    <row r="631" spans="49:49" ht="15" customHeight="1" x14ac:dyDescent="0.35">
      <c r="AW631" s="127">
        <v>351</v>
      </c>
    </row>
    <row r="632" spans="49:49" ht="15" customHeight="1" x14ac:dyDescent="0.35">
      <c r="AW632" s="127">
        <v>352</v>
      </c>
    </row>
    <row r="633" spans="49:49" ht="15" customHeight="1" x14ac:dyDescent="0.35">
      <c r="AW633" s="127">
        <v>353</v>
      </c>
    </row>
    <row r="634" spans="49:49" ht="15" customHeight="1" x14ac:dyDescent="0.35">
      <c r="AW634" s="127">
        <v>354</v>
      </c>
    </row>
    <row r="635" spans="49:49" ht="15" customHeight="1" x14ac:dyDescent="0.35">
      <c r="AW635" s="127">
        <v>355</v>
      </c>
    </row>
    <row r="636" spans="49:49" ht="15" customHeight="1" x14ac:dyDescent="0.35">
      <c r="AW636" s="127">
        <v>356</v>
      </c>
    </row>
    <row r="637" spans="49:49" ht="15" customHeight="1" x14ac:dyDescent="0.35">
      <c r="AW637" s="127">
        <v>357</v>
      </c>
    </row>
    <row r="638" spans="49:49" ht="15" customHeight="1" x14ac:dyDescent="0.35">
      <c r="AW638" s="127">
        <v>358</v>
      </c>
    </row>
    <row r="639" spans="49:49" ht="15" customHeight="1" x14ac:dyDescent="0.35">
      <c r="AW639" s="127">
        <v>359</v>
      </c>
    </row>
    <row r="640" spans="49:49" ht="15" customHeight="1" x14ac:dyDescent="0.35">
      <c r="AW640" s="127">
        <v>360</v>
      </c>
    </row>
    <row r="641" spans="49:49" ht="15" customHeight="1" x14ac:dyDescent="0.35">
      <c r="AW641" s="127">
        <v>361</v>
      </c>
    </row>
    <row r="642" spans="49:49" ht="15" customHeight="1" x14ac:dyDescent="0.35">
      <c r="AW642" s="127">
        <v>362</v>
      </c>
    </row>
    <row r="643" spans="49:49" ht="15" customHeight="1" x14ac:dyDescent="0.35">
      <c r="AW643" s="127">
        <v>363</v>
      </c>
    </row>
    <row r="644" spans="49:49" ht="15" customHeight="1" x14ac:dyDescent="0.35">
      <c r="AW644" s="127">
        <v>364</v>
      </c>
    </row>
    <row r="645" spans="49:49" ht="15" customHeight="1" x14ac:dyDescent="0.35">
      <c r="AW645" s="127">
        <v>365</v>
      </c>
    </row>
    <row r="646" spans="49:49" ht="15" customHeight="1" x14ac:dyDescent="0.35">
      <c r="AW646" s="127">
        <v>366</v>
      </c>
    </row>
    <row r="647" spans="49:49" ht="15" customHeight="1" x14ac:dyDescent="0.35">
      <c r="AW647" s="127">
        <v>367</v>
      </c>
    </row>
    <row r="648" spans="49:49" ht="15" customHeight="1" x14ac:dyDescent="0.35">
      <c r="AW648" s="127">
        <v>368</v>
      </c>
    </row>
    <row r="649" spans="49:49" ht="15" customHeight="1" x14ac:dyDescent="0.35">
      <c r="AW649" s="127">
        <v>369</v>
      </c>
    </row>
    <row r="650" spans="49:49" ht="15" customHeight="1" x14ac:dyDescent="0.35">
      <c r="AW650" s="127">
        <v>370</v>
      </c>
    </row>
    <row r="651" spans="49:49" ht="15" customHeight="1" x14ac:dyDescent="0.35">
      <c r="AW651" s="127">
        <v>371</v>
      </c>
    </row>
    <row r="652" spans="49:49" ht="15" customHeight="1" x14ac:dyDescent="0.35">
      <c r="AW652" s="127">
        <v>372</v>
      </c>
    </row>
    <row r="653" spans="49:49" ht="15" customHeight="1" x14ac:dyDescent="0.35">
      <c r="AW653" s="127">
        <v>373</v>
      </c>
    </row>
    <row r="654" spans="49:49" ht="15" customHeight="1" x14ac:dyDescent="0.35">
      <c r="AW654" s="127">
        <v>374</v>
      </c>
    </row>
    <row r="655" spans="49:49" ht="15" customHeight="1" x14ac:dyDescent="0.35">
      <c r="AW655" s="127">
        <v>375</v>
      </c>
    </row>
    <row r="656" spans="49:49" ht="15" customHeight="1" x14ac:dyDescent="0.35">
      <c r="AW656" s="127">
        <v>376</v>
      </c>
    </row>
    <row r="657" spans="49:49" ht="15" customHeight="1" x14ac:dyDescent="0.35">
      <c r="AW657" s="127">
        <v>377</v>
      </c>
    </row>
    <row r="658" spans="49:49" ht="15" customHeight="1" x14ac:dyDescent="0.35">
      <c r="AW658" s="127">
        <v>378</v>
      </c>
    </row>
    <row r="659" spans="49:49" ht="15" customHeight="1" x14ac:dyDescent="0.35">
      <c r="AW659" s="127">
        <v>379</v>
      </c>
    </row>
    <row r="660" spans="49:49" ht="15" customHeight="1" x14ac:dyDescent="0.35">
      <c r="AW660" s="127">
        <v>380</v>
      </c>
    </row>
    <row r="661" spans="49:49" ht="15" customHeight="1" x14ac:dyDescent="0.35">
      <c r="AW661" s="127">
        <v>381</v>
      </c>
    </row>
    <row r="662" spans="49:49" ht="15" customHeight="1" x14ac:dyDescent="0.35">
      <c r="AW662" s="127">
        <v>382</v>
      </c>
    </row>
    <row r="663" spans="49:49" ht="15" customHeight="1" x14ac:dyDescent="0.35">
      <c r="AW663" s="127">
        <v>383</v>
      </c>
    </row>
    <row r="664" spans="49:49" ht="15" customHeight="1" x14ac:dyDescent="0.35">
      <c r="AW664" s="127">
        <v>384</v>
      </c>
    </row>
    <row r="665" spans="49:49" ht="15" customHeight="1" x14ac:dyDescent="0.35">
      <c r="AW665" s="127">
        <v>385</v>
      </c>
    </row>
    <row r="666" spans="49:49" ht="15" customHeight="1" x14ac:dyDescent="0.35">
      <c r="AW666" s="127">
        <v>386</v>
      </c>
    </row>
    <row r="667" spans="49:49" ht="15" customHeight="1" x14ac:dyDescent="0.35">
      <c r="AW667" s="127">
        <v>387</v>
      </c>
    </row>
    <row r="668" spans="49:49" ht="15" customHeight="1" x14ac:dyDescent="0.35">
      <c r="AW668" s="127">
        <v>388</v>
      </c>
    </row>
    <row r="669" spans="49:49" ht="15" customHeight="1" x14ac:dyDescent="0.35">
      <c r="AW669" s="127">
        <v>389</v>
      </c>
    </row>
    <row r="670" spans="49:49" ht="15" customHeight="1" x14ac:dyDescent="0.35">
      <c r="AW670" s="127">
        <v>390</v>
      </c>
    </row>
    <row r="671" spans="49:49" ht="15" customHeight="1" x14ac:dyDescent="0.35">
      <c r="AW671" s="127">
        <v>391</v>
      </c>
    </row>
    <row r="672" spans="49:49" ht="15" customHeight="1" x14ac:dyDescent="0.35">
      <c r="AW672" s="127">
        <v>392</v>
      </c>
    </row>
    <row r="673" spans="49:49" ht="15" customHeight="1" x14ac:dyDescent="0.35">
      <c r="AW673" s="127">
        <v>393</v>
      </c>
    </row>
    <row r="674" spans="49:49" ht="15" customHeight="1" x14ac:dyDescent="0.35">
      <c r="AW674" s="127">
        <v>394</v>
      </c>
    </row>
    <row r="675" spans="49:49" ht="15" customHeight="1" x14ac:dyDescent="0.35">
      <c r="AW675" s="127">
        <v>395</v>
      </c>
    </row>
    <row r="676" spans="49:49" ht="15" customHeight="1" x14ac:dyDescent="0.35">
      <c r="AW676" s="127">
        <v>396</v>
      </c>
    </row>
    <row r="677" spans="49:49" ht="15" customHeight="1" x14ac:dyDescent="0.35">
      <c r="AW677" s="127">
        <v>397</v>
      </c>
    </row>
    <row r="678" spans="49:49" ht="15" customHeight="1" x14ac:dyDescent="0.35">
      <c r="AW678" s="127">
        <v>398</v>
      </c>
    </row>
    <row r="679" spans="49:49" ht="15" customHeight="1" x14ac:dyDescent="0.35">
      <c r="AW679" s="127">
        <v>399</v>
      </c>
    </row>
    <row r="680" spans="49:49" ht="15" customHeight="1" x14ac:dyDescent="0.35">
      <c r="AW680" s="127">
        <v>400</v>
      </c>
    </row>
    <row r="681" spans="49:49" ht="15" customHeight="1" x14ac:dyDescent="0.35">
      <c r="AW681" s="127">
        <v>401</v>
      </c>
    </row>
    <row r="682" spans="49:49" ht="15" customHeight="1" x14ac:dyDescent="0.35">
      <c r="AW682" s="127">
        <v>402</v>
      </c>
    </row>
    <row r="683" spans="49:49" ht="15" customHeight="1" x14ac:dyDescent="0.35">
      <c r="AW683" s="127">
        <v>403</v>
      </c>
    </row>
    <row r="684" spans="49:49" ht="15" customHeight="1" x14ac:dyDescent="0.35">
      <c r="AW684" s="127">
        <v>404</v>
      </c>
    </row>
    <row r="685" spans="49:49" ht="15" customHeight="1" x14ac:dyDescent="0.35">
      <c r="AW685" s="127">
        <v>405</v>
      </c>
    </row>
    <row r="686" spans="49:49" ht="15" customHeight="1" x14ac:dyDescent="0.35">
      <c r="AW686" s="127">
        <v>406</v>
      </c>
    </row>
    <row r="687" spans="49:49" ht="15" customHeight="1" x14ac:dyDescent="0.35">
      <c r="AW687" s="127">
        <v>407</v>
      </c>
    </row>
    <row r="688" spans="49:49" ht="15" customHeight="1" x14ac:dyDescent="0.35">
      <c r="AW688" s="127">
        <v>408</v>
      </c>
    </row>
    <row r="689" spans="49:49" ht="15" customHeight="1" x14ac:dyDescent="0.35">
      <c r="AW689" s="127">
        <v>409</v>
      </c>
    </row>
    <row r="690" spans="49:49" ht="15" customHeight="1" x14ac:dyDescent="0.35">
      <c r="AW690" s="127">
        <v>410</v>
      </c>
    </row>
    <row r="691" spans="49:49" ht="15" customHeight="1" x14ac:dyDescent="0.35">
      <c r="AW691" s="127">
        <v>411</v>
      </c>
    </row>
    <row r="692" spans="49:49" ht="15" customHeight="1" x14ac:dyDescent="0.35">
      <c r="AW692" s="127">
        <v>412</v>
      </c>
    </row>
    <row r="693" spans="49:49" ht="15" customHeight="1" x14ac:dyDescent="0.35">
      <c r="AW693" s="127">
        <v>413</v>
      </c>
    </row>
    <row r="694" spans="49:49" ht="15" customHeight="1" x14ac:dyDescent="0.35">
      <c r="AW694" s="127">
        <v>414</v>
      </c>
    </row>
    <row r="695" spans="49:49" ht="15" customHeight="1" x14ac:dyDescent="0.35">
      <c r="AW695" s="127">
        <v>415</v>
      </c>
    </row>
    <row r="696" spans="49:49" ht="15" customHeight="1" x14ac:dyDescent="0.35">
      <c r="AW696" s="127">
        <v>416</v>
      </c>
    </row>
    <row r="697" spans="49:49" ht="15" customHeight="1" x14ac:dyDescent="0.35">
      <c r="AW697" s="127">
        <v>417</v>
      </c>
    </row>
    <row r="698" spans="49:49" ht="15" customHeight="1" x14ac:dyDescent="0.35">
      <c r="AW698" s="127">
        <v>418</v>
      </c>
    </row>
    <row r="699" spans="49:49" ht="15" customHeight="1" x14ac:dyDescent="0.35">
      <c r="AW699" s="127">
        <v>419</v>
      </c>
    </row>
    <row r="700" spans="49:49" ht="15" customHeight="1" x14ac:dyDescent="0.35">
      <c r="AW700" s="127">
        <v>420</v>
      </c>
    </row>
    <row r="701" spans="49:49" ht="15" customHeight="1" x14ac:dyDescent="0.35">
      <c r="AW701" s="127">
        <v>421</v>
      </c>
    </row>
    <row r="702" spans="49:49" ht="15" customHeight="1" x14ac:dyDescent="0.35">
      <c r="AW702" s="127">
        <v>422</v>
      </c>
    </row>
    <row r="703" spans="49:49" ht="15" customHeight="1" x14ac:dyDescent="0.35">
      <c r="AW703" s="127">
        <v>423</v>
      </c>
    </row>
    <row r="704" spans="49:49" ht="15" customHeight="1" x14ac:dyDescent="0.35">
      <c r="AW704" s="127">
        <v>424</v>
      </c>
    </row>
    <row r="705" spans="49:49" ht="15" customHeight="1" x14ac:dyDescent="0.35">
      <c r="AW705" s="127">
        <v>425</v>
      </c>
    </row>
    <row r="706" spans="49:49" ht="15" customHeight="1" x14ac:dyDescent="0.35">
      <c r="AW706" s="127">
        <v>426</v>
      </c>
    </row>
    <row r="707" spans="49:49" ht="15" customHeight="1" x14ac:dyDescent="0.35">
      <c r="AW707" s="127">
        <v>427</v>
      </c>
    </row>
    <row r="708" spans="49:49" ht="15" customHeight="1" x14ac:dyDescent="0.35">
      <c r="AW708" s="127">
        <v>428</v>
      </c>
    </row>
    <row r="709" spans="49:49" ht="15" customHeight="1" x14ac:dyDescent="0.35">
      <c r="AW709" s="127">
        <v>429</v>
      </c>
    </row>
    <row r="710" spans="49:49" ht="15" customHeight="1" x14ac:dyDescent="0.35">
      <c r="AW710" s="127">
        <v>430</v>
      </c>
    </row>
    <row r="711" spans="49:49" ht="15" customHeight="1" x14ac:dyDescent="0.35">
      <c r="AW711" s="127">
        <v>431</v>
      </c>
    </row>
    <row r="712" spans="49:49" ht="15" customHeight="1" x14ac:dyDescent="0.35">
      <c r="AW712" s="127">
        <v>432</v>
      </c>
    </row>
    <row r="713" spans="49:49" ht="15" customHeight="1" x14ac:dyDescent="0.35">
      <c r="AW713" s="127">
        <v>433</v>
      </c>
    </row>
    <row r="714" spans="49:49" ht="15" customHeight="1" x14ac:dyDescent="0.35">
      <c r="AW714" s="127">
        <v>434</v>
      </c>
    </row>
    <row r="715" spans="49:49" ht="15" customHeight="1" x14ac:dyDescent="0.35">
      <c r="AW715" s="127">
        <v>435</v>
      </c>
    </row>
    <row r="716" spans="49:49" ht="15" customHeight="1" x14ac:dyDescent="0.35">
      <c r="AW716" s="127">
        <v>436</v>
      </c>
    </row>
    <row r="717" spans="49:49" ht="15" customHeight="1" x14ac:dyDescent="0.35">
      <c r="AW717" s="127">
        <v>437</v>
      </c>
    </row>
    <row r="718" spans="49:49" ht="15" customHeight="1" x14ac:dyDescent="0.35">
      <c r="AW718" s="127">
        <v>438</v>
      </c>
    </row>
    <row r="719" spans="49:49" ht="15" customHeight="1" x14ac:dyDescent="0.35">
      <c r="AW719" s="127">
        <v>439</v>
      </c>
    </row>
    <row r="720" spans="49:49" ht="15" customHeight="1" x14ac:dyDescent="0.35">
      <c r="AW720" s="127">
        <v>440</v>
      </c>
    </row>
    <row r="721" spans="49:49" ht="15" customHeight="1" x14ac:dyDescent="0.35">
      <c r="AW721" s="127">
        <v>441</v>
      </c>
    </row>
    <row r="722" spans="49:49" ht="15" customHeight="1" x14ac:dyDescent="0.35">
      <c r="AW722" s="127">
        <v>442</v>
      </c>
    </row>
    <row r="723" spans="49:49" ht="15" customHeight="1" x14ac:dyDescent="0.35">
      <c r="AW723" s="127">
        <v>443</v>
      </c>
    </row>
    <row r="724" spans="49:49" ht="15" customHeight="1" x14ac:dyDescent="0.35">
      <c r="AW724" s="127">
        <v>444</v>
      </c>
    </row>
    <row r="725" spans="49:49" ht="15" customHeight="1" x14ac:dyDescent="0.35">
      <c r="AW725" s="127">
        <v>445</v>
      </c>
    </row>
    <row r="726" spans="49:49" ht="15" customHeight="1" x14ac:dyDescent="0.35">
      <c r="AW726" s="127">
        <v>446</v>
      </c>
    </row>
    <row r="727" spans="49:49" ht="15" customHeight="1" x14ac:dyDescent="0.35">
      <c r="AW727" s="127">
        <v>447</v>
      </c>
    </row>
    <row r="728" spans="49:49" ht="15" customHeight="1" x14ac:dyDescent="0.35">
      <c r="AW728" s="127">
        <v>448</v>
      </c>
    </row>
    <row r="729" spans="49:49" ht="15" customHeight="1" x14ac:dyDescent="0.35">
      <c r="AW729" s="127">
        <v>449</v>
      </c>
    </row>
    <row r="730" spans="49:49" ht="15" customHeight="1" x14ac:dyDescent="0.35">
      <c r="AW730" s="127">
        <v>450</v>
      </c>
    </row>
    <row r="731" spans="49:49" ht="15" customHeight="1" x14ac:dyDescent="0.35">
      <c r="AW731" s="127">
        <v>451</v>
      </c>
    </row>
    <row r="732" spans="49:49" ht="15" customHeight="1" x14ac:dyDescent="0.35">
      <c r="AW732" s="127">
        <v>452</v>
      </c>
    </row>
    <row r="733" spans="49:49" ht="15" customHeight="1" x14ac:dyDescent="0.35">
      <c r="AW733" s="127">
        <v>453</v>
      </c>
    </row>
    <row r="734" spans="49:49" ht="15" customHeight="1" x14ac:dyDescent="0.35">
      <c r="AW734" s="127">
        <v>454</v>
      </c>
    </row>
    <row r="735" spans="49:49" ht="15" customHeight="1" x14ac:dyDescent="0.35">
      <c r="AW735" s="127">
        <v>455</v>
      </c>
    </row>
    <row r="736" spans="49:49" ht="15" customHeight="1" x14ac:dyDescent="0.35">
      <c r="AW736" s="127">
        <v>456</v>
      </c>
    </row>
    <row r="737" spans="49:49" ht="15" customHeight="1" x14ac:dyDescent="0.35">
      <c r="AW737" s="127">
        <v>457</v>
      </c>
    </row>
    <row r="738" spans="49:49" ht="15" customHeight="1" x14ac:dyDescent="0.35">
      <c r="AW738" s="127">
        <v>458</v>
      </c>
    </row>
    <row r="739" spans="49:49" ht="15" customHeight="1" x14ac:dyDescent="0.35">
      <c r="AW739" s="127">
        <v>459</v>
      </c>
    </row>
    <row r="740" spans="49:49" ht="15" customHeight="1" x14ac:dyDescent="0.35">
      <c r="AW740" s="127">
        <v>460</v>
      </c>
    </row>
    <row r="741" spans="49:49" ht="15" customHeight="1" x14ac:dyDescent="0.35">
      <c r="AW741" s="127">
        <v>461</v>
      </c>
    </row>
    <row r="742" spans="49:49" ht="15" customHeight="1" x14ac:dyDescent="0.35">
      <c r="AW742" s="127">
        <v>462</v>
      </c>
    </row>
    <row r="743" spans="49:49" ht="15" customHeight="1" x14ac:dyDescent="0.35">
      <c r="AW743" s="127">
        <v>463</v>
      </c>
    </row>
    <row r="744" spans="49:49" ht="15" customHeight="1" x14ac:dyDescent="0.35">
      <c r="AW744" s="127">
        <v>464</v>
      </c>
    </row>
    <row r="745" spans="49:49" ht="15" customHeight="1" x14ac:dyDescent="0.35">
      <c r="AW745" s="127">
        <v>465</v>
      </c>
    </row>
    <row r="746" spans="49:49" ht="15" customHeight="1" x14ac:dyDescent="0.35">
      <c r="AW746" s="127">
        <v>466</v>
      </c>
    </row>
    <row r="747" spans="49:49" ht="15" customHeight="1" x14ac:dyDescent="0.35">
      <c r="AW747" s="127">
        <v>467</v>
      </c>
    </row>
    <row r="748" spans="49:49" ht="15" customHeight="1" x14ac:dyDescent="0.35">
      <c r="AW748" s="127">
        <v>468</v>
      </c>
    </row>
    <row r="749" spans="49:49" ht="15" customHeight="1" x14ac:dyDescent="0.35">
      <c r="AW749" s="127">
        <v>469</v>
      </c>
    </row>
    <row r="750" spans="49:49" ht="15" customHeight="1" x14ac:dyDescent="0.35">
      <c r="AW750" s="127">
        <v>470</v>
      </c>
    </row>
    <row r="751" spans="49:49" ht="15" customHeight="1" x14ac:dyDescent="0.35">
      <c r="AW751" s="127">
        <v>471</v>
      </c>
    </row>
    <row r="752" spans="49:49" ht="15" customHeight="1" x14ac:dyDescent="0.35">
      <c r="AW752" s="127">
        <v>472</v>
      </c>
    </row>
    <row r="753" spans="49:49" ht="15" customHeight="1" x14ac:dyDescent="0.35">
      <c r="AW753" s="127">
        <v>473</v>
      </c>
    </row>
    <row r="754" spans="49:49" ht="15" customHeight="1" x14ac:dyDescent="0.35">
      <c r="AW754" s="127">
        <v>474</v>
      </c>
    </row>
    <row r="755" spans="49:49" ht="15" customHeight="1" x14ac:dyDescent="0.35">
      <c r="AW755" s="127">
        <v>475</v>
      </c>
    </row>
    <row r="756" spans="49:49" ht="15" customHeight="1" x14ac:dyDescent="0.35">
      <c r="AW756" s="127">
        <v>476</v>
      </c>
    </row>
    <row r="757" spans="49:49" ht="15" customHeight="1" x14ac:dyDescent="0.35">
      <c r="AW757" s="127">
        <v>477</v>
      </c>
    </row>
    <row r="758" spans="49:49" ht="15" customHeight="1" x14ac:dyDescent="0.35">
      <c r="AW758" s="127">
        <v>478</v>
      </c>
    </row>
    <row r="759" spans="49:49" ht="15" customHeight="1" x14ac:dyDescent="0.35">
      <c r="AW759" s="127">
        <v>479</v>
      </c>
    </row>
    <row r="760" spans="49:49" ht="15" customHeight="1" x14ac:dyDescent="0.35">
      <c r="AW760" s="127">
        <v>480</v>
      </c>
    </row>
    <row r="761" spans="49:49" ht="15" customHeight="1" x14ac:dyDescent="0.35">
      <c r="AW761" s="127">
        <v>481</v>
      </c>
    </row>
    <row r="762" spans="49:49" ht="15" customHeight="1" x14ac:dyDescent="0.35">
      <c r="AW762" s="127">
        <v>482</v>
      </c>
    </row>
    <row r="763" spans="49:49" ht="15" customHeight="1" x14ac:dyDescent="0.35">
      <c r="AW763" s="127">
        <v>483</v>
      </c>
    </row>
    <row r="764" spans="49:49" ht="15" customHeight="1" x14ac:dyDescent="0.35">
      <c r="AW764" s="127">
        <v>484</v>
      </c>
    </row>
    <row r="765" spans="49:49" ht="15" customHeight="1" x14ac:dyDescent="0.35">
      <c r="AW765" s="127">
        <v>485</v>
      </c>
    </row>
    <row r="766" spans="49:49" ht="15" customHeight="1" x14ac:dyDescent="0.35">
      <c r="AW766" s="127">
        <v>486</v>
      </c>
    </row>
    <row r="767" spans="49:49" ht="15" customHeight="1" x14ac:dyDescent="0.35">
      <c r="AW767" s="127">
        <v>487</v>
      </c>
    </row>
    <row r="768" spans="49:49" ht="15" customHeight="1" x14ac:dyDescent="0.35">
      <c r="AW768" s="127">
        <v>488</v>
      </c>
    </row>
    <row r="769" spans="49:49" ht="15" customHeight="1" x14ac:dyDescent="0.35">
      <c r="AW769" s="127">
        <v>489</v>
      </c>
    </row>
    <row r="770" spans="49:49" ht="15" customHeight="1" x14ac:dyDescent="0.35">
      <c r="AW770" s="127">
        <v>490</v>
      </c>
    </row>
    <row r="771" spans="49:49" ht="15" customHeight="1" x14ac:dyDescent="0.35">
      <c r="AW771" s="127">
        <v>491</v>
      </c>
    </row>
    <row r="772" spans="49:49" ht="15" customHeight="1" x14ac:dyDescent="0.35">
      <c r="AW772" s="127">
        <v>492</v>
      </c>
    </row>
    <row r="773" spans="49:49" ht="15" customHeight="1" x14ac:dyDescent="0.35">
      <c r="AW773" s="127">
        <v>493</v>
      </c>
    </row>
    <row r="774" spans="49:49" ht="15" customHeight="1" x14ac:dyDescent="0.35">
      <c r="AW774" s="127">
        <v>494</v>
      </c>
    </row>
    <row r="775" spans="49:49" ht="15" customHeight="1" x14ac:dyDescent="0.35">
      <c r="AW775" s="127">
        <v>495</v>
      </c>
    </row>
    <row r="776" spans="49:49" ht="15" customHeight="1" x14ac:dyDescent="0.35">
      <c r="AW776" s="127">
        <v>496</v>
      </c>
    </row>
    <row r="777" spans="49:49" ht="15" customHeight="1" x14ac:dyDescent="0.35">
      <c r="AW777" s="127">
        <v>497</v>
      </c>
    </row>
    <row r="778" spans="49:49" ht="15" customHeight="1" x14ac:dyDescent="0.35">
      <c r="AW778" s="127">
        <v>498</v>
      </c>
    </row>
    <row r="779" spans="49:49" ht="15" customHeight="1" x14ac:dyDescent="0.35">
      <c r="AW779" s="127">
        <v>499</v>
      </c>
    </row>
    <row r="780" spans="49:49" ht="15" customHeight="1" x14ac:dyDescent="0.35">
      <c r="AW780" s="127">
        <v>500</v>
      </c>
    </row>
    <row r="781" spans="49:49" ht="15" customHeight="1" x14ac:dyDescent="0.35">
      <c r="AW781" s="127">
        <v>501</v>
      </c>
    </row>
    <row r="782" spans="49:49" ht="15" customHeight="1" x14ac:dyDescent="0.35">
      <c r="AW782" s="127">
        <v>502</v>
      </c>
    </row>
    <row r="783" spans="49:49" ht="15" customHeight="1" x14ac:dyDescent="0.35">
      <c r="AW783" s="127">
        <v>503</v>
      </c>
    </row>
    <row r="784" spans="49:49" ht="15" customHeight="1" x14ac:dyDescent="0.35">
      <c r="AW784" s="127">
        <v>504</v>
      </c>
    </row>
    <row r="785" spans="49:49" ht="15" customHeight="1" x14ac:dyDescent="0.35">
      <c r="AW785" s="127">
        <v>505</v>
      </c>
    </row>
    <row r="786" spans="49:49" ht="15" customHeight="1" x14ac:dyDescent="0.35">
      <c r="AW786" s="127">
        <v>506</v>
      </c>
    </row>
    <row r="787" spans="49:49" ht="15" customHeight="1" x14ac:dyDescent="0.35">
      <c r="AW787" s="127">
        <v>507</v>
      </c>
    </row>
    <row r="788" spans="49:49" ht="15" customHeight="1" x14ac:dyDescent="0.35">
      <c r="AW788" s="127">
        <v>508</v>
      </c>
    </row>
    <row r="789" spans="49:49" ht="15" customHeight="1" x14ac:dyDescent="0.35">
      <c r="AW789" s="127">
        <v>509</v>
      </c>
    </row>
    <row r="790" spans="49:49" ht="15" customHeight="1" x14ac:dyDescent="0.35">
      <c r="AW790" s="127">
        <v>510</v>
      </c>
    </row>
    <row r="791" spans="49:49" ht="15" customHeight="1" x14ac:dyDescent="0.35">
      <c r="AW791" s="127">
        <v>511</v>
      </c>
    </row>
    <row r="792" spans="49:49" ht="15" customHeight="1" x14ac:dyDescent="0.35">
      <c r="AW792" s="127">
        <v>512</v>
      </c>
    </row>
    <row r="793" spans="49:49" ht="15" customHeight="1" x14ac:dyDescent="0.35">
      <c r="AW793" s="127">
        <v>513</v>
      </c>
    </row>
    <row r="794" spans="49:49" ht="15" customHeight="1" x14ac:dyDescent="0.35">
      <c r="AW794" s="127">
        <v>514</v>
      </c>
    </row>
    <row r="795" spans="49:49" ht="15" customHeight="1" x14ac:dyDescent="0.35">
      <c r="AW795" s="127">
        <v>515</v>
      </c>
    </row>
    <row r="796" spans="49:49" ht="15" customHeight="1" x14ac:dyDescent="0.35">
      <c r="AW796" s="127">
        <v>516</v>
      </c>
    </row>
    <row r="797" spans="49:49" ht="15" customHeight="1" x14ac:dyDescent="0.35">
      <c r="AW797" s="127">
        <v>517</v>
      </c>
    </row>
    <row r="798" spans="49:49" ht="15" customHeight="1" x14ac:dyDescent="0.35">
      <c r="AW798" s="127">
        <v>518</v>
      </c>
    </row>
    <row r="799" spans="49:49" ht="15" customHeight="1" x14ac:dyDescent="0.35">
      <c r="AW799" s="127">
        <v>519</v>
      </c>
    </row>
    <row r="800" spans="49:49" ht="15" customHeight="1" x14ac:dyDescent="0.35">
      <c r="AW800" s="127">
        <v>520</v>
      </c>
    </row>
    <row r="801" spans="49:49" ht="15" customHeight="1" x14ac:dyDescent="0.35">
      <c r="AW801" s="127">
        <v>521</v>
      </c>
    </row>
    <row r="802" spans="49:49" ht="15" customHeight="1" x14ac:dyDescent="0.35">
      <c r="AW802" s="127">
        <v>522</v>
      </c>
    </row>
    <row r="803" spans="49:49" ht="15" customHeight="1" x14ac:dyDescent="0.35">
      <c r="AW803" s="127">
        <v>523</v>
      </c>
    </row>
    <row r="804" spans="49:49" ht="15" customHeight="1" x14ac:dyDescent="0.35">
      <c r="AW804" s="127">
        <v>524</v>
      </c>
    </row>
    <row r="805" spans="49:49" ht="15" customHeight="1" x14ac:dyDescent="0.35">
      <c r="AW805" s="127">
        <v>525</v>
      </c>
    </row>
    <row r="806" spans="49:49" ht="15" customHeight="1" x14ac:dyDescent="0.35">
      <c r="AW806" s="127">
        <v>526</v>
      </c>
    </row>
    <row r="807" spans="49:49" ht="15" customHeight="1" x14ac:dyDescent="0.35">
      <c r="AW807" s="127">
        <v>527</v>
      </c>
    </row>
    <row r="808" spans="49:49" ht="15" customHeight="1" x14ac:dyDescent="0.35">
      <c r="AW808" s="127">
        <v>528</v>
      </c>
    </row>
    <row r="809" spans="49:49" ht="15" customHeight="1" x14ac:dyDescent="0.35">
      <c r="AW809" s="127">
        <v>529</v>
      </c>
    </row>
    <row r="810" spans="49:49" ht="15" customHeight="1" x14ac:dyDescent="0.35">
      <c r="AW810" s="127">
        <v>530</v>
      </c>
    </row>
    <row r="811" spans="49:49" ht="15" customHeight="1" x14ac:dyDescent="0.35">
      <c r="AW811" s="127">
        <v>531</v>
      </c>
    </row>
    <row r="812" spans="49:49" ht="15" customHeight="1" x14ac:dyDescent="0.35">
      <c r="AW812" s="127">
        <v>532</v>
      </c>
    </row>
    <row r="813" spans="49:49" ht="15" customHeight="1" x14ac:dyDescent="0.35">
      <c r="AW813" s="127">
        <v>533</v>
      </c>
    </row>
    <row r="814" spans="49:49" ht="15" customHeight="1" x14ac:dyDescent="0.35">
      <c r="AW814" s="127">
        <v>534</v>
      </c>
    </row>
    <row r="815" spans="49:49" ht="15" customHeight="1" x14ac:dyDescent="0.35">
      <c r="AW815" s="127">
        <v>535</v>
      </c>
    </row>
    <row r="816" spans="49:49" ht="15" customHeight="1" x14ac:dyDescent="0.35">
      <c r="AW816" s="127">
        <v>536</v>
      </c>
    </row>
    <row r="817" spans="49:49" ht="15" customHeight="1" x14ac:dyDescent="0.35">
      <c r="AW817" s="127">
        <v>537</v>
      </c>
    </row>
    <row r="818" spans="49:49" ht="15" customHeight="1" x14ac:dyDescent="0.35">
      <c r="AW818" s="127">
        <v>538</v>
      </c>
    </row>
    <row r="819" spans="49:49" ht="15" customHeight="1" x14ac:dyDescent="0.35">
      <c r="AW819" s="127">
        <v>539</v>
      </c>
    </row>
    <row r="820" spans="49:49" ht="15" customHeight="1" x14ac:dyDescent="0.35">
      <c r="AW820" s="127">
        <v>540</v>
      </c>
    </row>
    <row r="821" spans="49:49" ht="15" customHeight="1" x14ac:dyDescent="0.35">
      <c r="AW821" s="127">
        <v>541</v>
      </c>
    </row>
    <row r="822" spans="49:49" ht="15" customHeight="1" x14ac:dyDescent="0.35">
      <c r="AW822" s="127">
        <v>542</v>
      </c>
    </row>
    <row r="823" spans="49:49" ht="15" customHeight="1" x14ac:dyDescent="0.35">
      <c r="AW823" s="127">
        <v>543</v>
      </c>
    </row>
    <row r="824" spans="49:49" ht="15" customHeight="1" x14ac:dyDescent="0.35">
      <c r="AW824" s="127">
        <v>544</v>
      </c>
    </row>
    <row r="825" spans="49:49" ht="15" customHeight="1" x14ac:dyDescent="0.35">
      <c r="AW825" s="127">
        <v>545</v>
      </c>
    </row>
    <row r="826" spans="49:49" ht="15" customHeight="1" x14ac:dyDescent="0.35">
      <c r="AW826" s="127">
        <v>546</v>
      </c>
    </row>
    <row r="827" spans="49:49" ht="15" customHeight="1" x14ac:dyDescent="0.35">
      <c r="AW827" s="127">
        <v>547</v>
      </c>
    </row>
    <row r="828" spans="49:49" ht="15" customHeight="1" x14ac:dyDescent="0.35">
      <c r="AW828" s="127">
        <v>548</v>
      </c>
    </row>
    <row r="829" spans="49:49" ht="15" customHeight="1" x14ac:dyDescent="0.35">
      <c r="AW829" s="127">
        <v>549</v>
      </c>
    </row>
    <row r="830" spans="49:49" ht="15" customHeight="1" x14ac:dyDescent="0.35">
      <c r="AW830" s="127">
        <v>550</v>
      </c>
    </row>
    <row r="831" spans="49:49" ht="15" customHeight="1" x14ac:dyDescent="0.35">
      <c r="AW831" s="127">
        <v>551</v>
      </c>
    </row>
    <row r="832" spans="49:49" ht="15" customHeight="1" x14ac:dyDescent="0.35">
      <c r="AW832" s="127">
        <v>552</v>
      </c>
    </row>
    <row r="833" spans="49:49" ht="15" customHeight="1" x14ac:dyDescent="0.35">
      <c r="AW833" s="127">
        <v>553</v>
      </c>
    </row>
    <row r="834" spans="49:49" ht="15" customHeight="1" x14ac:dyDescent="0.35">
      <c r="AW834" s="127">
        <v>554</v>
      </c>
    </row>
    <row r="835" spans="49:49" ht="15" customHeight="1" x14ac:dyDescent="0.35">
      <c r="AW835" s="127">
        <v>555</v>
      </c>
    </row>
    <row r="836" spans="49:49" ht="15" customHeight="1" x14ac:dyDescent="0.35">
      <c r="AW836" s="127">
        <v>556</v>
      </c>
    </row>
    <row r="837" spans="49:49" ht="15" customHeight="1" x14ac:dyDescent="0.35">
      <c r="AW837" s="127">
        <v>557</v>
      </c>
    </row>
    <row r="838" spans="49:49" ht="15" customHeight="1" x14ac:dyDescent="0.35">
      <c r="AW838" s="127">
        <v>558</v>
      </c>
    </row>
    <row r="839" spans="49:49" ht="15" customHeight="1" x14ac:dyDescent="0.35">
      <c r="AW839" s="127">
        <v>559</v>
      </c>
    </row>
    <row r="840" spans="49:49" ht="15" customHeight="1" x14ac:dyDescent="0.35">
      <c r="AW840" s="127">
        <v>560</v>
      </c>
    </row>
    <row r="841" spans="49:49" ht="15" customHeight="1" x14ac:dyDescent="0.35">
      <c r="AW841" s="127">
        <v>561</v>
      </c>
    </row>
    <row r="842" spans="49:49" ht="15" customHeight="1" x14ac:dyDescent="0.35">
      <c r="AW842" s="127">
        <v>562</v>
      </c>
    </row>
    <row r="843" spans="49:49" ht="15" customHeight="1" x14ac:dyDescent="0.35">
      <c r="AW843" s="127">
        <v>563</v>
      </c>
    </row>
    <row r="844" spans="49:49" ht="15" customHeight="1" x14ac:dyDescent="0.35">
      <c r="AW844" s="127">
        <v>564</v>
      </c>
    </row>
    <row r="845" spans="49:49" ht="15" customHeight="1" x14ac:dyDescent="0.35">
      <c r="AW845" s="127">
        <v>565</v>
      </c>
    </row>
    <row r="846" spans="49:49" ht="15" customHeight="1" x14ac:dyDescent="0.35">
      <c r="AW846" s="127">
        <v>566</v>
      </c>
    </row>
    <row r="847" spans="49:49" ht="15" customHeight="1" x14ac:dyDescent="0.35">
      <c r="AW847" s="127">
        <v>567</v>
      </c>
    </row>
    <row r="848" spans="49:49" ht="15" customHeight="1" x14ac:dyDescent="0.35">
      <c r="AW848" s="127">
        <v>568</v>
      </c>
    </row>
    <row r="849" spans="49:49" ht="15" customHeight="1" x14ac:dyDescent="0.35">
      <c r="AW849" s="127">
        <v>569</v>
      </c>
    </row>
    <row r="850" spans="49:49" ht="15" customHeight="1" x14ac:dyDescent="0.35">
      <c r="AW850" s="127">
        <v>570</v>
      </c>
    </row>
    <row r="851" spans="49:49" ht="15" customHeight="1" x14ac:dyDescent="0.35">
      <c r="AW851" s="127">
        <v>571</v>
      </c>
    </row>
    <row r="852" spans="49:49" ht="15" customHeight="1" x14ac:dyDescent="0.35">
      <c r="AW852" s="127">
        <v>572</v>
      </c>
    </row>
    <row r="853" spans="49:49" ht="15" customHeight="1" x14ac:dyDescent="0.35">
      <c r="AW853" s="127">
        <v>573</v>
      </c>
    </row>
    <row r="854" spans="49:49" ht="15" customHeight="1" x14ac:dyDescent="0.35">
      <c r="AW854" s="127">
        <v>574</v>
      </c>
    </row>
    <row r="855" spans="49:49" ht="15" customHeight="1" x14ac:dyDescent="0.35">
      <c r="AW855" s="127">
        <v>575</v>
      </c>
    </row>
    <row r="856" spans="49:49" ht="15" customHeight="1" x14ac:dyDescent="0.35">
      <c r="AW856" s="127">
        <v>576</v>
      </c>
    </row>
    <row r="857" spans="49:49" ht="15" customHeight="1" x14ac:dyDescent="0.35">
      <c r="AW857" s="127">
        <v>577</v>
      </c>
    </row>
    <row r="858" spans="49:49" ht="15" customHeight="1" x14ac:dyDescent="0.35">
      <c r="AW858" s="127">
        <v>578</v>
      </c>
    </row>
    <row r="859" spans="49:49" ht="15" customHeight="1" x14ac:dyDescent="0.35">
      <c r="AW859" s="127">
        <v>579</v>
      </c>
    </row>
    <row r="860" spans="49:49" ht="15" customHeight="1" x14ac:dyDescent="0.35">
      <c r="AW860" s="127">
        <v>580</v>
      </c>
    </row>
    <row r="861" spans="49:49" ht="15" customHeight="1" x14ac:dyDescent="0.35">
      <c r="AW861" s="127">
        <v>581</v>
      </c>
    </row>
    <row r="862" spans="49:49" ht="15" customHeight="1" x14ac:dyDescent="0.35">
      <c r="AW862" s="127">
        <v>582</v>
      </c>
    </row>
    <row r="863" spans="49:49" ht="15" customHeight="1" x14ac:dyDescent="0.35">
      <c r="AW863" s="127">
        <v>583</v>
      </c>
    </row>
    <row r="864" spans="49:49" ht="15" customHeight="1" x14ac:dyDescent="0.35">
      <c r="AW864" s="127">
        <v>584</v>
      </c>
    </row>
    <row r="865" spans="49:49" ht="15" customHeight="1" x14ac:dyDescent="0.35">
      <c r="AW865" s="127">
        <v>585</v>
      </c>
    </row>
    <row r="866" spans="49:49" ht="15" customHeight="1" x14ac:dyDescent="0.35">
      <c r="AW866" s="127">
        <v>586</v>
      </c>
    </row>
    <row r="867" spans="49:49" ht="15" customHeight="1" x14ac:dyDescent="0.35">
      <c r="AW867" s="127">
        <v>587</v>
      </c>
    </row>
    <row r="868" spans="49:49" ht="15" customHeight="1" x14ac:dyDescent="0.35">
      <c r="AW868" s="127">
        <v>588</v>
      </c>
    </row>
    <row r="869" spans="49:49" ht="15" customHeight="1" x14ac:dyDescent="0.35">
      <c r="AW869" s="127">
        <v>589</v>
      </c>
    </row>
    <row r="870" spans="49:49" ht="15" customHeight="1" x14ac:dyDescent="0.35">
      <c r="AW870" s="127">
        <v>590</v>
      </c>
    </row>
    <row r="871" spans="49:49" ht="15" customHeight="1" x14ac:dyDescent="0.35">
      <c r="AW871" s="127">
        <v>591</v>
      </c>
    </row>
    <row r="872" spans="49:49" ht="15" customHeight="1" x14ac:dyDescent="0.35">
      <c r="AW872" s="127">
        <v>592</v>
      </c>
    </row>
    <row r="873" spans="49:49" ht="15" customHeight="1" x14ac:dyDescent="0.35">
      <c r="AW873" s="127">
        <v>593</v>
      </c>
    </row>
    <row r="874" spans="49:49" ht="15" customHeight="1" x14ac:dyDescent="0.35">
      <c r="AW874" s="127">
        <v>594</v>
      </c>
    </row>
    <row r="875" spans="49:49" ht="15" customHeight="1" x14ac:dyDescent="0.35">
      <c r="AW875" s="127">
        <v>595</v>
      </c>
    </row>
    <row r="876" spans="49:49" ht="15" customHeight="1" x14ac:dyDescent="0.35">
      <c r="AW876" s="127">
        <v>596</v>
      </c>
    </row>
    <row r="877" spans="49:49" ht="15" customHeight="1" x14ac:dyDescent="0.35">
      <c r="AW877" s="127">
        <v>597</v>
      </c>
    </row>
    <row r="878" spans="49:49" ht="15" customHeight="1" x14ac:dyDescent="0.35">
      <c r="AW878" s="127">
        <v>598</v>
      </c>
    </row>
    <row r="879" spans="49:49" ht="15" customHeight="1" x14ac:dyDescent="0.35">
      <c r="AW879" s="127">
        <v>599</v>
      </c>
    </row>
    <row r="880" spans="49:49" ht="15" customHeight="1" x14ac:dyDescent="0.35">
      <c r="AW880" s="127">
        <v>600</v>
      </c>
    </row>
    <row r="881" spans="49:49" ht="15" customHeight="1" x14ac:dyDescent="0.35">
      <c r="AW881" s="127">
        <v>601</v>
      </c>
    </row>
    <row r="882" spans="49:49" ht="15" customHeight="1" x14ac:dyDescent="0.35">
      <c r="AW882" s="127">
        <v>602</v>
      </c>
    </row>
    <row r="883" spans="49:49" ht="15" customHeight="1" x14ac:dyDescent="0.35">
      <c r="AW883" s="127">
        <v>603</v>
      </c>
    </row>
    <row r="884" spans="49:49" ht="15" customHeight="1" x14ac:dyDescent="0.35">
      <c r="AW884" s="127">
        <v>604</v>
      </c>
    </row>
    <row r="885" spans="49:49" ht="15" customHeight="1" x14ac:dyDescent="0.35">
      <c r="AW885" s="127">
        <v>605</v>
      </c>
    </row>
    <row r="886" spans="49:49" ht="15" customHeight="1" x14ac:dyDescent="0.35">
      <c r="AW886" s="127">
        <v>606</v>
      </c>
    </row>
    <row r="887" spans="49:49" ht="15" customHeight="1" x14ac:dyDescent="0.35">
      <c r="AW887" s="127">
        <v>607</v>
      </c>
    </row>
    <row r="888" spans="49:49" ht="15" customHeight="1" x14ac:dyDescent="0.35">
      <c r="AW888" s="127">
        <v>608</v>
      </c>
    </row>
    <row r="889" spans="49:49" ht="15" customHeight="1" x14ac:dyDescent="0.35">
      <c r="AW889" s="127">
        <v>609</v>
      </c>
    </row>
    <row r="890" spans="49:49" ht="15" customHeight="1" x14ac:dyDescent="0.35">
      <c r="AW890" s="127">
        <v>610</v>
      </c>
    </row>
    <row r="891" spans="49:49" ht="15" customHeight="1" x14ac:dyDescent="0.35">
      <c r="AW891" s="127">
        <v>611</v>
      </c>
    </row>
    <row r="892" spans="49:49" ht="15" customHeight="1" x14ac:dyDescent="0.35">
      <c r="AW892" s="127">
        <v>612</v>
      </c>
    </row>
    <row r="893" spans="49:49" ht="15" customHeight="1" x14ac:dyDescent="0.35">
      <c r="AW893" s="127">
        <v>613</v>
      </c>
    </row>
    <row r="894" spans="49:49" ht="15" customHeight="1" x14ac:dyDescent="0.35">
      <c r="AW894" s="127">
        <v>614</v>
      </c>
    </row>
    <row r="895" spans="49:49" ht="15" customHeight="1" x14ac:dyDescent="0.35">
      <c r="AW895" s="127">
        <v>615</v>
      </c>
    </row>
    <row r="896" spans="49:49" ht="15" customHeight="1" x14ac:dyDescent="0.35">
      <c r="AW896" s="127">
        <v>616</v>
      </c>
    </row>
    <row r="897" spans="49:49" ht="15" customHeight="1" x14ac:dyDescent="0.35">
      <c r="AW897" s="127">
        <v>617</v>
      </c>
    </row>
    <row r="898" spans="49:49" ht="15" customHeight="1" x14ac:dyDescent="0.35">
      <c r="AW898" s="127">
        <v>618</v>
      </c>
    </row>
    <row r="899" spans="49:49" ht="15" customHeight="1" x14ac:dyDescent="0.35">
      <c r="AW899" s="127">
        <v>619</v>
      </c>
    </row>
    <row r="900" spans="49:49" ht="15" customHeight="1" x14ac:dyDescent="0.35">
      <c r="AW900" s="127">
        <v>620</v>
      </c>
    </row>
    <row r="901" spans="49:49" ht="15" customHeight="1" x14ac:dyDescent="0.35">
      <c r="AW901" s="127">
        <v>621</v>
      </c>
    </row>
    <row r="902" spans="49:49" ht="15" customHeight="1" x14ac:dyDescent="0.35">
      <c r="AW902" s="127">
        <v>622</v>
      </c>
    </row>
    <row r="903" spans="49:49" ht="15" customHeight="1" x14ac:dyDescent="0.35">
      <c r="AW903" s="127">
        <v>623</v>
      </c>
    </row>
    <row r="904" spans="49:49" ht="15" customHeight="1" x14ac:dyDescent="0.35">
      <c r="AW904" s="127">
        <v>624</v>
      </c>
    </row>
    <row r="905" spans="49:49" ht="15" customHeight="1" x14ac:dyDescent="0.35">
      <c r="AW905" s="127">
        <v>625</v>
      </c>
    </row>
    <row r="906" spans="49:49" ht="15" customHeight="1" x14ac:dyDescent="0.35">
      <c r="AW906" s="127">
        <v>626</v>
      </c>
    </row>
    <row r="907" spans="49:49" ht="15" customHeight="1" x14ac:dyDescent="0.35">
      <c r="AW907" s="127">
        <v>627</v>
      </c>
    </row>
    <row r="908" spans="49:49" ht="15" customHeight="1" x14ac:dyDescent="0.35">
      <c r="AW908" s="127">
        <v>628</v>
      </c>
    </row>
    <row r="909" spans="49:49" ht="15" customHeight="1" x14ac:dyDescent="0.35">
      <c r="AW909" s="127">
        <v>629</v>
      </c>
    </row>
    <row r="910" spans="49:49" ht="15" customHeight="1" x14ac:dyDescent="0.35">
      <c r="AW910" s="127">
        <v>630</v>
      </c>
    </row>
    <row r="911" spans="49:49" ht="15" customHeight="1" x14ac:dyDescent="0.35">
      <c r="AW911" s="127">
        <v>631</v>
      </c>
    </row>
    <row r="912" spans="49:49" ht="15" customHeight="1" x14ac:dyDescent="0.35">
      <c r="AW912" s="127">
        <v>632</v>
      </c>
    </row>
    <row r="913" spans="49:49" ht="15" customHeight="1" x14ac:dyDescent="0.35">
      <c r="AW913" s="127">
        <v>633</v>
      </c>
    </row>
    <row r="914" spans="49:49" ht="15" customHeight="1" x14ac:dyDescent="0.35">
      <c r="AW914" s="127">
        <v>634</v>
      </c>
    </row>
    <row r="915" spans="49:49" ht="15" customHeight="1" x14ac:dyDescent="0.35">
      <c r="AW915" s="127">
        <v>635</v>
      </c>
    </row>
    <row r="916" spans="49:49" ht="15" customHeight="1" x14ac:dyDescent="0.35">
      <c r="AW916" s="127">
        <v>636</v>
      </c>
    </row>
    <row r="917" spans="49:49" ht="15" customHeight="1" x14ac:dyDescent="0.35">
      <c r="AW917" s="127">
        <v>637</v>
      </c>
    </row>
    <row r="918" spans="49:49" ht="15" customHeight="1" x14ac:dyDescent="0.35">
      <c r="AW918" s="127">
        <v>638</v>
      </c>
    </row>
    <row r="919" spans="49:49" ht="15" customHeight="1" x14ac:dyDescent="0.35">
      <c r="AW919" s="127">
        <v>639</v>
      </c>
    </row>
    <row r="920" spans="49:49" ht="15" customHeight="1" x14ac:dyDescent="0.35">
      <c r="AW920" s="127">
        <v>640</v>
      </c>
    </row>
    <row r="921" spans="49:49" ht="15" customHeight="1" x14ac:dyDescent="0.35">
      <c r="AW921" s="127">
        <v>641</v>
      </c>
    </row>
    <row r="922" spans="49:49" ht="15" customHeight="1" x14ac:dyDescent="0.35">
      <c r="AW922" s="127">
        <v>642</v>
      </c>
    </row>
    <row r="923" spans="49:49" ht="15" customHeight="1" x14ac:dyDescent="0.35">
      <c r="AW923" s="127">
        <v>643</v>
      </c>
    </row>
    <row r="924" spans="49:49" ht="15" customHeight="1" x14ac:dyDescent="0.35">
      <c r="AW924" s="127">
        <v>644</v>
      </c>
    </row>
    <row r="925" spans="49:49" ht="15" customHeight="1" x14ac:dyDescent="0.35">
      <c r="AW925" s="127">
        <v>645</v>
      </c>
    </row>
    <row r="926" spans="49:49" ht="15" customHeight="1" x14ac:dyDescent="0.35">
      <c r="AW926" s="127">
        <v>646</v>
      </c>
    </row>
    <row r="927" spans="49:49" ht="15" customHeight="1" x14ac:dyDescent="0.35">
      <c r="AW927" s="127">
        <v>647</v>
      </c>
    </row>
    <row r="928" spans="49:49" ht="15" customHeight="1" x14ac:dyDescent="0.35">
      <c r="AW928" s="127">
        <v>648</v>
      </c>
    </row>
    <row r="929" spans="49:49" ht="15" customHeight="1" x14ac:dyDescent="0.35">
      <c r="AW929" s="127">
        <v>649</v>
      </c>
    </row>
    <row r="930" spans="49:49" ht="15" customHeight="1" x14ac:dyDescent="0.35">
      <c r="AW930" s="127">
        <v>650</v>
      </c>
    </row>
    <row r="931" spans="49:49" ht="15" customHeight="1" x14ac:dyDescent="0.35">
      <c r="AW931" s="127">
        <v>651</v>
      </c>
    </row>
    <row r="932" spans="49:49" ht="15" customHeight="1" x14ac:dyDescent="0.35">
      <c r="AW932" s="127">
        <v>652</v>
      </c>
    </row>
    <row r="933" spans="49:49" ht="15" customHeight="1" x14ac:dyDescent="0.35">
      <c r="AW933" s="127">
        <v>653</v>
      </c>
    </row>
    <row r="934" spans="49:49" ht="15" customHeight="1" x14ac:dyDescent="0.35">
      <c r="AW934" s="127">
        <v>654</v>
      </c>
    </row>
    <row r="935" spans="49:49" ht="15" customHeight="1" x14ac:dyDescent="0.35">
      <c r="AW935" s="127">
        <v>655</v>
      </c>
    </row>
    <row r="936" spans="49:49" ht="15" customHeight="1" x14ac:dyDescent="0.35">
      <c r="AW936" s="127">
        <v>656</v>
      </c>
    </row>
    <row r="937" spans="49:49" ht="15" customHeight="1" x14ac:dyDescent="0.35">
      <c r="AW937" s="127">
        <v>657</v>
      </c>
    </row>
    <row r="938" spans="49:49" ht="15" customHeight="1" x14ac:dyDescent="0.35">
      <c r="AW938" s="127">
        <v>658</v>
      </c>
    </row>
    <row r="939" spans="49:49" ht="15" customHeight="1" x14ac:dyDescent="0.35">
      <c r="AW939" s="127">
        <v>659</v>
      </c>
    </row>
    <row r="940" spans="49:49" ht="15" customHeight="1" x14ac:dyDescent="0.35">
      <c r="AW940" s="127">
        <v>660</v>
      </c>
    </row>
    <row r="941" spans="49:49" ht="15" customHeight="1" x14ac:dyDescent="0.35">
      <c r="AW941" s="127">
        <v>661</v>
      </c>
    </row>
    <row r="942" spans="49:49" ht="15" customHeight="1" x14ac:dyDescent="0.35">
      <c r="AW942" s="127">
        <v>662</v>
      </c>
    </row>
    <row r="943" spans="49:49" ht="15" customHeight="1" x14ac:dyDescent="0.35">
      <c r="AW943" s="127">
        <v>663</v>
      </c>
    </row>
    <row r="944" spans="49:49" ht="15" customHeight="1" x14ac:dyDescent="0.35">
      <c r="AW944" s="127">
        <v>664</v>
      </c>
    </row>
    <row r="945" spans="49:49" ht="15" customHeight="1" x14ac:dyDescent="0.35">
      <c r="AW945" s="127">
        <v>665</v>
      </c>
    </row>
    <row r="946" spans="49:49" ht="15" customHeight="1" x14ac:dyDescent="0.35">
      <c r="AW946" s="127">
        <v>666</v>
      </c>
    </row>
    <row r="947" spans="49:49" ht="15" customHeight="1" x14ac:dyDescent="0.35">
      <c r="AW947" s="127">
        <v>667</v>
      </c>
    </row>
    <row r="948" spans="49:49" ht="15" customHeight="1" x14ac:dyDescent="0.35">
      <c r="AW948" s="127">
        <v>668</v>
      </c>
    </row>
    <row r="949" spans="49:49" ht="15" customHeight="1" x14ac:dyDescent="0.35">
      <c r="AW949" s="127">
        <v>669</v>
      </c>
    </row>
    <row r="950" spans="49:49" ht="15" customHeight="1" x14ac:dyDescent="0.35">
      <c r="AW950" s="127">
        <v>670</v>
      </c>
    </row>
    <row r="951" spans="49:49" ht="15" customHeight="1" x14ac:dyDescent="0.35">
      <c r="AW951" s="127">
        <v>671</v>
      </c>
    </row>
    <row r="952" spans="49:49" ht="15" customHeight="1" x14ac:dyDescent="0.35">
      <c r="AW952" s="127">
        <v>672</v>
      </c>
    </row>
    <row r="953" spans="49:49" ht="15" customHeight="1" x14ac:dyDescent="0.35">
      <c r="AW953" s="127">
        <v>673</v>
      </c>
    </row>
    <row r="954" spans="49:49" ht="15" customHeight="1" x14ac:dyDescent="0.35">
      <c r="AW954" s="127">
        <v>674</v>
      </c>
    </row>
    <row r="955" spans="49:49" ht="15" customHeight="1" x14ac:dyDescent="0.35">
      <c r="AW955" s="127">
        <v>675</v>
      </c>
    </row>
    <row r="956" spans="49:49" ht="15" customHeight="1" x14ac:dyDescent="0.35">
      <c r="AW956" s="127">
        <v>676</v>
      </c>
    </row>
    <row r="957" spans="49:49" ht="15" customHeight="1" x14ac:dyDescent="0.35">
      <c r="AW957" s="127">
        <v>677</v>
      </c>
    </row>
    <row r="958" spans="49:49" ht="15" customHeight="1" x14ac:dyDescent="0.35">
      <c r="AW958" s="127">
        <v>678</v>
      </c>
    </row>
    <row r="959" spans="49:49" ht="15" customHeight="1" x14ac:dyDescent="0.35">
      <c r="AW959" s="127">
        <v>679</v>
      </c>
    </row>
    <row r="960" spans="49:49" ht="15" customHeight="1" x14ac:dyDescent="0.35">
      <c r="AW960" s="127">
        <v>680</v>
      </c>
    </row>
    <row r="961" spans="49:49" ht="15" customHeight="1" x14ac:dyDescent="0.35">
      <c r="AW961" s="127">
        <v>681</v>
      </c>
    </row>
    <row r="962" spans="49:49" ht="15" customHeight="1" x14ac:dyDescent="0.35">
      <c r="AW962" s="127">
        <v>682</v>
      </c>
    </row>
    <row r="963" spans="49:49" ht="15" customHeight="1" x14ac:dyDescent="0.35">
      <c r="AW963" s="127">
        <v>683</v>
      </c>
    </row>
    <row r="964" spans="49:49" ht="15" customHeight="1" x14ac:dyDescent="0.35">
      <c r="AW964" s="127">
        <v>684</v>
      </c>
    </row>
    <row r="965" spans="49:49" ht="15" customHeight="1" x14ac:dyDescent="0.35">
      <c r="AW965" s="127">
        <v>685</v>
      </c>
    </row>
    <row r="966" spans="49:49" ht="15" customHeight="1" x14ac:dyDescent="0.35">
      <c r="AW966" s="127">
        <v>686</v>
      </c>
    </row>
    <row r="967" spans="49:49" ht="15" customHeight="1" x14ac:dyDescent="0.35">
      <c r="AW967" s="127">
        <v>687</v>
      </c>
    </row>
    <row r="968" spans="49:49" ht="15" customHeight="1" x14ac:dyDescent="0.35">
      <c r="AW968" s="127">
        <v>688</v>
      </c>
    </row>
    <row r="969" spans="49:49" ht="15" customHeight="1" x14ac:dyDescent="0.35">
      <c r="AW969" s="127">
        <v>689</v>
      </c>
    </row>
    <row r="970" spans="49:49" ht="15" customHeight="1" x14ac:dyDescent="0.35">
      <c r="AW970" s="127">
        <v>690</v>
      </c>
    </row>
    <row r="971" spans="49:49" ht="15" customHeight="1" x14ac:dyDescent="0.35">
      <c r="AW971" s="127">
        <v>691</v>
      </c>
    </row>
    <row r="972" spans="49:49" ht="15" customHeight="1" x14ac:dyDescent="0.35">
      <c r="AW972" s="127">
        <v>692</v>
      </c>
    </row>
    <row r="973" spans="49:49" ht="15" customHeight="1" x14ac:dyDescent="0.35">
      <c r="AW973" s="127">
        <v>693</v>
      </c>
    </row>
    <row r="974" spans="49:49" ht="15" customHeight="1" x14ac:dyDescent="0.35">
      <c r="AW974" s="127">
        <v>694</v>
      </c>
    </row>
    <row r="975" spans="49:49" ht="15" customHeight="1" x14ac:dyDescent="0.35">
      <c r="AW975" s="127">
        <v>695</v>
      </c>
    </row>
    <row r="976" spans="49:49" ht="15" customHeight="1" x14ac:dyDescent="0.35">
      <c r="AW976" s="127">
        <v>696</v>
      </c>
    </row>
    <row r="977" spans="49:49" ht="15" customHeight="1" x14ac:dyDescent="0.35">
      <c r="AW977" s="127">
        <v>697</v>
      </c>
    </row>
    <row r="978" spans="49:49" ht="15" customHeight="1" x14ac:dyDescent="0.35">
      <c r="AW978" s="127">
        <v>698</v>
      </c>
    </row>
    <row r="979" spans="49:49" ht="15" customHeight="1" x14ac:dyDescent="0.35">
      <c r="AW979" s="127">
        <v>699</v>
      </c>
    </row>
    <row r="980" spans="49:49" ht="15" customHeight="1" x14ac:dyDescent="0.35">
      <c r="AW980" s="127">
        <v>700</v>
      </c>
    </row>
    <row r="981" spans="49:49" ht="15" customHeight="1" x14ac:dyDescent="0.35">
      <c r="AW981" s="127">
        <v>701</v>
      </c>
    </row>
    <row r="982" spans="49:49" ht="15" customHeight="1" x14ac:dyDescent="0.35">
      <c r="AW982" s="127">
        <v>702</v>
      </c>
    </row>
    <row r="983" spans="49:49" ht="15" customHeight="1" x14ac:dyDescent="0.35">
      <c r="AW983" s="127">
        <v>703</v>
      </c>
    </row>
    <row r="984" spans="49:49" ht="15" customHeight="1" x14ac:dyDescent="0.35">
      <c r="AW984" s="127">
        <v>704</v>
      </c>
    </row>
    <row r="985" spans="49:49" ht="15" customHeight="1" x14ac:dyDescent="0.35">
      <c r="AW985" s="127">
        <v>705</v>
      </c>
    </row>
    <row r="986" spans="49:49" ht="15" customHeight="1" x14ac:dyDescent="0.35">
      <c r="AW986" s="127">
        <v>706</v>
      </c>
    </row>
    <row r="987" spans="49:49" ht="15" customHeight="1" x14ac:dyDescent="0.35">
      <c r="AW987" s="127">
        <v>707</v>
      </c>
    </row>
    <row r="988" spans="49:49" ht="15" customHeight="1" x14ac:dyDescent="0.35">
      <c r="AW988" s="127">
        <v>708</v>
      </c>
    </row>
    <row r="989" spans="49:49" ht="15" customHeight="1" x14ac:dyDescent="0.35">
      <c r="AW989" s="127">
        <v>709</v>
      </c>
    </row>
    <row r="990" spans="49:49" ht="15" customHeight="1" x14ac:dyDescent="0.35">
      <c r="AW990" s="127">
        <v>710</v>
      </c>
    </row>
    <row r="991" spans="49:49" ht="15" customHeight="1" x14ac:dyDescent="0.35">
      <c r="AW991" s="127">
        <v>711</v>
      </c>
    </row>
    <row r="992" spans="49:49" ht="15" customHeight="1" x14ac:dyDescent="0.35">
      <c r="AW992" s="127">
        <v>712</v>
      </c>
    </row>
    <row r="993" spans="49:49" ht="15" customHeight="1" x14ac:dyDescent="0.35">
      <c r="AW993" s="127">
        <v>713</v>
      </c>
    </row>
    <row r="994" spans="49:49" ht="15" customHeight="1" x14ac:dyDescent="0.35">
      <c r="AW994" s="127">
        <v>714</v>
      </c>
    </row>
    <row r="995" spans="49:49" ht="15" customHeight="1" x14ac:dyDescent="0.35">
      <c r="AW995" s="127">
        <v>715</v>
      </c>
    </row>
    <row r="996" spans="49:49" ht="15" customHeight="1" x14ac:dyDescent="0.35">
      <c r="AW996" s="127">
        <v>716</v>
      </c>
    </row>
    <row r="997" spans="49:49" ht="15" customHeight="1" x14ac:dyDescent="0.35">
      <c r="AW997" s="127">
        <v>717</v>
      </c>
    </row>
    <row r="998" spans="49:49" ht="15" customHeight="1" x14ac:dyDescent="0.35">
      <c r="AW998" s="127">
        <v>718</v>
      </c>
    </row>
    <row r="999" spans="49:49" ht="15" customHeight="1" x14ac:dyDescent="0.35">
      <c r="AW999" s="127">
        <v>719</v>
      </c>
    </row>
    <row r="1000" spans="49:49" ht="15" customHeight="1" x14ac:dyDescent="0.35">
      <c r="AW1000" s="127">
        <v>720</v>
      </c>
    </row>
    <row r="1001" spans="49:49" ht="15" customHeight="1" x14ac:dyDescent="0.35">
      <c r="AW1001" s="127">
        <v>721</v>
      </c>
    </row>
    <row r="1002" spans="49:49" ht="15" customHeight="1" x14ac:dyDescent="0.35">
      <c r="AW1002" s="127">
        <v>722</v>
      </c>
    </row>
    <row r="1003" spans="49:49" ht="15" customHeight="1" x14ac:dyDescent="0.35">
      <c r="AW1003" s="127">
        <v>723</v>
      </c>
    </row>
    <row r="1004" spans="49:49" ht="15" customHeight="1" x14ac:dyDescent="0.35">
      <c r="AW1004" s="127">
        <v>724</v>
      </c>
    </row>
    <row r="1005" spans="49:49" ht="15" customHeight="1" x14ac:dyDescent="0.35">
      <c r="AW1005" s="127">
        <v>725</v>
      </c>
    </row>
    <row r="1006" spans="49:49" ht="15" customHeight="1" x14ac:dyDescent="0.35">
      <c r="AW1006" s="127">
        <v>726</v>
      </c>
    </row>
    <row r="1007" spans="49:49" ht="15" customHeight="1" x14ac:dyDescent="0.35">
      <c r="AW1007" s="127">
        <v>727</v>
      </c>
    </row>
    <row r="1008" spans="49:49" ht="15" customHeight="1" x14ac:dyDescent="0.35">
      <c r="AW1008" s="127">
        <v>728</v>
      </c>
    </row>
    <row r="1009" spans="49:49" ht="15" customHeight="1" x14ac:dyDescent="0.35">
      <c r="AW1009" s="127">
        <v>729</v>
      </c>
    </row>
    <row r="1010" spans="49:49" ht="15" customHeight="1" x14ac:dyDescent="0.35">
      <c r="AW1010" s="127">
        <v>730</v>
      </c>
    </row>
    <row r="1011" spans="49:49" ht="15" customHeight="1" x14ac:dyDescent="0.35">
      <c r="AW1011" s="127">
        <v>731</v>
      </c>
    </row>
    <row r="1012" spans="49:49" ht="15" customHeight="1" x14ac:dyDescent="0.35">
      <c r="AW1012" s="127">
        <v>732</v>
      </c>
    </row>
    <row r="1013" spans="49:49" ht="15" customHeight="1" x14ac:dyDescent="0.35">
      <c r="AW1013" s="127">
        <v>733</v>
      </c>
    </row>
    <row r="1014" spans="49:49" ht="15" customHeight="1" x14ac:dyDescent="0.35">
      <c r="AW1014" s="127">
        <v>734</v>
      </c>
    </row>
    <row r="1015" spans="49:49" ht="15" customHeight="1" x14ac:dyDescent="0.35">
      <c r="AW1015" s="127">
        <v>735</v>
      </c>
    </row>
    <row r="1016" spans="49:49" ht="15" customHeight="1" x14ac:dyDescent="0.35">
      <c r="AW1016" s="127">
        <v>736</v>
      </c>
    </row>
    <row r="1017" spans="49:49" ht="15" customHeight="1" x14ac:dyDescent="0.35">
      <c r="AW1017" s="127">
        <v>737</v>
      </c>
    </row>
    <row r="1018" spans="49:49" ht="15" customHeight="1" x14ac:dyDescent="0.35">
      <c r="AW1018" s="127">
        <v>738</v>
      </c>
    </row>
    <row r="1019" spans="49:49" ht="15" customHeight="1" x14ac:dyDescent="0.35">
      <c r="AW1019" s="127">
        <v>739</v>
      </c>
    </row>
    <row r="1020" spans="49:49" ht="15" customHeight="1" x14ac:dyDescent="0.35">
      <c r="AW1020" s="127">
        <v>740</v>
      </c>
    </row>
    <row r="1021" spans="49:49" ht="15" customHeight="1" x14ac:dyDescent="0.35">
      <c r="AW1021" s="127">
        <v>741</v>
      </c>
    </row>
    <row r="1022" spans="49:49" ht="15" customHeight="1" x14ac:dyDescent="0.35">
      <c r="AW1022" s="127">
        <v>742</v>
      </c>
    </row>
    <row r="1023" spans="49:49" ht="15" customHeight="1" x14ac:dyDescent="0.35">
      <c r="AW1023" s="127">
        <v>743</v>
      </c>
    </row>
    <row r="1024" spans="49:49" ht="15" customHeight="1" x14ac:dyDescent="0.35">
      <c r="AW1024" s="127">
        <v>744</v>
      </c>
    </row>
    <row r="1025" spans="49:49" ht="15" customHeight="1" x14ac:dyDescent="0.35">
      <c r="AW1025" s="127">
        <v>745</v>
      </c>
    </row>
    <row r="1026" spans="49:49" ht="15" customHeight="1" x14ac:dyDescent="0.35">
      <c r="AW1026" s="127">
        <v>746</v>
      </c>
    </row>
    <row r="1027" spans="49:49" ht="15" customHeight="1" x14ac:dyDescent="0.35">
      <c r="AW1027" s="127">
        <v>747</v>
      </c>
    </row>
    <row r="1028" spans="49:49" ht="15" customHeight="1" x14ac:dyDescent="0.35">
      <c r="AW1028" s="127">
        <v>748</v>
      </c>
    </row>
    <row r="1029" spans="49:49" ht="15" customHeight="1" x14ac:dyDescent="0.35">
      <c r="AW1029" s="127">
        <v>749</v>
      </c>
    </row>
    <row r="1030" spans="49:49" ht="15" customHeight="1" x14ac:dyDescent="0.35">
      <c r="AW1030" s="127">
        <v>750</v>
      </c>
    </row>
    <row r="1031" spans="49:49" ht="15" customHeight="1" x14ac:dyDescent="0.35">
      <c r="AW1031" s="127">
        <v>751</v>
      </c>
    </row>
    <row r="1032" spans="49:49" ht="15" customHeight="1" x14ac:dyDescent="0.35">
      <c r="AW1032" s="127">
        <v>752</v>
      </c>
    </row>
    <row r="1033" spans="49:49" ht="15" customHeight="1" x14ac:dyDescent="0.35">
      <c r="AW1033" s="127">
        <v>753</v>
      </c>
    </row>
    <row r="1034" spans="49:49" ht="15" customHeight="1" x14ac:dyDescent="0.35">
      <c r="AW1034" s="127">
        <v>754</v>
      </c>
    </row>
    <row r="1035" spans="49:49" ht="15" customHeight="1" x14ac:dyDescent="0.35">
      <c r="AW1035" s="127">
        <v>755</v>
      </c>
    </row>
    <row r="1036" spans="49:49" ht="15" customHeight="1" x14ac:dyDescent="0.35">
      <c r="AW1036" s="127">
        <v>756</v>
      </c>
    </row>
    <row r="1037" spans="49:49" ht="15" customHeight="1" x14ac:dyDescent="0.35">
      <c r="AW1037" s="127">
        <v>757</v>
      </c>
    </row>
    <row r="1038" spans="49:49" ht="15" customHeight="1" x14ac:dyDescent="0.35">
      <c r="AW1038" s="127">
        <v>758</v>
      </c>
    </row>
    <row r="1039" spans="49:49" ht="15" customHeight="1" x14ac:dyDescent="0.35">
      <c r="AW1039" s="127">
        <v>759</v>
      </c>
    </row>
    <row r="1040" spans="49:49" ht="15" customHeight="1" x14ac:dyDescent="0.35">
      <c r="AW1040" s="127">
        <v>760</v>
      </c>
    </row>
    <row r="1041" spans="49:49" ht="15" customHeight="1" x14ac:dyDescent="0.35">
      <c r="AW1041" s="127">
        <v>761</v>
      </c>
    </row>
    <row r="1042" spans="49:49" ht="15" customHeight="1" x14ac:dyDescent="0.35">
      <c r="AW1042" s="127">
        <v>762</v>
      </c>
    </row>
    <row r="1043" spans="49:49" ht="15" customHeight="1" x14ac:dyDescent="0.35">
      <c r="AW1043" s="127">
        <v>763</v>
      </c>
    </row>
    <row r="1044" spans="49:49" ht="15" customHeight="1" x14ac:dyDescent="0.35">
      <c r="AW1044" s="127">
        <v>764</v>
      </c>
    </row>
    <row r="1045" spans="49:49" ht="15" customHeight="1" x14ac:dyDescent="0.35">
      <c r="AW1045" s="127">
        <v>765</v>
      </c>
    </row>
    <row r="1046" spans="49:49" ht="15" customHeight="1" x14ac:dyDescent="0.35">
      <c r="AW1046" s="127">
        <v>766</v>
      </c>
    </row>
    <row r="1047" spans="49:49" ht="15" customHeight="1" x14ac:dyDescent="0.35">
      <c r="AW1047" s="127">
        <v>767</v>
      </c>
    </row>
    <row r="1048" spans="49:49" ht="15" customHeight="1" x14ac:dyDescent="0.35">
      <c r="AW1048" s="127">
        <v>768</v>
      </c>
    </row>
    <row r="1049" spans="49:49" ht="15" customHeight="1" x14ac:dyDescent="0.35">
      <c r="AW1049" s="127">
        <v>769</v>
      </c>
    </row>
    <row r="1050" spans="49:49" ht="15" customHeight="1" x14ac:dyDescent="0.35">
      <c r="AW1050" s="127">
        <v>770</v>
      </c>
    </row>
    <row r="1051" spans="49:49" ht="15" customHeight="1" x14ac:dyDescent="0.35">
      <c r="AW1051" s="127">
        <v>771</v>
      </c>
    </row>
    <row r="1052" spans="49:49" ht="15" customHeight="1" x14ac:dyDescent="0.35">
      <c r="AW1052" s="127">
        <v>772</v>
      </c>
    </row>
    <row r="1053" spans="49:49" ht="15" customHeight="1" x14ac:dyDescent="0.35">
      <c r="AW1053" s="127">
        <v>773</v>
      </c>
    </row>
    <row r="1054" spans="49:49" ht="15" customHeight="1" x14ac:dyDescent="0.35">
      <c r="AW1054" s="127">
        <v>774</v>
      </c>
    </row>
    <row r="1055" spans="49:49" ht="15" customHeight="1" x14ac:dyDescent="0.35">
      <c r="AW1055" s="127">
        <v>775</v>
      </c>
    </row>
    <row r="1056" spans="49:49" ht="15" customHeight="1" x14ac:dyDescent="0.35">
      <c r="AW1056" s="127">
        <v>776</v>
      </c>
    </row>
    <row r="1057" spans="49:49" ht="15" customHeight="1" x14ac:dyDescent="0.35">
      <c r="AW1057" s="127">
        <v>777</v>
      </c>
    </row>
    <row r="1058" spans="49:49" ht="15" customHeight="1" x14ac:dyDescent="0.35">
      <c r="AW1058" s="127">
        <v>778</v>
      </c>
    </row>
    <row r="1059" spans="49:49" ht="15" customHeight="1" x14ac:dyDescent="0.35">
      <c r="AW1059" s="127">
        <v>779</v>
      </c>
    </row>
    <row r="1060" spans="49:49" ht="15" customHeight="1" x14ac:dyDescent="0.35">
      <c r="AW1060" s="127">
        <v>780</v>
      </c>
    </row>
    <row r="1061" spans="49:49" ht="15" customHeight="1" x14ac:dyDescent="0.35">
      <c r="AW1061" s="127">
        <v>781</v>
      </c>
    </row>
    <row r="1062" spans="49:49" ht="15" customHeight="1" x14ac:dyDescent="0.35">
      <c r="AW1062" s="127">
        <v>782</v>
      </c>
    </row>
    <row r="1063" spans="49:49" ht="15" customHeight="1" x14ac:dyDescent="0.35">
      <c r="AW1063" s="127">
        <v>783</v>
      </c>
    </row>
    <row r="1064" spans="49:49" ht="15" customHeight="1" x14ac:dyDescent="0.35">
      <c r="AW1064" s="127">
        <v>784</v>
      </c>
    </row>
    <row r="1065" spans="49:49" ht="15" customHeight="1" x14ac:dyDescent="0.35">
      <c r="AW1065" s="127">
        <v>785</v>
      </c>
    </row>
    <row r="1066" spans="49:49" ht="15" customHeight="1" x14ac:dyDescent="0.35">
      <c r="AW1066" s="127">
        <v>786</v>
      </c>
    </row>
    <row r="1067" spans="49:49" ht="15" customHeight="1" x14ac:dyDescent="0.35">
      <c r="AW1067" s="127">
        <v>787</v>
      </c>
    </row>
    <row r="1068" spans="49:49" ht="15" customHeight="1" x14ac:dyDescent="0.35">
      <c r="AW1068" s="127">
        <v>788</v>
      </c>
    </row>
    <row r="1069" spans="49:49" ht="15" customHeight="1" x14ac:dyDescent="0.35">
      <c r="AW1069" s="127">
        <v>789</v>
      </c>
    </row>
    <row r="1070" spans="49:49" ht="15" customHeight="1" x14ac:dyDescent="0.35">
      <c r="AW1070" s="127">
        <v>790</v>
      </c>
    </row>
    <row r="1071" spans="49:49" ht="15" customHeight="1" x14ac:dyDescent="0.35">
      <c r="AW1071" s="127">
        <v>791</v>
      </c>
    </row>
    <row r="1072" spans="49:49" ht="15" customHeight="1" x14ac:dyDescent="0.35">
      <c r="AW1072" s="127">
        <v>792</v>
      </c>
    </row>
    <row r="1073" spans="49:49" ht="15" customHeight="1" x14ac:dyDescent="0.35">
      <c r="AW1073" s="127">
        <v>793</v>
      </c>
    </row>
    <row r="1074" spans="49:49" ht="15" customHeight="1" x14ac:dyDescent="0.35">
      <c r="AW1074" s="127">
        <v>794</v>
      </c>
    </row>
    <row r="1075" spans="49:49" ht="15" customHeight="1" x14ac:dyDescent="0.35">
      <c r="AW1075" s="127">
        <v>795</v>
      </c>
    </row>
    <row r="1076" spans="49:49" ht="15" customHeight="1" x14ac:dyDescent="0.35">
      <c r="AW1076" s="127">
        <v>796</v>
      </c>
    </row>
    <row r="1077" spans="49:49" ht="15" customHeight="1" x14ac:dyDescent="0.35">
      <c r="AW1077" s="127">
        <v>797</v>
      </c>
    </row>
    <row r="1078" spans="49:49" ht="15" customHeight="1" x14ac:dyDescent="0.35">
      <c r="AW1078" s="127">
        <v>798</v>
      </c>
    </row>
    <row r="1079" spans="49:49" ht="15" customHeight="1" x14ac:dyDescent="0.35">
      <c r="AW1079" s="127">
        <v>799</v>
      </c>
    </row>
    <row r="1080" spans="49:49" ht="15" customHeight="1" x14ac:dyDescent="0.35">
      <c r="AW1080" s="127">
        <v>800</v>
      </c>
    </row>
    <row r="1081" spans="49:49" ht="15" customHeight="1" x14ac:dyDescent="0.35">
      <c r="AW1081" s="127">
        <v>801</v>
      </c>
    </row>
    <row r="1082" spans="49:49" ht="15" customHeight="1" x14ac:dyDescent="0.35">
      <c r="AW1082" s="127">
        <v>802</v>
      </c>
    </row>
    <row r="1083" spans="49:49" ht="15" customHeight="1" x14ac:dyDescent="0.35">
      <c r="AW1083" s="127">
        <v>803</v>
      </c>
    </row>
    <row r="1084" spans="49:49" ht="15" customHeight="1" x14ac:dyDescent="0.35">
      <c r="AW1084" s="127">
        <v>804</v>
      </c>
    </row>
    <row r="1085" spans="49:49" ht="15" customHeight="1" x14ac:dyDescent="0.35">
      <c r="AW1085" s="127">
        <v>805</v>
      </c>
    </row>
    <row r="1086" spans="49:49" ht="15" customHeight="1" x14ac:dyDescent="0.35">
      <c r="AW1086" s="127">
        <v>806</v>
      </c>
    </row>
    <row r="1087" spans="49:49" ht="15" customHeight="1" x14ac:dyDescent="0.35">
      <c r="AW1087" s="127">
        <v>807</v>
      </c>
    </row>
    <row r="1088" spans="49:49" ht="15" customHeight="1" x14ac:dyDescent="0.35">
      <c r="AW1088" s="127">
        <v>808</v>
      </c>
    </row>
    <row r="1089" spans="49:49" ht="15" customHeight="1" x14ac:dyDescent="0.35">
      <c r="AW1089" s="127">
        <v>809</v>
      </c>
    </row>
    <row r="1090" spans="49:49" ht="15" customHeight="1" x14ac:dyDescent="0.35">
      <c r="AW1090" s="127">
        <v>810</v>
      </c>
    </row>
    <row r="1091" spans="49:49" ht="15" customHeight="1" x14ac:dyDescent="0.35">
      <c r="AW1091" s="127">
        <v>811</v>
      </c>
    </row>
    <row r="1092" spans="49:49" ht="15" customHeight="1" x14ac:dyDescent="0.35">
      <c r="AW1092" s="127">
        <v>812</v>
      </c>
    </row>
    <row r="1093" spans="49:49" ht="15" customHeight="1" x14ac:dyDescent="0.35">
      <c r="AW1093" s="127">
        <v>813</v>
      </c>
    </row>
    <row r="1094" spans="49:49" ht="15" customHeight="1" x14ac:dyDescent="0.35">
      <c r="AW1094" s="127">
        <v>814</v>
      </c>
    </row>
    <row r="1095" spans="49:49" ht="15" customHeight="1" x14ac:dyDescent="0.35">
      <c r="AW1095" s="127">
        <v>815</v>
      </c>
    </row>
    <row r="1096" spans="49:49" ht="15" customHeight="1" x14ac:dyDescent="0.35">
      <c r="AW1096" s="127">
        <v>816</v>
      </c>
    </row>
    <row r="1097" spans="49:49" ht="15" customHeight="1" x14ac:dyDescent="0.35">
      <c r="AW1097" s="127">
        <v>817</v>
      </c>
    </row>
    <row r="1098" spans="49:49" ht="15" customHeight="1" x14ac:dyDescent="0.35">
      <c r="AW1098" s="127">
        <v>818</v>
      </c>
    </row>
    <row r="1099" spans="49:49" ht="15" customHeight="1" x14ac:dyDescent="0.35">
      <c r="AW1099" s="127">
        <v>819</v>
      </c>
    </row>
    <row r="1100" spans="49:49" ht="15" customHeight="1" x14ac:dyDescent="0.35">
      <c r="AW1100" s="127">
        <v>820</v>
      </c>
    </row>
    <row r="1101" spans="49:49" ht="15" customHeight="1" x14ac:dyDescent="0.35">
      <c r="AW1101" s="127">
        <v>821</v>
      </c>
    </row>
    <row r="1102" spans="49:49" ht="15" customHeight="1" x14ac:dyDescent="0.35">
      <c r="AW1102" s="127">
        <v>822</v>
      </c>
    </row>
    <row r="1103" spans="49:49" ht="15" customHeight="1" x14ac:dyDescent="0.35">
      <c r="AW1103" s="127">
        <v>823</v>
      </c>
    </row>
    <row r="1104" spans="49:49" ht="15" customHeight="1" x14ac:dyDescent="0.35">
      <c r="AW1104" s="127">
        <v>824</v>
      </c>
    </row>
    <row r="1105" spans="49:49" ht="15" customHeight="1" x14ac:dyDescent="0.35">
      <c r="AW1105" s="127">
        <v>825</v>
      </c>
    </row>
    <row r="1106" spans="49:49" ht="15" customHeight="1" x14ac:dyDescent="0.35">
      <c r="AW1106" s="127">
        <v>826</v>
      </c>
    </row>
    <row r="1107" spans="49:49" ht="15" customHeight="1" x14ac:dyDescent="0.35">
      <c r="AW1107" s="127">
        <v>827</v>
      </c>
    </row>
    <row r="1108" spans="49:49" ht="15" customHeight="1" x14ac:dyDescent="0.35">
      <c r="AW1108" s="127">
        <v>828</v>
      </c>
    </row>
    <row r="1109" spans="49:49" ht="15" customHeight="1" x14ac:dyDescent="0.35">
      <c r="AW1109" s="127">
        <v>829</v>
      </c>
    </row>
    <row r="1110" spans="49:49" ht="15" customHeight="1" x14ac:dyDescent="0.35">
      <c r="AW1110" s="127">
        <v>830</v>
      </c>
    </row>
    <row r="1111" spans="49:49" ht="15" customHeight="1" x14ac:dyDescent="0.35">
      <c r="AW1111" s="127">
        <v>831</v>
      </c>
    </row>
    <row r="1112" spans="49:49" ht="15" customHeight="1" x14ac:dyDescent="0.35">
      <c r="AW1112" s="127">
        <v>832</v>
      </c>
    </row>
    <row r="1113" spans="49:49" ht="15" customHeight="1" x14ac:dyDescent="0.35">
      <c r="AW1113" s="127">
        <v>833</v>
      </c>
    </row>
    <row r="1114" spans="49:49" ht="15" customHeight="1" x14ac:dyDescent="0.35">
      <c r="AW1114" s="127">
        <v>834</v>
      </c>
    </row>
    <row r="1115" spans="49:49" ht="15" customHeight="1" x14ac:dyDescent="0.35">
      <c r="AW1115" s="127">
        <v>835</v>
      </c>
    </row>
    <row r="1116" spans="49:49" ht="15" customHeight="1" x14ac:dyDescent="0.35">
      <c r="AW1116" s="127">
        <v>836</v>
      </c>
    </row>
    <row r="1117" spans="49:49" ht="15" customHeight="1" x14ac:dyDescent="0.35">
      <c r="AW1117" s="127">
        <v>837</v>
      </c>
    </row>
    <row r="1118" spans="49:49" ht="15" customHeight="1" x14ac:dyDescent="0.35">
      <c r="AW1118" s="127">
        <v>838</v>
      </c>
    </row>
    <row r="1119" spans="49:49" ht="15" customHeight="1" x14ac:dyDescent="0.35">
      <c r="AW1119" s="127">
        <v>839</v>
      </c>
    </row>
    <row r="1120" spans="49:49" ht="15" customHeight="1" x14ac:dyDescent="0.35">
      <c r="AW1120" s="127">
        <v>840</v>
      </c>
    </row>
    <row r="1121" spans="49:49" ht="15" customHeight="1" x14ac:dyDescent="0.35">
      <c r="AW1121" s="127">
        <v>841</v>
      </c>
    </row>
    <row r="1122" spans="49:49" ht="15" customHeight="1" x14ac:dyDescent="0.35">
      <c r="AW1122" s="127">
        <v>842</v>
      </c>
    </row>
    <row r="1123" spans="49:49" ht="15" customHeight="1" x14ac:dyDescent="0.35">
      <c r="AW1123" s="127">
        <v>843</v>
      </c>
    </row>
    <row r="1124" spans="49:49" ht="15" customHeight="1" x14ac:dyDescent="0.35">
      <c r="AW1124" s="127">
        <v>844</v>
      </c>
    </row>
    <row r="1125" spans="49:49" ht="15" customHeight="1" x14ac:dyDescent="0.35">
      <c r="AW1125" s="127">
        <v>845</v>
      </c>
    </row>
    <row r="1126" spans="49:49" ht="15" customHeight="1" x14ac:dyDescent="0.35">
      <c r="AW1126" s="127">
        <v>846</v>
      </c>
    </row>
    <row r="1127" spans="49:49" ht="15" customHeight="1" x14ac:dyDescent="0.35">
      <c r="AW1127" s="127">
        <v>847</v>
      </c>
    </row>
    <row r="1128" spans="49:49" ht="15" customHeight="1" x14ac:dyDescent="0.35">
      <c r="AW1128" s="127">
        <v>848</v>
      </c>
    </row>
    <row r="1129" spans="49:49" ht="15" customHeight="1" x14ac:dyDescent="0.35">
      <c r="AW1129" s="127">
        <v>849</v>
      </c>
    </row>
    <row r="1130" spans="49:49" ht="15" customHeight="1" x14ac:dyDescent="0.35">
      <c r="AW1130" s="127">
        <v>850</v>
      </c>
    </row>
    <row r="1131" spans="49:49" ht="15" customHeight="1" x14ac:dyDescent="0.35">
      <c r="AW1131" s="127">
        <v>851</v>
      </c>
    </row>
    <row r="1132" spans="49:49" ht="15" customHeight="1" x14ac:dyDescent="0.35">
      <c r="AW1132" s="127">
        <v>852</v>
      </c>
    </row>
    <row r="1133" spans="49:49" ht="15" customHeight="1" x14ac:dyDescent="0.35">
      <c r="AW1133" s="127">
        <v>853</v>
      </c>
    </row>
    <row r="1134" spans="49:49" ht="15" customHeight="1" x14ac:dyDescent="0.35">
      <c r="AW1134" s="127">
        <v>854</v>
      </c>
    </row>
    <row r="1135" spans="49:49" ht="15" customHeight="1" x14ac:dyDescent="0.35">
      <c r="AW1135" s="127">
        <v>855</v>
      </c>
    </row>
    <row r="1136" spans="49:49" ht="15" customHeight="1" x14ac:dyDescent="0.35">
      <c r="AW1136" s="127">
        <v>856</v>
      </c>
    </row>
    <row r="1137" spans="49:49" ht="15" customHeight="1" x14ac:dyDescent="0.35">
      <c r="AW1137" s="127">
        <v>857</v>
      </c>
    </row>
    <row r="1138" spans="49:49" ht="15" customHeight="1" x14ac:dyDescent="0.35">
      <c r="AW1138" s="127">
        <v>858</v>
      </c>
    </row>
    <row r="1139" spans="49:49" ht="15" customHeight="1" x14ac:dyDescent="0.35">
      <c r="AW1139" s="127">
        <v>859</v>
      </c>
    </row>
    <row r="1140" spans="49:49" ht="15" customHeight="1" x14ac:dyDescent="0.35">
      <c r="AW1140" s="127">
        <v>860</v>
      </c>
    </row>
    <row r="1141" spans="49:49" ht="15" customHeight="1" x14ac:dyDescent="0.35">
      <c r="AW1141" s="127">
        <v>861</v>
      </c>
    </row>
    <row r="1142" spans="49:49" ht="15" customHeight="1" x14ac:dyDescent="0.35">
      <c r="AW1142" s="127">
        <v>862</v>
      </c>
    </row>
    <row r="1143" spans="49:49" ht="15" customHeight="1" x14ac:dyDescent="0.35">
      <c r="AW1143" s="127">
        <v>863</v>
      </c>
    </row>
    <row r="1144" spans="49:49" ht="15" customHeight="1" x14ac:dyDescent="0.35">
      <c r="AW1144" s="127">
        <v>864</v>
      </c>
    </row>
    <row r="1145" spans="49:49" ht="15" customHeight="1" x14ac:dyDescent="0.35">
      <c r="AW1145" s="127">
        <v>865</v>
      </c>
    </row>
    <row r="1146" spans="49:49" ht="15" customHeight="1" x14ac:dyDescent="0.35">
      <c r="AW1146" s="127">
        <v>866</v>
      </c>
    </row>
    <row r="1147" spans="49:49" ht="15" customHeight="1" x14ac:dyDescent="0.35">
      <c r="AW1147" s="127">
        <v>867</v>
      </c>
    </row>
    <row r="1148" spans="49:49" ht="15" customHeight="1" x14ac:dyDescent="0.35">
      <c r="AW1148" s="127">
        <v>868</v>
      </c>
    </row>
    <row r="1149" spans="49:49" ht="15" customHeight="1" x14ac:dyDescent="0.35">
      <c r="AW1149" s="127">
        <v>869</v>
      </c>
    </row>
    <row r="1150" spans="49:49" ht="15" customHeight="1" x14ac:dyDescent="0.35">
      <c r="AW1150" s="127">
        <v>870</v>
      </c>
    </row>
    <row r="1151" spans="49:49" ht="15" customHeight="1" x14ac:dyDescent="0.35">
      <c r="AW1151" s="127">
        <v>871</v>
      </c>
    </row>
    <row r="1152" spans="49:49" ht="15" customHeight="1" x14ac:dyDescent="0.35">
      <c r="AW1152" s="127">
        <v>872</v>
      </c>
    </row>
    <row r="1153" spans="49:49" ht="15" customHeight="1" x14ac:dyDescent="0.35">
      <c r="AW1153" s="127">
        <v>873</v>
      </c>
    </row>
    <row r="1154" spans="49:49" ht="15" customHeight="1" x14ac:dyDescent="0.35">
      <c r="AW1154" s="127">
        <v>874</v>
      </c>
    </row>
    <row r="1155" spans="49:49" ht="15" customHeight="1" x14ac:dyDescent="0.35">
      <c r="AW1155" s="127">
        <v>875</v>
      </c>
    </row>
    <row r="1156" spans="49:49" ht="15" customHeight="1" x14ac:dyDescent="0.35">
      <c r="AW1156" s="127">
        <v>876</v>
      </c>
    </row>
    <row r="1157" spans="49:49" ht="15" customHeight="1" x14ac:dyDescent="0.35">
      <c r="AW1157" s="127">
        <v>877</v>
      </c>
    </row>
    <row r="1158" spans="49:49" ht="15" customHeight="1" x14ac:dyDescent="0.35">
      <c r="AW1158" s="127">
        <v>878</v>
      </c>
    </row>
    <row r="1159" spans="49:49" ht="15" customHeight="1" x14ac:dyDescent="0.35">
      <c r="AW1159" s="127">
        <v>879</v>
      </c>
    </row>
    <row r="1160" spans="49:49" ht="15" customHeight="1" x14ac:dyDescent="0.35">
      <c r="AW1160" s="127">
        <v>880</v>
      </c>
    </row>
    <row r="1161" spans="49:49" ht="15" customHeight="1" x14ac:dyDescent="0.35">
      <c r="AW1161" s="127">
        <v>881</v>
      </c>
    </row>
    <row r="1162" spans="49:49" ht="15" customHeight="1" x14ac:dyDescent="0.35">
      <c r="AW1162" s="127">
        <v>882</v>
      </c>
    </row>
    <row r="1163" spans="49:49" ht="15" customHeight="1" x14ac:dyDescent="0.35">
      <c r="AW1163" s="127">
        <v>883</v>
      </c>
    </row>
    <row r="1164" spans="49:49" ht="15" customHeight="1" x14ac:dyDescent="0.35">
      <c r="AW1164" s="127">
        <v>884</v>
      </c>
    </row>
    <row r="1165" spans="49:49" ht="15" customHeight="1" x14ac:dyDescent="0.35">
      <c r="AW1165" s="127">
        <v>885</v>
      </c>
    </row>
    <row r="1166" spans="49:49" ht="15" customHeight="1" x14ac:dyDescent="0.35">
      <c r="AW1166" s="127">
        <v>886</v>
      </c>
    </row>
    <row r="1167" spans="49:49" ht="15" customHeight="1" x14ac:dyDescent="0.35">
      <c r="AW1167" s="127">
        <v>887</v>
      </c>
    </row>
    <row r="1168" spans="49:49" ht="15" customHeight="1" x14ac:dyDescent="0.35">
      <c r="AW1168" s="127">
        <v>888</v>
      </c>
    </row>
    <row r="1169" spans="49:49" ht="15" customHeight="1" x14ac:dyDescent="0.35">
      <c r="AW1169" s="127">
        <v>889</v>
      </c>
    </row>
    <row r="1170" spans="49:49" ht="15" customHeight="1" x14ac:dyDescent="0.35">
      <c r="AW1170" s="127">
        <v>890</v>
      </c>
    </row>
    <row r="1171" spans="49:49" ht="15" customHeight="1" x14ac:dyDescent="0.35">
      <c r="AW1171" s="127">
        <v>891</v>
      </c>
    </row>
    <row r="1172" spans="49:49" ht="15" customHeight="1" x14ac:dyDescent="0.35">
      <c r="AW1172" s="127">
        <v>892</v>
      </c>
    </row>
    <row r="1173" spans="49:49" ht="15" customHeight="1" x14ac:dyDescent="0.35">
      <c r="AW1173" s="127">
        <v>893</v>
      </c>
    </row>
    <row r="1174" spans="49:49" ht="15" customHeight="1" x14ac:dyDescent="0.35">
      <c r="AW1174" s="127">
        <v>894</v>
      </c>
    </row>
    <row r="1175" spans="49:49" ht="15" customHeight="1" x14ac:dyDescent="0.35">
      <c r="AW1175" s="127">
        <v>895</v>
      </c>
    </row>
    <row r="1176" spans="49:49" ht="15" customHeight="1" x14ac:dyDescent="0.35">
      <c r="AW1176" s="127">
        <v>896</v>
      </c>
    </row>
    <row r="1177" spans="49:49" ht="15" customHeight="1" x14ac:dyDescent="0.35">
      <c r="AW1177" s="127">
        <v>897</v>
      </c>
    </row>
    <row r="1178" spans="49:49" ht="15" customHeight="1" x14ac:dyDescent="0.35">
      <c r="AW1178" s="127">
        <v>898</v>
      </c>
    </row>
    <row r="1179" spans="49:49" ht="15" customHeight="1" x14ac:dyDescent="0.35">
      <c r="AW1179" s="127">
        <v>899</v>
      </c>
    </row>
    <row r="1180" spans="49:49" ht="15" customHeight="1" x14ac:dyDescent="0.35">
      <c r="AW1180" s="127">
        <v>900</v>
      </c>
    </row>
    <row r="1181" spans="49:49" ht="15" customHeight="1" x14ac:dyDescent="0.35">
      <c r="AW1181" s="127">
        <v>901</v>
      </c>
    </row>
    <row r="1182" spans="49:49" ht="15" customHeight="1" x14ac:dyDescent="0.35">
      <c r="AW1182" s="127">
        <v>902</v>
      </c>
    </row>
    <row r="1183" spans="49:49" ht="15" customHeight="1" x14ac:dyDescent="0.35">
      <c r="AW1183" s="127">
        <v>903</v>
      </c>
    </row>
    <row r="1184" spans="49:49" ht="15" customHeight="1" x14ac:dyDescent="0.35">
      <c r="AW1184" s="127">
        <v>904</v>
      </c>
    </row>
    <row r="1185" spans="49:49" ht="15" customHeight="1" x14ac:dyDescent="0.35">
      <c r="AW1185" s="127">
        <v>905</v>
      </c>
    </row>
    <row r="1186" spans="49:49" ht="15" customHeight="1" x14ac:dyDescent="0.35">
      <c r="AW1186" s="127">
        <v>906</v>
      </c>
    </row>
    <row r="1187" spans="49:49" ht="15" customHeight="1" x14ac:dyDescent="0.35">
      <c r="AW1187" s="127">
        <v>907</v>
      </c>
    </row>
    <row r="1188" spans="49:49" ht="15" customHeight="1" x14ac:dyDescent="0.35">
      <c r="AW1188" s="127">
        <v>908</v>
      </c>
    </row>
    <row r="1189" spans="49:49" ht="15" customHeight="1" x14ac:dyDescent="0.35">
      <c r="AW1189" s="127">
        <v>909</v>
      </c>
    </row>
    <row r="1190" spans="49:49" ht="15" customHeight="1" x14ac:dyDescent="0.35">
      <c r="AW1190" s="127">
        <v>910</v>
      </c>
    </row>
    <row r="1191" spans="49:49" ht="15" customHeight="1" x14ac:dyDescent="0.35">
      <c r="AW1191" s="127">
        <v>911</v>
      </c>
    </row>
    <row r="1192" spans="49:49" ht="15" customHeight="1" x14ac:dyDescent="0.35">
      <c r="AW1192" s="127">
        <v>912</v>
      </c>
    </row>
    <row r="1193" spans="49:49" ht="15" customHeight="1" x14ac:dyDescent="0.35">
      <c r="AW1193" s="127">
        <v>913</v>
      </c>
    </row>
    <row r="1194" spans="49:49" ht="15" customHeight="1" x14ac:dyDescent="0.35">
      <c r="AW1194" s="127">
        <v>914</v>
      </c>
    </row>
    <row r="1195" spans="49:49" ht="15" customHeight="1" x14ac:dyDescent="0.35">
      <c r="AW1195" s="127">
        <v>915</v>
      </c>
    </row>
    <row r="1196" spans="49:49" ht="15" customHeight="1" x14ac:dyDescent="0.35">
      <c r="AW1196" s="127">
        <v>916</v>
      </c>
    </row>
    <row r="1197" spans="49:49" ht="15" customHeight="1" x14ac:dyDescent="0.35">
      <c r="AW1197" s="127">
        <v>917</v>
      </c>
    </row>
    <row r="1198" spans="49:49" ht="15" customHeight="1" x14ac:dyDescent="0.35">
      <c r="AW1198" s="127">
        <v>918</v>
      </c>
    </row>
    <row r="1199" spans="49:49" ht="15" customHeight="1" x14ac:dyDescent="0.35">
      <c r="AW1199" s="127">
        <v>919</v>
      </c>
    </row>
    <row r="1200" spans="49:49" ht="15" customHeight="1" x14ac:dyDescent="0.35">
      <c r="AW1200" s="127">
        <v>920</v>
      </c>
    </row>
    <row r="1201" spans="49:49" ht="15" customHeight="1" x14ac:dyDescent="0.35">
      <c r="AW1201" s="127">
        <v>921</v>
      </c>
    </row>
    <row r="1202" spans="49:49" ht="15" customHeight="1" x14ac:dyDescent="0.35">
      <c r="AW1202" s="127">
        <v>922</v>
      </c>
    </row>
    <row r="1203" spans="49:49" ht="15" customHeight="1" x14ac:dyDescent="0.35">
      <c r="AW1203" s="127">
        <v>923</v>
      </c>
    </row>
    <row r="1204" spans="49:49" ht="15" customHeight="1" x14ac:dyDescent="0.35">
      <c r="AW1204" s="127">
        <v>924</v>
      </c>
    </row>
    <row r="1205" spans="49:49" ht="15" customHeight="1" x14ac:dyDescent="0.35">
      <c r="AW1205" s="127">
        <v>925</v>
      </c>
    </row>
    <row r="1206" spans="49:49" ht="15" customHeight="1" x14ac:dyDescent="0.35">
      <c r="AW1206" s="127">
        <v>926</v>
      </c>
    </row>
    <row r="1207" spans="49:49" ht="15" customHeight="1" x14ac:dyDescent="0.35">
      <c r="AW1207" s="127">
        <v>927</v>
      </c>
    </row>
    <row r="1208" spans="49:49" ht="15" customHeight="1" x14ac:dyDescent="0.35">
      <c r="AW1208" s="127">
        <v>928</v>
      </c>
    </row>
    <row r="1209" spans="49:49" ht="15" customHeight="1" x14ac:dyDescent="0.35">
      <c r="AW1209" s="127">
        <v>929</v>
      </c>
    </row>
    <row r="1210" spans="49:49" ht="15" customHeight="1" x14ac:dyDescent="0.35">
      <c r="AW1210" s="127">
        <v>930</v>
      </c>
    </row>
    <row r="1211" spans="49:49" ht="15" customHeight="1" x14ac:dyDescent="0.35">
      <c r="AW1211" s="127">
        <v>931</v>
      </c>
    </row>
    <row r="1212" spans="49:49" ht="15" customHeight="1" x14ac:dyDescent="0.35">
      <c r="AW1212" s="127">
        <v>932</v>
      </c>
    </row>
    <row r="1213" spans="49:49" ht="15" customHeight="1" x14ac:dyDescent="0.35">
      <c r="AW1213" s="127">
        <v>933</v>
      </c>
    </row>
    <row r="1214" spans="49:49" ht="15" customHeight="1" x14ac:dyDescent="0.35">
      <c r="AW1214" s="127">
        <v>934</v>
      </c>
    </row>
    <row r="1215" spans="49:49" ht="15" customHeight="1" x14ac:dyDescent="0.35">
      <c r="AW1215" s="127">
        <v>935</v>
      </c>
    </row>
    <row r="1216" spans="49:49" ht="15" customHeight="1" x14ac:dyDescent="0.35">
      <c r="AW1216" s="127">
        <v>936</v>
      </c>
    </row>
    <row r="1217" spans="49:49" ht="15" customHeight="1" x14ac:dyDescent="0.35">
      <c r="AW1217" s="127">
        <v>937</v>
      </c>
    </row>
    <row r="1218" spans="49:49" ht="15" customHeight="1" x14ac:dyDescent="0.35">
      <c r="AW1218" s="127">
        <v>938</v>
      </c>
    </row>
    <row r="1219" spans="49:49" ht="15" customHeight="1" x14ac:dyDescent="0.35">
      <c r="AW1219" s="127">
        <v>939</v>
      </c>
    </row>
    <row r="1220" spans="49:49" ht="15" customHeight="1" x14ac:dyDescent="0.35">
      <c r="AW1220" s="127">
        <v>940</v>
      </c>
    </row>
    <row r="1221" spans="49:49" ht="15" customHeight="1" x14ac:dyDescent="0.35">
      <c r="AW1221" s="127">
        <v>941</v>
      </c>
    </row>
    <row r="1222" spans="49:49" ht="15" customHeight="1" x14ac:dyDescent="0.35">
      <c r="AW1222" s="127">
        <v>942</v>
      </c>
    </row>
    <row r="1223" spans="49:49" ht="15" customHeight="1" x14ac:dyDescent="0.35">
      <c r="AW1223" s="127">
        <v>943</v>
      </c>
    </row>
    <row r="1224" spans="49:49" ht="15" customHeight="1" x14ac:dyDescent="0.35">
      <c r="AW1224" s="127">
        <v>944</v>
      </c>
    </row>
    <row r="1225" spans="49:49" ht="15" customHeight="1" x14ac:dyDescent="0.35">
      <c r="AW1225" s="127">
        <v>945</v>
      </c>
    </row>
    <row r="1226" spans="49:49" ht="15" customHeight="1" x14ac:dyDescent="0.35">
      <c r="AW1226" s="127">
        <v>946</v>
      </c>
    </row>
    <row r="1227" spans="49:49" ht="15" customHeight="1" x14ac:dyDescent="0.35">
      <c r="AW1227" s="127">
        <v>947</v>
      </c>
    </row>
    <row r="1228" spans="49:49" ht="15" customHeight="1" x14ac:dyDescent="0.35">
      <c r="AW1228" s="127">
        <v>948</v>
      </c>
    </row>
    <row r="1229" spans="49:49" ht="15" customHeight="1" x14ac:dyDescent="0.35">
      <c r="AW1229" s="127">
        <v>949</v>
      </c>
    </row>
    <row r="1230" spans="49:49" ht="15" customHeight="1" x14ac:dyDescent="0.35">
      <c r="AW1230" s="127">
        <v>950</v>
      </c>
    </row>
    <row r="1231" spans="49:49" ht="15" customHeight="1" x14ac:dyDescent="0.35">
      <c r="AW1231" s="127">
        <v>951</v>
      </c>
    </row>
    <row r="1232" spans="49:49" ht="15" customHeight="1" x14ac:dyDescent="0.35">
      <c r="AW1232" s="127">
        <v>952</v>
      </c>
    </row>
    <row r="1233" spans="49:49" ht="15" customHeight="1" x14ac:dyDescent="0.35">
      <c r="AW1233" s="127">
        <v>953</v>
      </c>
    </row>
    <row r="1234" spans="49:49" ht="15" customHeight="1" x14ac:dyDescent="0.35">
      <c r="AW1234" s="127">
        <v>954</v>
      </c>
    </row>
    <row r="1235" spans="49:49" ht="15" customHeight="1" x14ac:dyDescent="0.35">
      <c r="AW1235" s="127">
        <v>955</v>
      </c>
    </row>
    <row r="1236" spans="49:49" ht="15" customHeight="1" x14ac:dyDescent="0.35">
      <c r="AW1236" s="127">
        <v>956</v>
      </c>
    </row>
    <row r="1237" spans="49:49" ht="15" customHeight="1" x14ac:dyDescent="0.35">
      <c r="AW1237" s="127">
        <v>957</v>
      </c>
    </row>
    <row r="1238" spans="49:49" ht="15" customHeight="1" x14ac:dyDescent="0.35">
      <c r="AW1238" s="127">
        <v>958</v>
      </c>
    </row>
    <row r="1239" spans="49:49" ht="15" customHeight="1" x14ac:dyDescent="0.35">
      <c r="AW1239" s="127">
        <v>959</v>
      </c>
    </row>
    <row r="1240" spans="49:49" ht="15" customHeight="1" x14ac:dyDescent="0.35">
      <c r="AW1240" s="127">
        <v>960</v>
      </c>
    </row>
    <row r="1241" spans="49:49" ht="15" customHeight="1" x14ac:dyDescent="0.35">
      <c r="AW1241" s="127">
        <v>961</v>
      </c>
    </row>
    <row r="1242" spans="49:49" ht="15" customHeight="1" x14ac:dyDescent="0.35">
      <c r="AW1242" s="127">
        <v>962</v>
      </c>
    </row>
    <row r="1243" spans="49:49" ht="15" customHeight="1" x14ac:dyDescent="0.35">
      <c r="AW1243" s="127">
        <v>963</v>
      </c>
    </row>
    <row r="1244" spans="49:49" ht="15" customHeight="1" x14ac:dyDescent="0.35">
      <c r="AW1244" s="127">
        <v>964</v>
      </c>
    </row>
    <row r="1245" spans="49:49" ht="15" customHeight="1" x14ac:dyDescent="0.35">
      <c r="AW1245" s="127">
        <v>965</v>
      </c>
    </row>
    <row r="1246" spans="49:49" ht="15" customHeight="1" x14ac:dyDescent="0.35">
      <c r="AW1246" s="127">
        <v>966</v>
      </c>
    </row>
    <row r="1247" spans="49:49" ht="15" customHeight="1" x14ac:dyDescent="0.35">
      <c r="AW1247" s="127">
        <v>967</v>
      </c>
    </row>
    <row r="1248" spans="49:49" ht="15" customHeight="1" x14ac:dyDescent="0.35">
      <c r="AW1248" s="127">
        <v>968</v>
      </c>
    </row>
    <row r="1249" spans="49:49" ht="15" customHeight="1" x14ac:dyDescent="0.35">
      <c r="AW1249" s="127">
        <v>969</v>
      </c>
    </row>
    <row r="1250" spans="49:49" ht="15" customHeight="1" x14ac:dyDescent="0.35">
      <c r="AW1250" s="127">
        <v>970</v>
      </c>
    </row>
    <row r="1251" spans="49:49" ht="15" customHeight="1" x14ac:dyDescent="0.35">
      <c r="AW1251" s="127">
        <v>971</v>
      </c>
    </row>
    <row r="1252" spans="49:49" ht="15" customHeight="1" x14ac:dyDescent="0.35">
      <c r="AW1252" s="127">
        <v>972</v>
      </c>
    </row>
    <row r="1253" spans="49:49" ht="15" customHeight="1" x14ac:dyDescent="0.35">
      <c r="AW1253" s="127">
        <v>973</v>
      </c>
    </row>
    <row r="1254" spans="49:49" ht="15" customHeight="1" x14ac:dyDescent="0.35">
      <c r="AW1254" s="127">
        <v>974</v>
      </c>
    </row>
    <row r="1255" spans="49:49" ht="15" customHeight="1" x14ac:dyDescent="0.35">
      <c r="AW1255" s="127">
        <v>975</v>
      </c>
    </row>
    <row r="1256" spans="49:49" ht="15" customHeight="1" x14ac:dyDescent="0.35">
      <c r="AW1256" s="127">
        <v>976</v>
      </c>
    </row>
    <row r="1257" spans="49:49" ht="15" customHeight="1" x14ac:dyDescent="0.35">
      <c r="AW1257" s="127">
        <v>977</v>
      </c>
    </row>
    <row r="1258" spans="49:49" ht="15" customHeight="1" x14ac:dyDescent="0.35">
      <c r="AW1258" s="127">
        <v>978</v>
      </c>
    </row>
    <row r="1259" spans="49:49" ht="15" customHeight="1" x14ac:dyDescent="0.35">
      <c r="AW1259" s="127">
        <v>979</v>
      </c>
    </row>
    <row r="1260" spans="49:49" ht="15" customHeight="1" x14ac:dyDescent="0.35">
      <c r="AW1260" s="127">
        <v>980</v>
      </c>
    </row>
    <row r="1261" spans="49:49" ht="15" customHeight="1" x14ac:dyDescent="0.35">
      <c r="AW1261" s="127">
        <v>981</v>
      </c>
    </row>
    <row r="1262" spans="49:49" ht="15" customHeight="1" x14ac:dyDescent="0.35">
      <c r="AW1262" s="127">
        <v>982</v>
      </c>
    </row>
    <row r="1263" spans="49:49" ht="15" customHeight="1" x14ac:dyDescent="0.35">
      <c r="AW1263" s="127">
        <v>983</v>
      </c>
    </row>
    <row r="1264" spans="49:49" ht="15" customHeight="1" x14ac:dyDescent="0.35">
      <c r="AW1264" s="127">
        <v>984</v>
      </c>
    </row>
    <row r="1265" spans="49:49" ht="15" customHeight="1" x14ac:dyDescent="0.35">
      <c r="AW1265" s="127">
        <v>985</v>
      </c>
    </row>
    <row r="1266" spans="49:49" ht="15" customHeight="1" x14ac:dyDescent="0.35">
      <c r="AW1266" s="127">
        <v>986</v>
      </c>
    </row>
    <row r="1267" spans="49:49" ht="15" customHeight="1" x14ac:dyDescent="0.35">
      <c r="AW1267" s="127">
        <v>987</v>
      </c>
    </row>
    <row r="1268" spans="49:49" ht="15" customHeight="1" x14ac:dyDescent="0.35">
      <c r="AW1268" s="127">
        <v>988</v>
      </c>
    </row>
    <row r="1269" spans="49:49" ht="15" customHeight="1" x14ac:dyDescent="0.35">
      <c r="AW1269" s="127">
        <v>989</v>
      </c>
    </row>
    <row r="1270" spans="49:49" ht="15" customHeight="1" x14ac:dyDescent="0.35">
      <c r="AW1270" s="127">
        <v>990</v>
      </c>
    </row>
    <row r="1271" spans="49:49" ht="15" customHeight="1" x14ac:dyDescent="0.35">
      <c r="AW1271" s="127">
        <v>991</v>
      </c>
    </row>
    <row r="1272" spans="49:49" ht="15" customHeight="1" x14ac:dyDescent="0.35">
      <c r="AW1272" s="127">
        <v>992</v>
      </c>
    </row>
    <row r="1273" spans="49:49" ht="15" customHeight="1" x14ac:dyDescent="0.35">
      <c r="AW1273" s="127">
        <v>993</v>
      </c>
    </row>
    <row r="1274" spans="49:49" ht="15" customHeight="1" x14ac:dyDescent="0.35">
      <c r="AW1274" s="127">
        <v>994</v>
      </c>
    </row>
    <row r="1275" spans="49:49" ht="15" customHeight="1" x14ac:dyDescent="0.35">
      <c r="AW1275" s="127">
        <v>995</v>
      </c>
    </row>
    <row r="1276" spans="49:49" ht="15" customHeight="1" x14ac:dyDescent="0.35">
      <c r="AW1276" s="127">
        <v>996</v>
      </c>
    </row>
    <row r="1277" spans="49:49" ht="15" customHeight="1" x14ac:dyDescent="0.35">
      <c r="AW1277" s="127">
        <v>997</v>
      </c>
    </row>
    <row r="1278" spans="49:49" ht="15" customHeight="1" x14ac:dyDescent="0.35">
      <c r="AW1278" s="127">
        <v>998</v>
      </c>
    </row>
    <row r="1279" spans="49:49" ht="15" customHeight="1" x14ac:dyDescent="0.35">
      <c r="AW1279" s="127">
        <v>999</v>
      </c>
    </row>
    <row r="1280" spans="49:49" ht="15" customHeight="1" x14ac:dyDescent="0.35">
      <c r="AW1280" s="127">
        <v>1000</v>
      </c>
    </row>
    <row r="1281" spans="49:49" ht="15" customHeight="1" x14ac:dyDescent="0.35">
      <c r="AW1281" s="127">
        <v>1001</v>
      </c>
    </row>
    <row r="1282" spans="49:49" ht="15" customHeight="1" x14ac:dyDescent="0.35">
      <c r="AW1282" s="127">
        <v>1002</v>
      </c>
    </row>
    <row r="1283" spans="49:49" ht="15" customHeight="1" x14ac:dyDescent="0.35">
      <c r="AW1283" s="127">
        <v>1003</v>
      </c>
    </row>
    <row r="1284" spans="49:49" ht="15" customHeight="1" x14ac:dyDescent="0.35">
      <c r="AW1284" s="127">
        <v>1004</v>
      </c>
    </row>
    <row r="1285" spans="49:49" ht="15" customHeight="1" x14ac:dyDescent="0.35">
      <c r="AW1285" s="127">
        <v>1005</v>
      </c>
    </row>
    <row r="1286" spans="49:49" ht="15" customHeight="1" x14ac:dyDescent="0.35">
      <c r="AW1286" s="127">
        <v>1006</v>
      </c>
    </row>
    <row r="1287" spans="49:49" ht="15" customHeight="1" x14ac:dyDescent="0.35">
      <c r="AW1287" s="127">
        <v>1007</v>
      </c>
    </row>
    <row r="1288" spans="49:49" ht="15" customHeight="1" x14ac:dyDescent="0.35">
      <c r="AW1288" s="127">
        <v>1008</v>
      </c>
    </row>
    <row r="1289" spans="49:49" ht="15" customHeight="1" x14ac:dyDescent="0.35">
      <c r="AW1289" s="127">
        <v>1009</v>
      </c>
    </row>
    <row r="1290" spans="49:49" ht="15" customHeight="1" x14ac:dyDescent="0.35">
      <c r="AW1290" s="127">
        <v>1010</v>
      </c>
    </row>
    <row r="1291" spans="49:49" ht="15" customHeight="1" x14ac:dyDescent="0.35">
      <c r="AW1291" s="127">
        <v>1011</v>
      </c>
    </row>
    <row r="1292" spans="49:49" ht="15" customHeight="1" x14ac:dyDescent="0.35">
      <c r="AW1292" s="127">
        <v>1012</v>
      </c>
    </row>
    <row r="1293" spans="49:49" ht="15" customHeight="1" x14ac:dyDescent="0.35">
      <c r="AW1293" s="127">
        <v>1013</v>
      </c>
    </row>
    <row r="1294" spans="49:49" ht="15" customHeight="1" x14ac:dyDescent="0.35">
      <c r="AW1294" s="127">
        <v>1014</v>
      </c>
    </row>
    <row r="1295" spans="49:49" ht="15" customHeight="1" x14ac:dyDescent="0.35">
      <c r="AW1295" s="127">
        <v>1015</v>
      </c>
    </row>
    <row r="1296" spans="49:49" ht="15" customHeight="1" x14ac:dyDescent="0.35">
      <c r="AW1296" s="127">
        <v>1016</v>
      </c>
    </row>
    <row r="1297" spans="49:49" ht="15" customHeight="1" x14ac:dyDescent="0.35">
      <c r="AW1297" s="127">
        <v>1017</v>
      </c>
    </row>
    <row r="1298" spans="49:49" ht="15" customHeight="1" x14ac:dyDescent="0.35">
      <c r="AW1298" s="127">
        <v>1018</v>
      </c>
    </row>
    <row r="1299" spans="49:49" ht="15" customHeight="1" x14ac:dyDescent="0.35">
      <c r="AW1299" s="127">
        <v>1019</v>
      </c>
    </row>
    <row r="1300" spans="49:49" ht="15" customHeight="1" x14ac:dyDescent="0.35">
      <c r="AW1300" s="127">
        <v>1020</v>
      </c>
    </row>
    <row r="1301" spans="49:49" ht="15" customHeight="1" x14ac:dyDescent="0.35">
      <c r="AW1301" s="127">
        <v>1021</v>
      </c>
    </row>
    <row r="1302" spans="49:49" ht="15" customHeight="1" x14ac:dyDescent="0.35">
      <c r="AW1302" s="127">
        <v>1022</v>
      </c>
    </row>
    <row r="1303" spans="49:49" ht="15" customHeight="1" x14ac:dyDescent="0.35">
      <c r="AW1303" s="127">
        <v>1023</v>
      </c>
    </row>
    <row r="1304" spans="49:49" ht="15" customHeight="1" x14ac:dyDescent="0.35">
      <c r="AW1304" s="127">
        <v>1024</v>
      </c>
    </row>
    <row r="1305" spans="49:49" ht="15" customHeight="1" x14ac:dyDescent="0.35">
      <c r="AW1305" s="127">
        <v>1025</v>
      </c>
    </row>
    <row r="1306" spans="49:49" ht="15" customHeight="1" x14ac:dyDescent="0.35">
      <c r="AW1306" s="127">
        <v>1026</v>
      </c>
    </row>
    <row r="1307" spans="49:49" ht="15" customHeight="1" x14ac:dyDescent="0.35">
      <c r="AW1307" s="127">
        <v>1027</v>
      </c>
    </row>
    <row r="1308" spans="49:49" ht="15" customHeight="1" x14ac:dyDescent="0.35">
      <c r="AW1308" s="127">
        <v>1028</v>
      </c>
    </row>
    <row r="1309" spans="49:49" ht="15" customHeight="1" x14ac:dyDescent="0.35">
      <c r="AW1309" s="127">
        <v>1029</v>
      </c>
    </row>
    <row r="1310" spans="49:49" ht="15" customHeight="1" x14ac:dyDescent="0.35">
      <c r="AW1310" s="127">
        <v>1030</v>
      </c>
    </row>
    <row r="1311" spans="49:49" ht="15" customHeight="1" x14ac:dyDescent="0.35">
      <c r="AW1311" s="127">
        <v>1031</v>
      </c>
    </row>
    <row r="1312" spans="49:49" ht="15" customHeight="1" x14ac:dyDescent="0.35">
      <c r="AW1312" s="127">
        <v>1032</v>
      </c>
    </row>
    <row r="1313" spans="49:49" ht="15" customHeight="1" x14ac:dyDescent="0.35">
      <c r="AW1313" s="127">
        <v>1033</v>
      </c>
    </row>
    <row r="1314" spans="49:49" ht="15" customHeight="1" x14ac:dyDescent="0.35">
      <c r="AW1314" s="127">
        <v>1034</v>
      </c>
    </row>
    <row r="1315" spans="49:49" ht="15" customHeight="1" x14ac:dyDescent="0.35">
      <c r="AW1315" s="127">
        <v>1035</v>
      </c>
    </row>
    <row r="1316" spans="49:49" ht="15" customHeight="1" x14ac:dyDescent="0.35">
      <c r="AW1316" s="127">
        <v>1036</v>
      </c>
    </row>
    <row r="1317" spans="49:49" ht="15" customHeight="1" x14ac:dyDescent="0.35">
      <c r="AW1317" s="127">
        <v>1037</v>
      </c>
    </row>
    <row r="1318" spans="49:49" ht="15" customHeight="1" x14ac:dyDescent="0.35">
      <c r="AW1318" s="127">
        <v>1038</v>
      </c>
    </row>
    <row r="1319" spans="49:49" ht="15" customHeight="1" x14ac:dyDescent="0.35">
      <c r="AW1319" s="127">
        <v>1039</v>
      </c>
    </row>
    <row r="1320" spans="49:49" ht="15" customHeight="1" x14ac:dyDescent="0.35">
      <c r="AW1320" s="127">
        <v>1040</v>
      </c>
    </row>
    <row r="1321" spans="49:49" ht="15" customHeight="1" x14ac:dyDescent="0.35">
      <c r="AW1321" s="127">
        <v>1041</v>
      </c>
    </row>
    <row r="1322" spans="49:49" ht="15" customHeight="1" x14ac:dyDescent="0.35">
      <c r="AW1322" s="127">
        <v>1042</v>
      </c>
    </row>
    <row r="1323" spans="49:49" ht="15" customHeight="1" x14ac:dyDescent="0.35">
      <c r="AW1323" s="127">
        <v>1043</v>
      </c>
    </row>
    <row r="1324" spans="49:49" ht="15" customHeight="1" x14ac:dyDescent="0.35">
      <c r="AW1324" s="127">
        <v>1044</v>
      </c>
    </row>
    <row r="1325" spans="49:49" ht="15" customHeight="1" x14ac:dyDescent="0.35">
      <c r="AW1325" s="127">
        <v>1045</v>
      </c>
    </row>
    <row r="1326" spans="49:49" ht="15" customHeight="1" x14ac:dyDescent="0.35">
      <c r="AW1326" s="127">
        <v>1046</v>
      </c>
    </row>
    <row r="1327" spans="49:49" ht="15" customHeight="1" x14ac:dyDescent="0.35">
      <c r="AW1327" s="127">
        <v>1047</v>
      </c>
    </row>
    <row r="1328" spans="49:49" ht="15" customHeight="1" x14ac:dyDescent="0.35">
      <c r="AW1328" s="127">
        <v>1048</v>
      </c>
    </row>
    <row r="1329" spans="49:49" ht="15" customHeight="1" x14ac:dyDescent="0.35">
      <c r="AW1329" s="127">
        <v>1049</v>
      </c>
    </row>
    <row r="1330" spans="49:49" ht="15" customHeight="1" x14ac:dyDescent="0.35">
      <c r="AW1330" s="127">
        <v>1050</v>
      </c>
    </row>
    <row r="1331" spans="49:49" ht="15" customHeight="1" x14ac:dyDescent="0.35">
      <c r="AW1331" s="127">
        <v>1051</v>
      </c>
    </row>
    <row r="1332" spans="49:49" ht="15" customHeight="1" x14ac:dyDescent="0.35">
      <c r="AW1332" s="127">
        <v>1052</v>
      </c>
    </row>
    <row r="1333" spans="49:49" ht="15" customHeight="1" x14ac:dyDescent="0.35">
      <c r="AW1333" s="127">
        <v>1053</v>
      </c>
    </row>
    <row r="1334" spans="49:49" ht="15" customHeight="1" x14ac:dyDescent="0.35">
      <c r="AW1334" s="127">
        <v>1054</v>
      </c>
    </row>
    <row r="1335" spans="49:49" ht="15" customHeight="1" x14ac:dyDescent="0.35">
      <c r="AW1335" s="127">
        <v>1055</v>
      </c>
    </row>
    <row r="1336" spans="49:49" ht="15" customHeight="1" x14ac:dyDescent="0.35">
      <c r="AW1336" s="127">
        <v>1056</v>
      </c>
    </row>
    <row r="1337" spans="49:49" ht="15" customHeight="1" x14ac:dyDescent="0.35">
      <c r="AW1337" s="127">
        <v>1057</v>
      </c>
    </row>
    <row r="1338" spans="49:49" ht="15" customHeight="1" x14ac:dyDescent="0.35">
      <c r="AW1338" s="127">
        <v>1058</v>
      </c>
    </row>
    <row r="1339" spans="49:49" ht="15" customHeight="1" x14ac:dyDescent="0.35">
      <c r="AW1339" s="127">
        <v>1059</v>
      </c>
    </row>
    <row r="1340" spans="49:49" ht="15" customHeight="1" x14ac:dyDescent="0.35">
      <c r="AW1340" s="127">
        <v>1060</v>
      </c>
    </row>
    <row r="1341" spans="49:49" ht="15" customHeight="1" x14ac:dyDescent="0.35">
      <c r="AW1341" s="127">
        <v>1061</v>
      </c>
    </row>
    <row r="1342" spans="49:49" ht="15" customHeight="1" x14ac:dyDescent="0.35">
      <c r="AW1342" s="127">
        <v>1062</v>
      </c>
    </row>
    <row r="1343" spans="49:49" ht="15" customHeight="1" x14ac:dyDescent="0.35">
      <c r="AW1343" s="127">
        <v>1063</v>
      </c>
    </row>
    <row r="1344" spans="49:49" ht="15" customHeight="1" x14ac:dyDescent="0.35">
      <c r="AW1344" s="127">
        <v>1064</v>
      </c>
    </row>
    <row r="1345" spans="49:49" ht="15" customHeight="1" x14ac:dyDescent="0.35">
      <c r="AW1345" s="127">
        <v>1065</v>
      </c>
    </row>
    <row r="1346" spans="49:49" ht="15" customHeight="1" x14ac:dyDescent="0.35">
      <c r="AW1346" s="127">
        <v>1066</v>
      </c>
    </row>
    <row r="1347" spans="49:49" ht="15" customHeight="1" x14ac:dyDescent="0.35">
      <c r="AW1347" s="127">
        <v>1067</v>
      </c>
    </row>
    <row r="1348" spans="49:49" ht="15" customHeight="1" x14ac:dyDescent="0.35">
      <c r="AW1348" s="127">
        <v>1068</v>
      </c>
    </row>
    <row r="1349" spans="49:49" ht="15" customHeight="1" x14ac:dyDescent="0.35">
      <c r="AW1349" s="127">
        <v>1069</v>
      </c>
    </row>
    <row r="1350" spans="49:49" ht="15" customHeight="1" x14ac:dyDescent="0.35">
      <c r="AW1350" s="127">
        <v>1070</v>
      </c>
    </row>
    <row r="1351" spans="49:49" ht="15" customHeight="1" x14ac:dyDescent="0.35">
      <c r="AW1351" s="127">
        <v>1071</v>
      </c>
    </row>
    <row r="1352" spans="49:49" ht="15" customHeight="1" x14ac:dyDescent="0.35">
      <c r="AW1352" s="127">
        <v>1072</v>
      </c>
    </row>
    <row r="1353" spans="49:49" ht="15" customHeight="1" x14ac:dyDescent="0.35">
      <c r="AW1353" s="127">
        <v>1073</v>
      </c>
    </row>
    <row r="1354" spans="49:49" ht="15" customHeight="1" x14ac:dyDescent="0.35">
      <c r="AW1354" s="127">
        <v>1074</v>
      </c>
    </row>
    <row r="1355" spans="49:49" ht="15" customHeight="1" x14ac:dyDescent="0.35">
      <c r="AW1355" s="127">
        <v>1075</v>
      </c>
    </row>
    <row r="1356" spans="49:49" ht="15" customHeight="1" x14ac:dyDescent="0.35">
      <c r="AW1356" s="127">
        <v>1076</v>
      </c>
    </row>
    <row r="1357" spans="49:49" ht="15" customHeight="1" x14ac:dyDescent="0.35">
      <c r="AW1357" s="127">
        <v>1077</v>
      </c>
    </row>
    <row r="1358" spans="49:49" ht="15" customHeight="1" x14ac:dyDescent="0.35">
      <c r="AW1358" s="127">
        <v>1078</v>
      </c>
    </row>
    <row r="1359" spans="49:49" ht="15" customHeight="1" x14ac:dyDescent="0.35">
      <c r="AW1359" s="127">
        <v>1079</v>
      </c>
    </row>
    <row r="1360" spans="49:49" ht="15" customHeight="1" x14ac:dyDescent="0.35">
      <c r="AW1360" s="127">
        <v>1080</v>
      </c>
    </row>
    <row r="1361" spans="49:49" ht="15" customHeight="1" x14ac:dyDescent="0.35">
      <c r="AW1361" s="127">
        <v>1081</v>
      </c>
    </row>
    <row r="1362" spans="49:49" ht="15" customHeight="1" x14ac:dyDescent="0.35">
      <c r="AW1362" s="127">
        <v>1082</v>
      </c>
    </row>
    <row r="1363" spans="49:49" ht="15" customHeight="1" x14ac:dyDescent="0.35">
      <c r="AW1363" s="127">
        <v>1083</v>
      </c>
    </row>
    <row r="1364" spans="49:49" ht="15" customHeight="1" x14ac:dyDescent="0.35">
      <c r="AW1364" s="127">
        <v>1084</v>
      </c>
    </row>
    <row r="1365" spans="49:49" ht="15" customHeight="1" x14ac:dyDescent="0.35">
      <c r="AW1365" s="127">
        <v>1085</v>
      </c>
    </row>
    <row r="1366" spans="49:49" ht="15" customHeight="1" x14ac:dyDescent="0.35">
      <c r="AW1366" s="127">
        <v>1086</v>
      </c>
    </row>
    <row r="1367" spans="49:49" ht="15" customHeight="1" x14ac:dyDescent="0.35">
      <c r="AW1367" s="127">
        <v>1087</v>
      </c>
    </row>
    <row r="1368" spans="49:49" ht="15" customHeight="1" x14ac:dyDescent="0.35">
      <c r="AW1368" s="127">
        <v>1088</v>
      </c>
    </row>
    <row r="1369" spans="49:49" ht="15" customHeight="1" x14ac:dyDescent="0.35">
      <c r="AW1369" s="127">
        <v>1089</v>
      </c>
    </row>
    <row r="1370" spans="49:49" ht="15" customHeight="1" x14ac:dyDescent="0.35">
      <c r="AW1370" s="127">
        <v>1090</v>
      </c>
    </row>
    <row r="1371" spans="49:49" ht="15" customHeight="1" x14ac:dyDescent="0.35">
      <c r="AW1371" s="127">
        <v>1091</v>
      </c>
    </row>
    <row r="1372" spans="49:49" ht="15" customHeight="1" x14ac:dyDescent="0.35">
      <c r="AW1372" s="127">
        <v>1092</v>
      </c>
    </row>
    <row r="1373" spans="49:49" ht="15" customHeight="1" x14ac:dyDescent="0.35">
      <c r="AW1373" s="127">
        <v>1093</v>
      </c>
    </row>
    <row r="1374" spans="49:49" ht="15" customHeight="1" x14ac:dyDescent="0.35">
      <c r="AW1374" s="127">
        <v>1094</v>
      </c>
    </row>
    <row r="1375" spans="49:49" ht="15" customHeight="1" x14ac:dyDescent="0.35">
      <c r="AW1375" s="127">
        <v>1095</v>
      </c>
    </row>
    <row r="1376" spans="49:49" ht="15" customHeight="1" x14ac:dyDescent="0.35">
      <c r="AW1376" s="127">
        <v>1096</v>
      </c>
    </row>
    <row r="1377" spans="49:49" ht="15" customHeight="1" x14ac:dyDescent="0.35">
      <c r="AW1377" s="127">
        <v>1097</v>
      </c>
    </row>
    <row r="1378" spans="49:49" ht="15" customHeight="1" x14ac:dyDescent="0.35">
      <c r="AW1378" s="127">
        <v>1098</v>
      </c>
    </row>
    <row r="1379" spans="49:49" ht="15" customHeight="1" x14ac:dyDescent="0.35">
      <c r="AW1379" s="127">
        <v>1099</v>
      </c>
    </row>
    <row r="1380" spans="49:49" ht="15" customHeight="1" x14ac:dyDescent="0.35">
      <c r="AW1380" s="127">
        <v>1100</v>
      </c>
    </row>
    <row r="1381" spans="49:49" ht="15" customHeight="1" x14ac:dyDescent="0.35">
      <c r="AW1381" s="127">
        <v>1101</v>
      </c>
    </row>
    <row r="1382" spans="49:49" ht="15" customHeight="1" x14ac:dyDescent="0.35">
      <c r="AW1382" s="127">
        <v>1102</v>
      </c>
    </row>
    <row r="1383" spans="49:49" ht="15" customHeight="1" x14ac:dyDescent="0.35">
      <c r="AW1383" s="127">
        <v>1103</v>
      </c>
    </row>
    <row r="1384" spans="49:49" ht="15" customHeight="1" x14ac:dyDescent="0.35">
      <c r="AW1384" s="127">
        <v>1104</v>
      </c>
    </row>
    <row r="1385" spans="49:49" ht="15" customHeight="1" x14ac:dyDescent="0.35">
      <c r="AW1385" s="127">
        <v>1105</v>
      </c>
    </row>
    <row r="1386" spans="49:49" ht="15" customHeight="1" x14ac:dyDescent="0.35">
      <c r="AW1386" s="127">
        <v>1106</v>
      </c>
    </row>
    <row r="1387" spans="49:49" ht="15" customHeight="1" x14ac:dyDescent="0.35">
      <c r="AW1387" s="127">
        <v>1107</v>
      </c>
    </row>
    <row r="1388" spans="49:49" ht="15" customHeight="1" x14ac:dyDescent="0.35">
      <c r="AW1388" s="127">
        <v>1108</v>
      </c>
    </row>
    <row r="1389" spans="49:49" ht="15" customHeight="1" x14ac:dyDescent="0.35">
      <c r="AW1389" s="127">
        <v>1109</v>
      </c>
    </row>
    <row r="1390" spans="49:49" ht="15" customHeight="1" x14ac:dyDescent="0.35">
      <c r="AW1390" s="127">
        <v>1110</v>
      </c>
    </row>
    <row r="1391" spans="49:49" ht="15" customHeight="1" x14ac:dyDescent="0.35">
      <c r="AW1391" s="127">
        <v>1111</v>
      </c>
    </row>
    <row r="1392" spans="49:49" ht="15" customHeight="1" x14ac:dyDescent="0.35">
      <c r="AW1392" s="127">
        <v>1112</v>
      </c>
    </row>
    <row r="1393" spans="49:49" ht="15" customHeight="1" x14ac:dyDescent="0.35">
      <c r="AW1393" s="127">
        <v>1113</v>
      </c>
    </row>
    <row r="1394" spans="49:49" ht="15" customHeight="1" x14ac:dyDescent="0.35">
      <c r="AW1394" s="127">
        <v>1114</v>
      </c>
    </row>
    <row r="1395" spans="49:49" ht="15" customHeight="1" x14ac:dyDescent="0.35">
      <c r="AW1395" s="127">
        <v>1115</v>
      </c>
    </row>
    <row r="1396" spans="49:49" ht="15" customHeight="1" x14ac:dyDescent="0.35">
      <c r="AW1396" s="127">
        <v>1116</v>
      </c>
    </row>
    <row r="1397" spans="49:49" ht="15" customHeight="1" x14ac:dyDescent="0.35">
      <c r="AW1397" s="127">
        <v>1117</v>
      </c>
    </row>
    <row r="1398" spans="49:49" ht="15" customHeight="1" x14ac:dyDescent="0.35">
      <c r="AW1398" s="127">
        <v>1118</v>
      </c>
    </row>
    <row r="1399" spans="49:49" ht="15" customHeight="1" x14ac:dyDescent="0.35">
      <c r="AW1399" s="127">
        <v>1119</v>
      </c>
    </row>
    <row r="1400" spans="49:49" ht="15" customHeight="1" x14ac:dyDescent="0.35">
      <c r="AW1400" s="127">
        <v>1120</v>
      </c>
    </row>
    <row r="1401" spans="49:49" ht="15" customHeight="1" x14ac:dyDescent="0.35">
      <c r="AW1401" s="127">
        <v>1121</v>
      </c>
    </row>
    <row r="1402" spans="49:49" ht="15" customHeight="1" x14ac:dyDescent="0.35">
      <c r="AW1402" s="127">
        <v>1122</v>
      </c>
    </row>
    <row r="1403" spans="49:49" ht="15" customHeight="1" x14ac:dyDescent="0.35">
      <c r="AW1403" s="127">
        <v>1123</v>
      </c>
    </row>
    <row r="1404" spans="49:49" ht="15" customHeight="1" x14ac:dyDescent="0.35">
      <c r="AW1404" s="127">
        <v>1124</v>
      </c>
    </row>
    <row r="1405" spans="49:49" ht="15" customHeight="1" x14ac:dyDescent="0.35">
      <c r="AW1405" s="127">
        <v>1125</v>
      </c>
    </row>
    <row r="1406" spans="49:49" ht="15" customHeight="1" x14ac:dyDescent="0.35">
      <c r="AW1406" s="127">
        <v>1126</v>
      </c>
    </row>
    <row r="1407" spans="49:49" ht="15" customHeight="1" x14ac:dyDescent="0.35">
      <c r="AW1407" s="127">
        <v>1127</v>
      </c>
    </row>
    <row r="1408" spans="49:49" ht="15" customHeight="1" x14ac:dyDescent="0.35">
      <c r="AW1408" s="127">
        <v>1128</v>
      </c>
    </row>
    <row r="1409" spans="49:49" ht="15" customHeight="1" x14ac:dyDescent="0.35">
      <c r="AW1409" s="127">
        <v>1129</v>
      </c>
    </row>
    <row r="1410" spans="49:49" ht="15" customHeight="1" x14ac:dyDescent="0.35">
      <c r="AW1410" s="127">
        <v>1130</v>
      </c>
    </row>
    <row r="1411" spans="49:49" ht="15" customHeight="1" x14ac:dyDescent="0.35">
      <c r="AW1411" s="127">
        <v>1131</v>
      </c>
    </row>
    <row r="1412" spans="49:49" ht="15" customHeight="1" x14ac:dyDescent="0.35">
      <c r="AW1412" s="127">
        <v>1132</v>
      </c>
    </row>
    <row r="1413" spans="49:49" ht="15" customHeight="1" x14ac:dyDescent="0.35">
      <c r="AW1413" s="127">
        <v>1133</v>
      </c>
    </row>
    <row r="1414" spans="49:49" ht="15" customHeight="1" x14ac:dyDescent="0.35">
      <c r="AW1414" s="127">
        <v>1134</v>
      </c>
    </row>
    <row r="1415" spans="49:49" ht="15" customHeight="1" x14ac:dyDescent="0.35">
      <c r="AW1415" s="127">
        <v>1135</v>
      </c>
    </row>
    <row r="1416" spans="49:49" ht="15" customHeight="1" x14ac:dyDescent="0.35">
      <c r="AW1416" s="127">
        <v>1136</v>
      </c>
    </row>
    <row r="1417" spans="49:49" ht="15" customHeight="1" x14ac:dyDescent="0.35">
      <c r="AW1417" s="127">
        <v>1137</v>
      </c>
    </row>
    <row r="1418" spans="49:49" ht="15" customHeight="1" x14ac:dyDescent="0.35">
      <c r="AW1418" s="127">
        <v>1138</v>
      </c>
    </row>
    <row r="1419" spans="49:49" ht="15" customHeight="1" x14ac:dyDescent="0.35">
      <c r="AW1419" s="127">
        <v>1139</v>
      </c>
    </row>
    <row r="1420" spans="49:49" ht="15" customHeight="1" x14ac:dyDescent="0.35">
      <c r="AW1420" s="127">
        <v>1140</v>
      </c>
    </row>
    <row r="1421" spans="49:49" ht="15" customHeight="1" x14ac:dyDescent="0.35">
      <c r="AW1421" s="127">
        <v>1141</v>
      </c>
    </row>
    <row r="1422" spans="49:49" ht="15" customHeight="1" x14ac:dyDescent="0.35">
      <c r="AW1422" s="127">
        <v>1142</v>
      </c>
    </row>
    <row r="1423" spans="49:49" ht="15" customHeight="1" x14ac:dyDescent="0.35">
      <c r="AW1423" s="127">
        <v>1143</v>
      </c>
    </row>
    <row r="1424" spans="49:49" ht="15" customHeight="1" x14ac:dyDescent="0.35">
      <c r="AW1424" s="127">
        <v>1144</v>
      </c>
    </row>
    <row r="1425" spans="49:49" ht="15" customHeight="1" x14ac:dyDescent="0.35">
      <c r="AW1425" s="127">
        <v>1145</v>
      </c>
    </row>
    <row r="1426" spans="49:49" ht="15" customHeight="1" x14ac:dyDescent="0.35">
      <c r="AW1426" s="127">
        <v>1146</v>
      </c>
    </row>
    <row r="1427" spans="49:49" ht="15" customHeight="1" x14ac:dyDescent="0.35">
      <c r="AW1427" s="127">
        <v>1147</v>
      </c>
    </row>
    <row r="1428" spans="49:49" ht="15" customHeight="1" x14ac:dyDescent="0.35">
      <c r="AW1428" s="127">
        <v>1148</v>
      </c>
    </row>
    <row r="1429" spans="49:49" ht="15" customHeight="1" x14ac:dyDescent="0.35">
      <c r="AW1429" s="127">
        <v>1149</v>
      </c>
    </row>
    <row r="1430" spans="49:49" ht="15" customHeight="1" x14ac:dyDescent="0.35">
      <c r="AW1430" s="127">
        <v>1150</v>
      </c>
    </row>
    <row r="1431" spans="49:49" ht="15" customHeight="1" x14ac:dyDescent="0.35">
      <c r="AW1431" s="127">
        <v>1151</v>
      </c>
    </row>
    <row r="1432" spans="49:49" ht="15" customHeight="1" x14ac:dyDescent="0.35">
      <c r="AW1432" s="127">
        <v>1152</v>
      </c>
    </row>
    <row r="1433" spans="49:49" ht="15" customHeight="1" x14ac:dyDescent="0.35">
      <c r="AW1433" s="127">
        <v>1153</v>
      </c>
    </row>
    <row r="1434" spans="49:49" ht="15" customHeight="1" x14ac:dyDescent="0.35">
      <c r="AW1434" s="127">
        <v>1154</v>
      </c>
    </row>
    <row r="1435" spans="49:49" ht="15" customHeight="1" x14ac:dyDescent="0.35">
      <c r="AW1435" s="127">
        <v>1155</v>
      </c>
    </row>
    <row r="1436" spans="49:49" ht="15" customHeight="1" x14ac:dyDescent="0.35">
      <c r="AW1436" s="127">
        <v>1156</v>
      </c>
    </row>
    <row r="1437" spans="49:49" ht="15" customHeight="1" x14ac:dyDescent="0.35">
      <c r="AW1437" s="127">
        <v>1157</v>
      </c>
    </row>
    <row r="1438" spans="49:49" ht="15" customHeight="1" x14ac:dyDescent="0.35">
      <c r="AW1438" s="127">
        <v>1158</v>
      </c>
    </row>
    <row r="1439" spans="49:49" ht="15" customHeight="1" x14ac:dyDescent="0.35">
      <c r="AW1439" s="127">
        <v>1159</v>
      </c>
    </row>
    <row r="1440" spans="49:49" ht="15" customHeight="1" x14ac:dyDescent="0.35">
      <c r="AW1440" s="127">
        <v>1160</v>
      </c>
    </row>
    <row r="1441" spans="49:49" ht="15" customHeight="1" x14ac:dyDescent="0.35">
      <c r="AW1441" s="127">
        <v>1161</v>
      </c>
    </row>
    <row r="1442" spans="49:49" ht="15" customHeight="1" x14ac:dyDescent="0.35">
      <c r="AW1442" s="127">
        <v>1162</v>
      </c>
    </row>
    <row r="1443" spans="49:49" ht="15" customHeight="1" x14ac:dyDescent="0.35">
      <c r="AW1443" s="127">
        <v>1163</v>
      </c>
    </row>
    <row r="1444" spans="49:49" ht="15" customHeight="1" x14ac:dyDescent="0.35">
      <c r="AW1444" s="127">
        <v>1164</v>
      </c>
    </row>
    <row r="1445" spans="49:49" ht="15" customHeight="1" x14ac:dyDescent="0.35">
      <c r="AW1445" s="127">
        <v>1165</v>
      </c>
    </row>
    <row r="1446" spans="49:49" ht="15" customHeight="1" x14ac:dyDescent="0.35">
      <c r="AW1446" s="127">
        <v>1166</v>
      </c>
    </row>
    <row r="1447" spans="49:49" ht="15" customHeight="1" x14ac:dyDescent="0.35">
      <c r="AW1447" s="127">
        <v>1167</v>
      </c>
    </row>
    <row r="1448" spans="49:49" ht="15" customHeight="1" x14ac:dyDescent="0.35">
      <c r="AW1448" s="127">
        <v>1168</v>
      </c>
    </row>
    <row r="1449" spans="49:49" ht="15" customHeight="1" x14ac:dyDescent="0.35">
      <c r="AW1449" s="127">
        <v>1169</v>
      </c>
    </row>
    <row r="1450" spans="49:49" ht="15" customHeight="1" x14ac:dyDescent="0.35">
      <c r="AW1450" s="127">
        <v>1170</v>
      </c>
    </row>
    <row r="1451" spans="49:49" ht="15" customHeight="1" x14ac:dyDescent="0.35">
      <c r="AW1451" s="127">
        <v>1171</v>
      </c>
    </row>
    <row r="1452" spans="49:49" ht="15" customHeight="1" x14ac:dyDescent="0.35">
      <c r="AW1452" s="127">
        <v>1172</v>
      </c>
    </row>
    <row r="1453" spans="49:49" ht="15" customHeight="1" x14ac:dyDescent="0.35">
      <c r="AW1453" s="127">
        <v>1173</v>
      </c>
    </row>
    <row r="1454" spans="49:49" ht="15" customHeight="1" x14ac:dyDescent="0.35">
      <c r="AW1454" s="127">
        <v>1174</v>
      </c>
    </row>
    <row r="1455" spans="49:49" ht="15" customHeight="1" x14ac:dyDescent="0.35">
      <c r="AW1455" s="127">
        <v>1175</v>
      </c>
    </row>
    <row r="1456" spans="49:49" ht="15" customHeight="1" x14ac:dyDescent="0.35">
      <c r="AW1456" s="127">
        <v>1176</v>
      </c>
    </row>
    <row r="1457" spans="49:49" ht="15" customHeight="1" x14ac:dyDescent="0.35">
      <c r="AW1457" s="127">
        <v>1177</v>
      </c>
    </row>
    <row r="1458" spans="49:49" ht="15" customHeight="1" x14ac:dyDescent="0.35">
      <c r="AW1458" s="127">
        <v>1178</v>
      </c>
    </row>
    <row r="1459" spans="49:49" ht="15" customHeight="1" x14ac:dyDescent="0.35">
      <c r="AW1459" s="127">
        <v>1179</v>
      </c>
    </row>
    <row r="1460" spans="49:49" ht="15" customHeight="1" x14ac:dyDescent="0.35">
      <c r="AW1460" s="127">
        <v>1180</v>
      </c>
    </row>
    <row r="1461" spans="49:49" ht="15" customHeight="1" x14ac:dyDescent="0.35">
      <c r="AW1461" s="127">
        <v>1181</v>
      </c>
    </row>
    <row r="1462" spans="49:49" ht="15" customHeight="1" x14ac:dyDescent="0.35">
      <c r="AW1462" s="127">
        <v>1182</v>
      </c>
    </row>
    <row r="1463" spans="49:49" ht="15" customHeight="1" x14ac:dyDescent="0.35">
      <c r="AW1463" s="127">
        <v>1183</v>
      </c>
    </row>
    <row r="1464" spans="49:49" ht="15" customHeight="1" x14ac:dyDescent="0.35">
      <c r="AW1464" s="127">
        <v>1184</v>
      </c>
    </row>
    <row r="1465" spans="49:49" ht="15" customHeight="1" x14ac:dyDescent="0.35">
      <c r="AW1465" s="127">
        <v>1185</v>
      </c>
    </row>
    <row r="1466" spans="49:49" ht="15" customHeight="1" x14ac:dyDescent="0.35">
      <c r="AW1466" s="127">
        <v>1186</v>
      </c>
    </row>
    <row r="1467" spans="49:49" ht="15" customHeight="1" x14ac:dyDescent="0.35">
      <c r="AW1467" s="127">
        <v>1187</v>
      </c>
    </row>
    <row r="1468" spans="49:49" ht="15" customHeight="1" x14ac:dyDescent="0.35">
      <c r="AW1468" s="127">
        <v>1188</v>
      </c>
    </row>
    <row r="1469" spans="49:49" ht="15" customHeight="1" x14ac:dyDescent="0.35">
      <c r="AW1469" s="127">
        <v>1189</v>
      </c>
    </row>
    <row r="1470" spans="49:49" ht="15" customHeight="1" x14ac:dyDescent="0.35">
      <c r="AW1470" s="127">
        <v>1190</v>
      </c>
    </row>
    <row r="1471" spans="49:49" ht="15" customHeight="1" x14ac:dyDescent="0.35">
      <c r="AW1471" s="127">
        <v>1191</v>
      </c>
    </row>
    <row r="1472" spans="49:49" ht="15" customHeight="1" x14ac:dyDescent="0.35">
      <c r="AW1472" s="127">
        <v>1192</v>
      </c>
    </row>
    <row r="1473" spans="49:49" ht="15" customHeight="1" x14ac:dyDescent="0.35">
      <c r="AW1473" s="127">
        <v>1193</v>
      </c>
    </row>
    <row r="1474" spans="49:49" ht="15" customHeight="1" x14ac:dyDescent="0.35">
      <c r="AW1474" s="127">
        <v>1194</v>
      </c>
    </row>
    <row r="1475" spans="49:49" ht="15" customHeight="1" x14ac:dyDescent="0.35">
      <c r="AW1475" s="127">
        <v>1195</v>
      </c>
    </row>
    <row r="1476" spans="49:49" ht="15" customHeight="1" x14ac:dyDescent="0.35">
      <c r="AW1476" s="127">
        <v>1196</v>
      </c>
    </row>
    <row r="1477" spans="49:49" ht="15" customHeight="1" x14ac:dyDescent="0.35">
      <c r="AW1477" s="127">
        <v>1197</v>
      </c>
    </row>
    <row r="1478" spans="49:49" ht="15" customHeight="1" x14ac:dyDescent="0.35">
      <c r="AW1478" s="127">
        <v>1198</v>
      </c>
    </row>
    <row r="1479" spans="49:49" ht="15" customHeight="1" x14ac:dyDescent="0.35">
      <c r="AW1479" s="127">
        <v>1199</v>
      </c>
    </row>
    <row r="1480" spans="49:49" ht="15" customHeight="1" x14ac:dyDescent="0.35">
      <c r="AW1480" s="127">
        <v>1200</v>
      </c>
    </row>
    <row r="1481" spans="49:49" ht="15" customHeight="1" x14ac:dyDescent="0.35">
      <c r="AW1481" s="127">
        <v>1201</v>
      </c>
    </row>
    <row r="1482" spans="49:49" ht="15" customHeight="1" x14ac:dyDescent="0.35">
      <c r="AW1482" s="127">
        <v>1202</v>
      </c>
    </row>
    <row r="1483" spans="49:49" ht="15" customHeight="1" x14ac:dyDescent="0.35">
      <c r="AW1483" s="127">
        <v>1203</v>
      </c>
    </row>
    <row r="1484" spans="49:49" ht="15" customHeight="1" x14ac:dyDescent="0.35">
      <c r="AW1484" s="127">
        <v>1204</v>
      </c>
    </row>
    <row r="1485" spans="49:49" ht="15" customHeight="1" x14ac:dyDescent="0.35">
      <c r="AW1485" s="127">
        <v>1205</v>
      </c>
    </row>
    <row r="1486" spans="49:49" ht="15" customHeight="1" x14ac:dyDescent="0.35">
      <c r="AW1486" s="127">
        <v>1206</v>
      </c>
    </row>
    <row r="1487" spans="49:49" ht="15" customHeight="1" x14ac:dyDescent="0.35">
      <c r="AW1487" s="127">
        <v>1207</v>
      </c>
    </row>
    <row r="1488" spans="49:49" ht="15" customHeight="1" x14ac:dyDescent="0.35">
      <c r="AW1488" s="127">
        <v>1208</v>
      </c>
    </row>
    <row r="1489" spans="49:49" ht="15" customHeight="1" x14ac:dyDescent="0.35">
      <c r="AW1489" s="127">
        <v>1209</v>
      </c>
    </row>
    <row r="1490" spans="49:49" ht="15" customHeight="1" x14ac:dyDescent="0.35">
      <c r="AW1490" s="127">
        <v>1210</v>
      </c>
    </row>
    <row r="1491" spans="49:49" ht="15" customHeight="1" x14ac:dyDescent="0.35">
      <c r="AW1491" s="127">
        <v>1211</v>
      </c>
    </row>
    <row r="1492" spans="49:49" ht="15" customHeight="1" x14ac:dyDescent="0.35">
      <c r="AW1492" s="127">
        <v>1212</v>
      </c>
    </row>
    <row r="1493" spans="49:49" ht="15" customHeight="1" x14ac:dyDescent="0.35">
      <c r="AW1493" s="127">
        <v>1213</v>
      </c>
    </row>
    <row r="1494" spans="49:49" ht="15" customHeight="1" x14ac:dyDescent="0.35">
      <c r="AW1494" s="127">
        <v>1214</v>
      </c>
    </row>
    <row r="1495" spans="49:49" ht="15" customHeight="1" x14ac:dyDescent="0.35">
      <c r="AW1495" s="127">
        <v>1215</v>
      </c>
    </row>
    <row r="1496" spans="49:49" ht="15" customHeight="1" x14ac:dyDescent="0.35">
      <c r="AW1496" s="127">
        <v>1216</v>
      </c>
    </row>
    <row r="1497" spans="49:49" ht="15" customHeight="1" x14ac:dyDescent="0.35">
      <c r="AW1497" s="127">
        <v>1217</v>
      </c>
    </row>
    <row r="1498" spans="49:49" ht="15" customHeight="1" x14ac:dyDescent="0.35">
      <c r="AW1498" s="127">
        <v>1218</v>
      </c>
    </row>
    <row r="1499" spans="49:49" ht="15" customHeight="1" x14ac:dyDescent="0.35">
      <c r="AW1499" s="127">
        <v>1219</v>
      </c>
    </row>
    <row r="1500" spans="49:49" ht="15" customHeight="1" x14ac:dyDescent="0.35">
      <c r="AW1500" s="127">
        <v>1220</v>
      </c>
    </row>
    <row r="1501" spans="49:49" ht="15" customHeight="1" x14ac:dyDescent="0.35">
      <c r="AW1501" s="127">
        <v>1221</v>
      </c>
    </row>
    <row r="1502" spans="49:49" ht="15" customHeight="1" x14ac:dyDescent="0.35">
      <c r="AW1502" s="127">
        <v>1222</v>
      </c>
    </row>
    <row r="1503" spans="49:49" ht="15" customHeight="1" x14ac:dyDescent="0.35">
      <c r="AW1503" s="127">
        <v>1223</v>
      </c>
    </row>
    <row r="1504" spans="49:49" ht="15" customHeight="1" x14ac:dyDescent="0.35">
      <c r="AW1504" s="127">
        <v>1224</v>
      </c>
    </row>
    <row r="1505" spans="49:49" ht="15" customHeight="1" x14ac:dyDescent="0.35">
      <c r="AW1505" s="127">
        <v>1225</v>
      </c>
    </row>
    <row r="1506" spans="49:49" ht="15" customHeight="1" x14ac:dyDescent="0.35">
      <c r="AW1506" s="127">
        <v>1226</v>
      </c>
    </row>
    <row r="1507" spans="49:49" ht="15" customHeight="1" x14ac:dyDescent="0.35">
      <c r="AW1507" s="127">
        <v>1227</v>
      </c>
    </row>
    <row r="1508" spans="49:49" ht="15" customHeight="1" x14ac:dyDescent="0.35">
      <c r="AW1508" s="127">
        <v>1228</v>
      </c>
    </row>
    <row r="1509" spans="49:49" ht="15" customHeight="1" x14ac:dyDescent="0.35">
      <c r="AW1509" s="127">
        <v>1229</v>
      </c>
    </row>
    <row r="1510" spans="49:49" ht="15" customHeight="1" x14ac:dyDescent="0.35">
      <c r="AW1510" s="127">
        <v>1230</v>
      </c>
    </row>
    <row r="1511" spans="49:49" ht="15" customHeight="1" x14ac:dyDescent="0.35">
      <c r="AW1511" s="127">
        <v>1231</v>
      </c>
    </row>
    <row r="1512" spans="49:49" ht="15" customHeight="1" x14ac:dyDescent="0.35">
      <c r="AW1512" s="127">
        <v>1232</v>
      </c>
    </row>
    <row r="1513" spans="49:49" ht="15" customHeight="1" x14ac:dyDescent="0.35">
      <c r="AW1513" s="127">
        <v>1233</v>
      </c>
    </row>
    <row r="1514" spans="49:49" ht="15" customHeight="1" x14ac:dyDescent="0.35">
      <c r="AW1514" s="127">
        <v>1234</v>
      </c>
    </row>
    <row r="1515" spans="49:49" ht="15" customHeight="1" x14ac:dyDescent="0.35">
      <c r="AW1515" s="127">
        <v>1235</v>
      </c>
    </row>
    <row r="1516" spans="49:49" ht="15" customHeight="1" x14ac:dyDescent="0.35">
      <c r="AW1516" s="127">
        <v>1236</v>
      </c>
    </row>
    <row r="1517" spans="49:49" ht="15" customHeight="1" x14ac:dyDescent="0.35">
      <c r="AW1517" s="127">
        <v>1237</v>
      </c>
    </row>
    <row r="1518" spans="49:49" ht="15" customHeight="1" x14ac:dyDescent="0.35">
      <c r="AW1518" s="127">
        <v>1238</v>
      </c>
    </row>
    <row r="1519" spans="49:49" ht="15" customHeight="1" x14ac:dyDescent="0.35">
      <c r="AW1519" s="127">
        <v>1239</v>
      </c>
    </row>
    <row r="1520" spans="49:49" ht="15" customHeight="1" x14ac:dyDescent="0.35">
      <c r="AW1520" s="127">
        <v>1240</v>
      </c>
    </row>
    <row r="1521" spans="49:49" ht="15" customHeight="1" x14ac:dyDescent="0.35">
      <c r="AW1521" s="127">
        <v>1241</v>
      </c>
    </row>
    <row r="1522" spans="49:49" ht="15" customHeight="1" x14ac:dyDescent="0.35">
      <c r="AW1522" s="127">
        <v>1242</v>
      </c>
    </row>
    <row r="1523" spans="49:49" ht="15" customHeight="1" x14ac:dyDescent="0.35">
      <c r="AW1523" s="127">
        <v>1243</v>
      </c>
    </row>
    <row r="1524" spans="49:49" ht="15" customHeight="1" x14ac:dyDescent="0.35">
      <c r="AW1524" s="127">
        <v>1244</v>
      </c>
    </row>
    <row r="1525" spans="49:49" ht="15" customHeight="1" x14ac:dyDescent="0.35">
      <c r="AW1525" s="127">
        <v>1245</v>
      </c>
    </row>
    <row r="1526" spans="49:49" ht="15" customHeight="1" x14ac:dyDescent="0.35">
      <c r="AW1526" s="127">
        <v>1246</v>
      </c>
    </row>
    <row r="1527" spans="49:49" ht="15" customHeight="1" x14ac:dyDescent="0.35">
      <c r="AW1527" s="127">
        <v>1247</v>
      </c>
    </row>
    <row r="1528" spans="49:49" ht="15" customHeight="1" x14ac:dyDescent="0.35">
      <c r="AW1528" s="127">
        <v>1248</v>
      </c>
    </row>
    <row r="1529" spans="49:49" ht="15" customHeight="1" x14ac:dyDescent="0.35">
      <c r="AW1529" s="127">
        <v>1249</v>
      </c>
    </row>
    <row r="1530" spans="49:49" ht="15" customHeight="1" x14ac:dyDescent="0.35">
      <c r="AW1530" s="127">
        <v>1250</v>
      </c>
    </row>
    <row r="1531" spans="49:49" ht="15" customHeight="1" x14ac:dyDescent="0.35">
      <c r="AW1531" s="127">
        <v>1251</v>
      </c>
    </row>
    <row r="1532" spans="49:49" ht="15" customHeight="1" x14ac:dyDescent="0.35">
      <c r="AW1532" s="127">
        <v>1252</v>
      </c>
    </row>
    <row r="1533" spans="49:49" ht="15" customHeight="1" x14ac:dyDescent="0.35">
      <c r="AW1533" s="127">
        <v>1253</v>
      </c>
    </row>
    <row r="1534" spans="49:49" ht="15" customHeight="1" x14ac:dyDescent="0.35">
      <c r="AW1534" s="127">
        <v>1254</v>
      </c>
    </row>
    <row r="1535" spans="49:49" ht="15" customHeight="1" x14ac:dyDescent="0.35">
      <c r="AW1535" s="127">
        <v>1255</v>
      </c>
    </row>
    <row r="1536" spans="49:49" ht="15" customHeight="1" x14ac:dyDescent="0.35">
      <c r="AW1536" s="127">
        <v>1256</v>
      </c>
    </row>
    <row r="1537" spans="49:49" ht="15" customHeight="1" x14ac:dyDescent="0.35">
      <c r="AW1537" s="127">
        <v>1257</v>
      </c>
    </row>
    <row r="1538" spans="49:49" ht="15" customHeight="1" x14ac:dyDescent="0.35">
      <c r="AW1538" s="127">
        <v>1258</v>
      </c>
    </row>
    <row r="1539" spans="49:49" ht="15" customHeight="1" x14ac:dyDescent="0.35">
      <c r="AW1539" s="127">
        <v>1259</v>
      </c>
    </row>
    <row r="1540" spans="49:49" ht="15" customHeight="1" x14ac:dyDescent="0.35">
      <c r="AW1540" s="127">
        <v>1260</v>
      </c>
    </row>
    <row r="1541" spans="49:49" ht="15" customHeight="1" x14ac:dyDescent="0.35">
      <c r="AW1541" s="127">
        <v>1261</v>
      </c>
    </row>
    <row r="1542" spans="49:49" ht="15" customHeight="1" x14ac:dyDescent="0.35">
      <c r="AW1542" s="127">
        <v>1262</v>
      </c>
    </row>
    <row r="1543" spans="49:49" ht="15" customHeight="1" x14ac:dyDescent="0.35">
      <c r="AW1543" s="127">
        <v>1263</v>
      </c>
    </row>
    <row r="1544" spans="49:49" ht="15" customHeight="1" x14ac:dyDescent="0.35">
      <c r="AW1544" s="127">
        <v>1264</v>
      </c>
    </row>
    <row r="1545" spans="49:49" ht="15" customHeight="1" x14ac:dyDescent="0.35">
      <c r="AW1545" s="127">
        <v>1265</v>
      </c>
    </row>
    <row r="1546" spans="49:49" ht="15" customHeight="1" x14ac:dyDescent="0.35">
      <c r="AW1546" s="127">
        <v>1266</v>
      </c>
    </row>
    <row r="1547" spans="49:49" ht="15" customHeight="1" x14ac:dyDescent="0.35">
      <c r="AW1547" s="127">
        <v>1267</v>
      </c>
    </row>
    <row r="1548" spans="49:49" ht="15" customHeight="1" x14ac:dyDescent="0.35">
      <c r="AW1548" s="127">
        <v>1268</v>
      </c>
    </row>
    <row r="1549" spans="49:49" ht="15" customHeight="1" x14ac:dyDescent="0.35">
      <c r="AW1549" s="127">
        <v>1269</v>
      </c>
    </row>
    <row r="1550" spans="49:49" ht="15" customHeight="1" x14ac:dyDescent="0.35">
      <c r="AW1550" s="127">
        <v>1270</v>
      </c>
    </row>
    <row r="1551" spans="49:49" ht="15" customHeight="1" x14ac:dyDescent="0.35">
      <c r="AW1551" s="127">
        <v>1271</v>
      </c>
    </row>
    <row r="1552" spans="49:49" ht="15" customHeight="1" x14ac:dyDescent="0.35">
      <c r="AW1552" s="127">
        <v>1272</v>
      </c>
    </row>
    <row r="1553" spans="49:49" ht="15" customHeight="1" x14ac:dyDescent="0.35">
      <c r="AW1553" s="127">
        <v>1273</v>
      </c>
    </row>
    <row r="1554" spans="49:49" ht="15" customHeight="1" x14ac:dyDescent="0.35">
      <c r="AW1554" s="127">
        <v>1274</v>
      </c>
    </row>
    <row r="1555" spans="49:49" ht="15" customHeight="1" x14ac:dyDescent="0.35">
      <c r="AW1555" s="127">
        <v>1275</v>
      </c>
    </row>
    <row r="1556" spans="49:49" ht="15" customHeight="1" x14ac:dyDescent="0.35">
      <c r="AW1556" s="127">
        <v>1276</v>
      </c>
    </row>
    <row r="1557" spans="49:49" ht="15" customHeight="1" x14ac:dyDescent="0.35">
      <c r="AW1557" s="127">
        <v>1277</v>
      </c>
    </row>
    <row r="1558" spans="49:49" ht="15" customHeight="1" x14ac:dyDescent="0.35">
      <c r="AW1558" s="127">
        <v>1278</v>
      </c>
    </row>
    <row r="1559" spans="49:49" ht="15" customHeight="1" x14ac:dyDescent="0.35">
      <c r="AW1559" s="127">
        <v>1279</v>
      </c>
    </row>
    <row r="1560" spans="49:49" ht="15" customHeight="1" x14ac:dyDescent="0.35">
      <c r="AW1560" s="127">
        <v>1280</v>
      </c>
    </row>
    <row r="1561" spans="49:49" ht="15" customHeight="1" x14ac:dyDescent="0.35">
      <c r="AW1561" s="127">
        <v>1281</v>
      </c>
    </row>
    <row r="1562" spans="49:49" ht="15" customHeight="1" x14ac:dyDescent="0.35">
      <c r="AW1562" s="127">
        <v>1282</v>
      </c>
    </row>
    <row r="1563" spans="49:49" ht="15" customHeight="1" x14ac:dyDescent="0.35">
      <c r="AW1563" s="127">
        <v>1283</v>
      </c>
    </row>
    <row r="1564" spans="49:49" ht="15" customHeight="1" x14ac:dyDescent="0.35">
      <c r="AW1564" s="127">
        <v>1284</v>
      </c>
    </row>
    <row r="1565" spans="49:49" ht="15" customHeight="1" x14ac:dyDescent="0.35">
      <c r="AW1565" s="127">
        <v>1285</v>
      </c>
    </row>
    <row r="1566" spans="49:49" ht="15" customHeight="1" x14ac:dyDescent="0.35">
      <c r="AW1566" s="127">
        <v>1286</v>
      </c>
    </row>
    <row r="1567" spans="49:49" ht="15" customHeight="1" x14ac:dyDescent="0.35">
      <c r="AW1567" s="127">
        <v>1287</v>
      </c>
    </row>
    <row r="1568" spans="49:49" ht="15" customHeight="1" x14ac:dyDescent="0.35">
      <c r="AW1568" s="127">
        <v>1288</v>
      </c>
    </row>
    <row r="1569" spans="49:49" ht="15" customHeight="1" x14ac:dyDescent="0.35">
      <c r="AW1569" s="127">
        <v>1289</v>
      </c>
    </row>
    <row r="1570" spans="49:49" ht="15" customHeight="1" x14ac:dyDescent="0.35">
      <c r="AW1570" s="127">
        <v>1290</v>
      </c>
    </row>
    <row r="1571" spans="49:49" ht="15" customHeight="1" x14ac:dyDescent="0.35">
      <c r="AW1571" s="127">
        <v>1291</v>
      </c>
    </row>
    <row r="1572" spans="49:49" ht="15" customHeight="1" x14ac:dyDescent="0.35">
      <c r="AW1572" s="127">
        <v>1292</v>
      </c>
    </row>
    <row r="1573" spans="49:49" ht="15" customHeight="1" x14ac:dyDescent="0.35">
      <c r="AW1573" s="127">
        <v>1293</v>
      </c>
    </row>
    <row r="1574" spans="49:49" ht="15" customHeight="1" x14ac:dyDescent="0.35">
      <c r="AW1574" s="127">
        <v>1294</v>
      </c>
    </row>
    <row r="1575" spans="49:49" ht="15" customHeight="1" x14ac:dyDescent="0.35">
      <c r="AW1575" s="127">
        <v>1295</v>
      </c>
    </row>
    <row r="1576" spans="49:49" ht="15" customHeight="1" x14ac:dyDescent="0.35">
      <c r="AW1576" s="127">
        <v>1296</v>
      </c>
    </row>
    <row r="1577" spans="49:49" ht="15" customHeight="1" x14ac:dyDescent="0.35">
      <c r="AW1577" s="127">
        <v>1297</v>
      </c>
    </row>
    <row r="1578" spans="49:49" ht="15" customHeight="1" x14ac:dyDescent="0.35">
      <c r="AW1578" s="127">
        <v>1298</v>
      </c>
    </row>
    <row r="1579" spans="49:49" ht="15" customHeight="1" x14ac:dyDescent="0.35">
      <c r="AW1579" s="127">
        <v>1299</v>
      </c>
    </row>
    <row r="1580" spans="49:49" ht="15" customHeight="1" x14ac:dyDescent="0.35">
      <c r="AW1580" s="127">
        <v>1300</v>
      </c>
    </row>
    <row r="1581" spans="49:49" ht="15" customHeight="1" x14ac:dyDescent="0.35">
      <c r="AW1581" s="127">
        <v>1301</v>
      </c>
    </row>
    <row r="1582" spans="49:49" ht="15" customHeight="1" x14ac:dyDescent="0.35">
      <c r="AW1582" s="127">
        <v>1302</v>
      </c>
    </row>
    <row r="1583" spans="49:49" ht="15" customHeight="1" x14ac:dyDescent="0.35">
      <c r="AW1583" s="127">
        <v>1303</v>
      </c>
    </row>
    <row r="1584" spans="49:49" ht="15" customHeight="1" x14ac:dyDescent="0.35">
      <c r="AW1584" s="127">
        <v>1304</v>
      </c>
    </row>
    <row r="1585" spans="49:49" ht="15" customHeight="1" x14ac:dyDescent="0.35">
      <c r="AW1585" s="127">
        <v>1305</v>
      </c>
    </row>
    <row r="1586" spans="49:49" ht="15" customHeight="1" x14ac:dyDescent="0.35">
      <c r="AW1586" s="127">
        <v>1306</v>
      </c>
    </row>
    <row r="1587" spans="49:49" ht="15" customHeight="1" x14ac:dyDescent="0.35">
      <c r="AW1587" s="127">
        <v>1307</v>
      </c>
    </row>
    <row r="1588" spans="49:49" ht="15" customHeight="1" x14ac:dyDescent="0.35">
      <c r="AW1588" s="127">
        <v>1308</v>
      </c>
    </row>
    <row r="1589" spans="49:49" ht="15" customHeight="1" x14ac:dyDescent="0.35">
      <c r="AW1589" s="127">
        <v>1309</v>
      </c>
    </row>
    <row r="1590" spans="49:49" ht="15" customHeight="1" x14ac:dyDescent="0.35">
      <c r="AW1590" s="127">
        <v>1310</v>
      </c>
    </row>
    <row r="1591" spans="49:49" ht="15" customHeight="1" x14ac:dyDescent="0.35">
      <c r="AW1591" s="127">
        <v>1311</v>
      </c>
    </row>
    <row r="1592" spans="49:49" ht="15" customHeight="1" x14ac:dyDescent="0.35">
      <c r="AW1592" s="127">
        <v>1312</v>
      </c>
    </row>
    <row r="1593" spans="49:49" ht="15" customHeight="1" x14ac:dyDescent="0.35">
      <c r="AW1593" s="127">
        <v>1313</v>
      </c>
    </row>
    <row r="1594" spans="49:49" ht="15" customHeight="1" x14ac:dyDescent="0.35">
      <c r="AW1594" s="127">
        <v>1314</v>
      </c>
    </row>
    <row r="1595" spans="49:49" ht="15" customHeight="1" x14ac:dyDescent="0.35">
      <c r="AW1595" s="127">
        <v>1315</v>
      </c>
    </row>
    <row r="1596" spans="49:49" ht="15" customHeight="1" x14ac:dyDescent="0.35">
      <c r="AW1596" s="127">
        <v>1316</v>
      </c>
    </row>
    <row r="1597" spans="49:49" ht="15" customHeight="1" x14ac:dyDescent="0.35">
      <c r="AW1597" s="127">
        <v>1317</v>
      </c>
    </row>
    <row r="1598" spans="49:49" ht="15" customHeight="1" x14ac:dyDescent="0.35">
      <c r="AW1598" s="127">
        <v>1318</v>
      </c>
    </row>
    <row r="1599" spans="49:49" ht="15" customHeight="1" x14ac:dyDescent="0.35">
      <c r="AW1599" s="127">
        <v>1319</v>
      </c>
    </row>
    <row r="1600" spans="49:49" ht="15" customHeight="1" x14ac:dyDescent="0.35">
      <c r="AW1600" s="127">
        <v>1320</v>
      </c>
    </row>
    <row r="1601" spans="49:49" ht="15" customHeight="1" x14ac:dyDescent="0.35">
      <c r="AW1601" s="127">
        <v>1321</v>
      </c>
    </row>
    <row r="1602" spans="49:49" ht="15" customHeight="1" x14ac:dyDescent="0.35">
      <c r="AW1602" s="127">
        <v>1322</v>
      </c>
    </row>
    <row r="1603" spans="49:49" ht="15" customHeight="1" x14ac:dyDescent="0.35">
      <c r="AW1603" s="127">
        <v>1323</v>
      </c>
    </row>
    <row r="1604" spans="49:49" ht="15" customHeight="1" x14ac:dyDescent="0.35">
      <c r="AW1604" s="127">
        <v>1324</v>
      </c>
    </row>
    <row r="1605" spans="49:49" ht="15" customHeight="1" x14ac:dyDescent="0.35">
      <c r="AW1605" s="127">
        <v>1325</v>
      </c>
    </row>
    <row r="1606" spans="49:49" ht="15" customHeight="1" x14ac:dyDescent="0.35">
      <c r="AW1606" s="127">
        <v>1326</v>
      </c>
    </row>
    <row r="1607" spans="49:49" ht="15" customHeight="1" x14ac:dyDescent="0.35">
      <c r="AW1607" s="127">
        <v>1327</v>
      </c>
    </row>
    <row r="1608" spans="49:49" ht="15" customHeight="1" x14ac:dyDescent="0.35">
      <c r="AW1608" s="127">
        <v>1328</v>
      </c>
    </row>
    <row r="1609" spans="49:49" ht="15" customHeight="1" x14ac:dyDescent="0.35">
      <c r="AW1609" s="127">
        <v>1329</v>
      </c>
    </row>
    <row r="1610" spans="49:49" ht="15" customHeight="1" x14ac:dyDescent="0.35">
      <c r="AW1610" s="127">
        <v>1330</v>
      </c>
    </row>
    <row r="1611" spans="49:49" ht="15" customHeight="1" x14ac:dyDescent="0.35">
      <c r="AW1611" s="127">
        <v>1331</v>
      </c>
    </row>
    <row r="1612" spans="49:49" ht="15" customHeight="1" x14ac:dyDescent="0.35">
      <c r="AW1612" s="127">
        <v>1332</v>
      </c>
    </row>
    <row r="1613" spans="49:49" ht="15" customHeight="1" x14ac:dyDescent="0.35">
      <c r="AW1613" s="127">
        <v>1333</v>
      </c>
    </row>
    <row r="1614" spans="49:49" ht="15" customHeight="1" x14ac:dyDescent="0.35">
      <c r="AW1614" s="127">
        <v>1334</v>
      </c>
    </row>
    <row r="1615" spans="49:49" ht="15" customHeight="1" x14ac:dyDescent="0.35">
      <c r="AW1615" s="127">
        <v>1335</v>
      </c>
    </row>
    <row r="1616" spans="49:49" ht="15" customHeight="1" x14ac:dyDescent="0.35">
      <c r="AW1616" s="127">
        <v>1336</v>
      </c>
    </row>
    <row r="1617" spans="49:49" ht="15" customHeight="1" x14ac:dyDescent="0.35">
      <c r="AW1617" s="127">
        <v>1337</v>
      </c>
    </row>
    <row r="1618" spans="49:49" ht="15" customHeight="1" x14ac:dyDescent="0.35">
      <c r="AW1618" s="127">
        <v>1338</v>
      </c>
    </row>
    <row r="1619" spans="49:49" ht="15" customHeight="1" x14ac:dyDescent="0.35">
      <c r="AW1619" s="127">
        <v>1339</v>
      </c>
    </row>
    <row r="1620" spans="49:49" ht="15" customHeight="1" x14ac:dyDescent="0.35">
      <c r="AW1620" s="127">
        <v>1340</v>
      </c>
    </row>
    <row r="1621" spans="49:49" ht="15" customHeight="1" x14ac:dyDescent="0.35">
      <c r="AW1621" s="127">
        <v>1341</v>
      </c>
    </row>
    <row r="1622" spans="49:49" ht="15" customHeight="1" x14ac:dyDescent="0.35">
      <c r="AW1622" s="127">
        <v>1342</v>
      </c>
    </row>
    <row r="1623" spans="49:49" ht="15" customHeight="1" x14ac:dyDescent="0.35">
      <c r="AW1623" s="127">
        <v>1343</v>
      </c>
    </row>
    <row r="1624" spans="49:49" ht="15" customHeight="1" x14ac:dyDescent="0.35">
      <c r="AW1624" s="127">
        <v>1344</v>
      </c>
    </row>
    <row r="1625" spans="49:49" ht="15" customHeight="1" x14ac:dyDescent="0.35">
      <c r="AW1625" s="127">
        <v>1345</v>
      </c>
    </row>
    <row r="1626" spans="49:49" ht="15" customHeight="1" x14ac:dyDescent="0.35">
      <c r="AW1626" s="127">
        <v>1346</v>
      </c>
    </row>
    <row r="1627" spans="49:49" ht="15" customHeight="1" x14ac:dyDescent="0.35">
      <c r="AW1627" s="127">
        <v>1347</v>
      </c>
    </row>
    <row r="1628" spans="49:49" ht="15" customHeight="1" x14ac:dyDescent="0.35">
      <c r="AW1628" s="127">
        <v>1348</v>
      </c>
    </row>
    <row r="1629" spans="49:49" ht="15" customHeight="1" x14ac:dyDescent="0.35">
      <c r="AW1629" s="127">
        <v>1349</v>
      </c>
    </row>
    <row r="1630" spans="49:49" ht="15" customHeight="1" x14ac:dyDescent="0.35">
      <c r="AW1630" s="127">
        <v>1350</v>
      </c>
    </row>
    <row r="1631" spans="49:49" ht="15" customHeight="1" x14ac:dyDescent="0.35">
      <c r="AW1631" s="127">
        <v>1351</v>
      </c>
    </row>
    <row r="1632" spans="49:49" ht="15" customHeight="1" x14ac:dyDescent="0.35">
      <c r="AW1632" s="127">
        <v>1352</v>
      </c>
    </row>
    <row r="1633" spans="49:49" ht="15" customHeight="1" x14ac:dyDescent="0.35">
      <c r="AW1633" s="127">
        <v>1353</v>
      </c>
    </row>
    <row r="1634" spans="49:49" ht="15" customHeight="1" x14ac:dyDescent="0.35">
      <c r="AW1634" s="127">
        <v>1354</v>
      </c>
    </row>
    <row r="1635" spans="49:49" ht="15" customHeight="1" x14ac:dyDescent="0.35">
      <c r="AW1635" s="127">
        <v>1355</v>
      </c>
    </row>
    <row r="1636" spans="49:49" ht="15" customHeight="1" x14ac:dyDescent="0.35">
      <c r="AW1636" s="127">
        <v>1356</v>
      </c>
    </row>
    <row r="1637" spans="49:49" ht="15" customHeight="1" x14ac:dyDescent="0.35">
      <c r="AW1637" s="127">
        <v>1357</v>
      </c>
    </row>
    <row r="1638" spans="49:49" ht="15" customHeight="1" x14ac:dyDescent="0.35">
      <c r="AW1638" s="127">
        <v>1358</v>
      </c>
    </row>
    <row r="1639" spans="49:49" ht="15" customHeight="1" x14ac:dyDescent="0.35">
      <c r="AW1639" s="127">
        <v>1359</v>
      </c>
    </row>
    <row r="1640" spans="49:49" ht="15" customHeight="1" x14ac:dyDescent="0.35">
      <c r="AW1640" s="127">
        <v>1360</v>
      </c>
    </row>
    <row r="1641" spans="49:49" ht="15" customHeight="1" x14ac:dyDescent="0.35">
      <c r="AW1641" s="127">
        <v>1361</v>
      </c>
    </row>
    <row r="1642" spans="49:49" ht="15" customHeight="1" x14ac:dyDescent="0.35">
      <c r="AW1642" s="127">
        <v>1362</v>
      </c>
    </row>
    <row r="1643" spans="49:49" ht="15" customHeight="1" x14ac:dyDescent="0.35">
      <c r="AW1643" s="127">
        <v>1363</v>
      </c>
    </row>
    <row r="1644" spans="49:49" ht="15" customHeight="1" x14ac:dyDescent="0.35">
      <c r="AW1644" s="127">
        <v>1364</v>
      </c>
    </row>
    <row r="1645" spans="49:49" ht="15" customHeight="1" x14ac:dyDescent="0.35">
      <c r="AW1645" s="127">
        <v>1365</v>
      </c>
    </row>
    <row r="1646" spans="49:49" ht="15" customHeight="1" x14ac:dyDescent="0.35">
      <c r="AW1646" s="127">
        <v>1366</v>
      </c>
    </row>
    <row r="1647" spans="49:49" ht="15" customHeight="1" x14ac:dyDescent="0.35">
      <c r="AW1647" s="127">
        <v>1367</v>
      </c>
    </row>
    <row r="1648" spans="49:49" ht="15" customHeight="1" x14ac:dyDescent="0.35">
      <c r="AW1648" s="127">
        <v>1368</v>
      </c>
    </row>
    <row r="1649" spans="49:49" ht="15" customHeight="1" x14ac:dyDescent="0.35">
      <c r="AW1649" s="127">
        <v>1369</v>
      </c>
    </row>
    <row r="1650" spans="49:49" ht="15" customHeight="1" x14ac:dyDescent="0.35">
      <c r="AW1650" s="127">
        <v>1370</v>
      </c>
    </row>
    <row r="1651" spans="49:49" ht="15" customHeight="1" x14ac:dyDescent="0.35">
      <c r="AW1651" s="127">
        <v>1371</v>
      </c>
    </row>
    <row r="1652" spans="49:49" ht="15" customHeight="1" x14ac:dyDescent="0.35">
      <c r="AW1652" s="127">
        <v>1372</v>
      </c>
    </row>
    <row r="1653" spans="49:49" ht="15" customHeight="1" x14ac:dyDescent="0.35">
      <c r="AW1653" s="127">
        <v>1373</v>
      </c>
    </row>
    <row r="1654" spans="49:49" ht="15" customHeight="1" x14ac:dyDescent="0.35">
      <c r="AW1654" s="127">
        <v>1374</v>
      </c>
    </row>
    <row r="1655" spans="49:49" ht="15" customHeight="1" x14ac:dyDescent="0.35">
      <c r="AW1655" s="127">
        <v>1375</v>
      </c>
    </row>
    <row r="1656" spans="49:49" ht="15" customHeight="1" x14ac:dyDescent="0.35">
      <c r="AW1656" s="127">
        <v>1376</v>
      </c>
    </row>
    <row r="1657" spans="49:49" ht="15" customHeight="1" x14ac:dyDescent="0.35">
      <c r="AW1657" s="127">
        <v>1377</v>
      </c>
    </row>
    <row r="1658" spans="49:49" ht="15" customHeight="1" x14ac:dyDescent="0.35">
      <c r="AW1658" s="127">
        <v>1378</v>
      </c>
    </row>
    <row r="1659" spans="49:49" ht="15" customHeight="1" x14ac:dyDescent="0.35">
      <c r="AW1659" s="127">
        <v>1379</v>
      </c>
    </row>
    <row r="1660" spans="49:49" ht="15" customHeight="1" x14ac:dyDescent="0.35">
      <c r="AW1660" s="127">
        <v>1380</v>
      </c>
    </row>
    <row r="1661" spans="49:49" ht="15" customHeight="1" x14ac:dyDescent="0.35">
      <c r="AW1661" s="127">
        <v>1381</v>
      </c>
    </row>
    <row r="1662" spans="49:49" ht="15" customHeight="1" x14ac:dyDescent="0.35">
      <c r="AW1662" s="127">
        <v>1382</v>
      </c>
    </row>
    <row r="1663" spans="49:49" ht="15" customHeight="1" x14ac:dyDescent="0.35">
      <c r="AW1663" s="127">
        <v>1383</v>
      </c>
    </row>
    <row r="1664" spans="49:49" ht="15" customHeight="1" x14ac:dyDescent="0.35">
      <c r="AW1664" s="127">
        <v>1384</v>
      </c>
    </row>
    <row r="1665" spans="49:49" ht="15" customHeight="1" x14ac:dyDescent="0.35">
      <c r="AW1665" s="127">
        <v>1385</v>
      </c>
    </row>
    <row r="1666" spans="49:49" ht="15" customHeight="1" x14ac:dyDescent="0.35">
      <c r="AW1666" s="127">
        <v>1386</v>
      </c>
    </row>
    <row r="1667" spans="49:49" ht="15" customHeight="1" x14ac:dyDescent="0.35">
      <c r="AW1667" s="127">
        <v>1387</v>
      </c>
    </row>
    <row r="1668" spans="49:49" ht="15" customHeight="1" x14ac:dyDescent="0.35">
      <c r="AW1668" s="127">
        <v>1388</v>
      </c>
    </row>
    <row r="1669" spans="49:49" ht="15" customHeight="1" x14ac:dyDescent="0.35">
      <c r="AW1669" s="127">
        <v>1389</v>
      </c>
    </row>
    <row r="1670" spans="49:49" ht="15" customHeight="1" x14ac:dyDescent="0.35">
      <c r="AW1670" s="127">
        <v>1390</v>
      </c>
    </row>
    <row r="1671" spans="49:49" ht="15" customHeight="1" x14ac:dyDescent="0.35">
      <c r="AW1671" s="127">
        <v>1391</v>
      </c>
    </row>
    <row r="1672" spans="49:49" ht="15" customHeight="1" x14ac:dyDescent="0.35">
      <c r="AW1672" s="127">
        <v>1392</v>
      </c>
    </row>
    <row r="1673" spans="49:49" ht="15" customHeight="1" x14ac:dyDescent="0.35">
      <c r="AW1673" s="127">
        <v>1393</v>
      </c>
    </row>
    <row r="1674" spans="49:49" ht="15" customHeight="1" x14ac:dyDescent="0.35">
      <c r="AW1674" s="127">
        <v>1394</v>
      </c>
    </row>
    <row r="1675" spans="49:49" ht="15" customHeight="1" x14ac:dyDescent="0.35">
      <c r="AW1675" s="127">
        <v>1395</v>
      </c>
    </row>
    <row r="1676" spans="49:49" ht="15" customHeight="1" x14ac:dyDescent="0.35">
      <c r="AW1676" s="127">
        <v>1396</v>
      </c>
    </row>
    <row r="1677" spans="49:49" ht="15" customHeight="1" x14ac:dyDescent="0.35">
      <c r="AW1677" s="127">
        <v>1397</v>
      </c>
    </row>
    <row r="1678" spans="49:49" ht="15" customHeight="1" x14ac:dyDescent="0.35">
      <c r="AW1678" s="127">
        <v>1398</v>
      </c>
    </row>
    <row r="1679" spans="49:49" ht="15" customHeight="1" x14ac:dyDescent="0.35">
      <c r="AW1679" s="127">
        <v>1399</v>
      </c>
    </row>
    <row r="1680" spans="49:49" ht="15" customHeight="1" x14ac:dyDescent="0.35">
      <c r="AW1680" s="127">
        <v>1400</v>
      </c>
    </row>
    <row r="1681" spans="49:49" ht="15" customHeight="1" x14ac:dyDescent="0.35">
      <c r="AW1681" s="127">
        <v>1401</v>
      </c>
    </row>
    <row r="1682" spans="49:49" ht="15" customHeight="1" x14ac:dyDescent="0.35">
      <c r="AW1682" s="127">
        <v>1402</v>
      </c>
    </row>
    <row r="1683" spans="49:49" ht="15" customHeight="1" x14ac:dyDescent="0.35">
      <c r="AW1683" s="127">
        <v>1403</v>
      </c>
    </row>
    <row r="1684" spans="49:49" ht="15" customHeight="1" x14ac:dyDescent="0.35">
      <c r="AW1684" s="127">
        <v>1404</v>
      </c>
    </row>
    <row r="1685" spans="49:49" ht="15" customHeight="1" x14ac:dyDescent="0.35">
      <c r="AW1685" s="127">
        <v>1405</v>
      </c>
    </row>
    <row r="1686" spans="49:49" ht="15" customHeight="1" x14ac:dyDescent="0.35">
      <c r="AW1686" s="127">
        <v>1406</v>
      </c>
    </row>
    <row r="1687" spans="49:49" ht="15" customHeight="1" x14ac:dyDescent="0.35">
      <c r="AW1687" s="127">
        <v>1407</v>
      </c>
    </row>
    <row r="1688" spans="49:49" ht="15" customHeight="1" x14ac:dyDescent="0.35">
      <c r="AW1688" s="127">
        <v>1408</v>
      </c>
    </row>
    <row r="1689" spans="49:49" ht="15" customHeight="1" x14ac:dyDescent="0.35">
      <c r="AW1689" s="127">
        <v>1409</v>
      </c>
    </row>
    <row r="1690" spans="49:49" ht="15" customHeight="1" x14ac:dyDescent="0.35">
      <c r="AW1690" s="127">
        <v>1410</v>
      </c>
    </row>
    <row r="1691" spans="49:49" ht="15" customHeight="1" x14ac:dyDescent="0.35">
      <c r="AW1691" s="127">
        <v>1411</v>
      </c>
    </row>
    <row r="1692" spans="49:49" ht="15" customHeight="1" x14ac:dyDescent="0.35">
      <c r="AW1692" s="127">
        <v>1412</v>
      </c>
    </row>
    <row r="1693" spans="49:49" ht="15" customHeight="1" x14ac:dyDescent="0.35">
      <c r="AW1693" s="127">
        <v>1413</v>
      </c>
    </row>
    <row r="1694" spans="49:49" ht="15" customHeight="1" x14ac:dyDescent="0.35">
      <c r="AW1694" s="127">
        <v>1414</v>
      </c>
    </row>
    <row r="1695" spans="49:49" ht="15" customHeight="1" x14ac:dyDescent="0.35">
      <c r="AW1695" s="127">
        <v>1415</v>
      </c>
    </row>
    <row r="1696" spans="49:49" ht="15" customHeight="1" x14ac:dyDescent="0.35">
      <c r="AW1696" s="127">
        <v>1416</v>
      </c>
    </row>
    <row r="1697" spans="49:49" ht="15" customHeight="1" x14ac:dyDescent="0.35">
      <c r="AW1697" s="127">
        <v>1417</v>
      </c>
    </row>
    <row r="1698" spans="49:49" ht="15" customHeight="1" x14ac:dyDescent="0.35">
      <c r="AW1698" s="127">
        <v>1418</v>
      </c>
    </row>
    <row r="1699" spans="49:49" ht="15" customHeight="1" x14ac:dyDescent="0.35">
      <c r="AW1699" s="127">
        <v>1419</v>
      </c>
    </row>
    <row r="1700" spans="49:49" ht="15" customHeight="1" x14ac:dyDescent="0.35">
      <c r="AW1700" s="127">
        <v>1420</v>
      </c>
    </row>
    <row r="1701" spans="49:49" ht="15" customHeight="1" x14ac:dyDescent="0.35">
      <c r="AW1701" s="127">
        <v>1421</v>
      </c>
    </row>
    <row r="1702" spans="49:49" ht="15" customHeight="1" x14ac:dyDescent="0.35">
      <c r="AW1702" s="127">
        <v>1422</v>
      </c>
    </row>
    <row r="1703" spans="49:49" ht="15" customHeight="1" x14ac:dyDescent="0.35">
      <c r="AW1703" s="127">
        <v>1423</v>
      </c>
    </row>
    <row r="1704" spans="49:49" ht="15" customHeight="1" x14ac:dyDescent="0.35">
      <c r="AW1704" s="127">
        <v>1424</v>
      </c>
    </row>
    <row r="1705" spans="49:49" ht="15" customHeight="1" x14ac:dyDescent="0.35">
      <c r="AW1705" s="127">
        <v>1425</v>
      </c>
    </row>
    <row r="1706" spans="49:49" ht="15" customHeight="1" x14ac:dyDescent="0.35">
      <c r="AW1706" s="127">
        <v>1426</v>
      </c>
    </row>
    <row r="1707" spans="49:49" ht="15" customHeight="1" x14ac:dyDescent="0.35">
      <c r="AW1707" s="127">
        <v>1427</v>
      </c>
    </row>
    <row r="1708" spans="49:49" ht="15" customHeight="1" x14ac:dyDescent="0.35">
      <c r="AW1708" s="127">
        <v>1428</v>
      </c>
    </row>
    <row r="1709" spans="49:49" ht="15" customHeight="1" x14ac:dyDescent="0.35">
      <c r="AW1709" s="127">
        <v>1429</v>
      </c>
    </row>
    <row r="1710" spans="49:49" ht="15" customHeight="1" x14ac:dyDescent="0.35">
      <c r="AW1710" s="127">
        <v>1430</v>
      </c>
    </row>
    <row r="1711" spans="49:49" ht="15" customHeight="1" x14ac:dyDescent="0.35">
      <c r="AW1711" s="127">
        <v>1431</v>
      </c>
    </row>
    <row r="1712" spans="49:49" ht="15" customHeight="1" x14ac:dyDescent="0.35">
      <c r="AW1712" s="127">
        <v>1432</v>
      </c>
    </row>
    <row r="1713" spans="49:49" ht="15" customHeight="1" x14ac:dyDescent="0.35">
      <c r="AW1713" s="127">
        <v>1433</v>
      </c>
    </row>
    <row r="1714" spans="49:49" ht="15" customHeight="1" x14ac:dyDescent="0.35">
      <c r="AW1714" s="127">
        <v>1434</v>
      </c>
    </row>
    <row r="1715" spans="49:49" ht="15" customHeight="1" x14ac:dyDescent="0.35">
      <c r="AW1715" s="127">
        <v>1435</v>
      </c>
    </row>
    <row r="1716" spans="49:49" ht="15" customHeight="1" x14ac:dyDescent="0.35">
      <c r="AW1716" s="127">
        <v>1436</v>
      </c>
    </row>
    <row r="1717" spans="49:49" ht="15" customHeight="1" x14ac:dyDescent="0.35">
      <c r="AW1717" s="127">
        <v>1437</v>
      </c>
    </row>
    <row r="1718" spans="49:49" ht="15" customHeight="1" x14ac:dyDescent="0.35">
      <c r="AW1718" s="127">
        <v>1438</v>
      </c>
    </row>
    <row r="1719" spans="49:49" ht="15" customHeight="1" x14ac:dyDescent="0.35">
      <c r="AW1719" s="127">
        <v>1439</v>
      </c>
    </row>
    <row r="1720" spans="49:49" ht="15" customHeight="1" x14ac:dyDescent="0.35">
      <c r="AW1720" s="127">
        <v>1440</v>
      </c>
    </row>
    <row r="1721" spans="49:49" ht="15" customHeight="1" x14ac:dyDescent="0.35">
      <c r="AW1721" s="127">
        <v>1441</v>
      </c>
    </row>
    <row r="1722" spans="49:49" ht="15" customHeight="1" x14ac:dyDescent="0.35">
      <c r="AW1722" s="127">
        <v>1442</v>
      </c>
    </row>
    <row r="1723" spans="49:49" ht="15" customHeight="1" x14ac:dyDescent="0.35">
      <c r="AW1723" s="127">
        <v>1443</v>
      </c>
    </row>
    <row r="1724" spans="49:49" ht="15" customHeight="1" x14ac:dyDescent="0.35">
      <c r="AW1724" s="127">
        <v>1444</v>
      </c>
    </row>
    <row r="1725" spans="49:49" ht="15" customHeight="1" x14ac:dyDescent="0.35">
      <c r="AW1725" s="127">
        <v>1445</v>
      </c>
    </row>
    <row r="1726" spans="49:49" ht="15" customHeight="1" x14ac:dyDescent="0.35">
      <c r="AW1726" s="127">
        <v>1446</v>
      </c>
    </row>
    <row r="1727" spans="49:49" ht="15" customHeight="1" x14ac:dyDescent="0.35">
      <c r="AW1727" s="127">
        <v>1447</v>
      </c>
    </row>
    <row r="1728" spans="49:49" ht="15" customHeight="1" x14ac:dyDescent="0.35">
      <c r="AW1728" s="127">
        <v>1448</v>
      </c>
    </row>
    <row r="1729" spans="49:49" ht="15" customHeight="1" x14ac:dyDescent="0.35">
      <c r="AW1729" s="127">
        <v>1449</v>
      </c>
    </row>
    <row r="1730" spans="49:49" ht="15" customHeight="1" x14ac:dyDescent="0.35">
      <c r="AW1730" s="127">
        <v>1450</v>
      </c>
    </row>
    <row r="1731" spans="49:49" ht="15" customHeight="1" x14ac:dyDescent="0.35">
      <c r="AW1731" s="127">
        <v>1451</v>
      </c>
    </row>
    <row r="1732" spans="49:49" ht="15" customHeight="1" x14ac:dyDescent="0.35">
      <c r="AW1732" s="127">
        <v>1452</v>
      </c>
    </row>
    <row r="1733" spans="49:49" ht="15" customHeight="1" x14ac:dyDescent="0.35">
      <c r="AW1733" s="127">
        <v>1453</v>
      </c>
    </row>
    <row r="1734" spans="49:49" ht="15" customHeight="1" x14ac:dyDescent="0.35">
      <c r="AW1734" s="127">
        <v>1454</v>
      </c>
    </row>
    <row r="1735" spans="49:49" ht="15" customHeight="1" x14ac:dyDescent="0.35">
      <c r="AW1735" s="127">
        <v>1455</v>
      </c>
    </row>
    <row r="1736" spans="49:49" ht="15" customHeight="1" x14ac:dyDescent="0.35">
      <c r="AW1736" s="127">
        <v>1456</v>
      </c>
    </row>
    <row r="1737" spans="49:49" ht="15" customHeight="1" x14ac:dyDescent="0.35">
      <c r="AW1737" s="127">
        <v>1457</v>
      </c>
    </row>
    <row r="1738" spans="49:49" ht="15" customHeight="1" x14ac:dyDescent="0.35">
      <c r="AW1738" s="127">
        <v>1458</v>
      </c>
    </row>
    <row r="1739" spans="49:49" ht="15" customHeight="1" x14ac:dyDescent="0.35">
      <c r="AW1739" s="127">
        <v>1459</v>
      </c>
    </row>
    <row r="1740" spans="49:49" ht="15" customHeight="1" x14ac:dyDescent="0.35">
      <c r="AW1740" s="127">
        <v>1460</v>
      </c>
    </row>
    <row r="1741" spans="49:49" ht="15" customHeight="1" x14ac:dyDescent="0.35">
      <c r="AW1741" s="127">
        <v>1461</v>
      </c>
    </row>
    <row r="1742" spans="49:49" ht="15" customHeight="1" x14ac:dyDescent="0.35">
      <c r="AW1742" s="127">
        <v>1462</v>
      </c>
    </row>
    <row r="1743" spans="49:49" ht="15" customHeight="1" x14ac:dyDescent="0.35">
      <c r="AW1743" s="127">
        <v>1463</v>
      </c>
    </row>
    <row r="1744" spans="49:49" ht="15" customHeight="1" x14ac:dyDescent="0.35">
      <c r="AW1744" s="127">
        <v>1464</v>
      </c>
    </row>
    <row r="1745" spans="49:49" ht="15" customHeight="1" x14ac:dyDescent="0.35">
      <c r="AW1745" s="127">
        <v>1465</v>
      </c>
    </row>
    <row r="1746" spans="49:49" ht="15" customHeight="1" x14ac:dyDescent="0.35">
      <c r="AW1746" s="127">
        <v>1466</v>
      </c>
    </row>
    <row r="1747" spans="49:49" ht="15" customHeight="1" x14ac:dyDescent="0.35">
      <c r="AW1747" s="127">
        <v>1467</v>
      </c>
    </row>
    <row r="1748" spans="49:49" ht="15" customHeight="1" x14ac:dyDescent="0.35">
      <c r="AW1748" s="127">
        <v>1468</v>
      </c>
    </row>
    <row r="1749" spans="49:49" ht="15" customHeight="1" x14ac:dyDescent="0.35">
      <c r="AW1749" s="127">
        <v>1469</v>
      </c>
    </row>
    <row r="1750" spans="49:49" ht="15" customHeight="1" x14ac:dyDescent="0.35">
      <c r="AW1750" s="127">
        <v>1470</v>
      </c>
    </row>
    <row r="1751" spans="49:49" ht="15" customHeight="1" x14ac:dyDescent="0.35">
      <c r="AW1751" s="127">
        <v>1471</v>
      </c>
    </row>
    <row r="1752" spans="49:49" ht="15" customHeight="1" x14ac:dyDescent="0.35">
      <c r="AW1752" s="127">
        <v>1472</v>
      </c>
    </row>
    <row r="1753" spans="49:49" ht="15" customHeight="1" x14ac:dyDescent="0.35">
      <c r="AW1753" s="127">
        <v>1473</v>
      </c>
    </row>
    <row r="1754" spans="49:49" ht="15" customHeight="1" x14ac:dyDescent="0.35">
      <c r="AW1754" s="127">
        <v>1474</v>
      </c>
    </row>
    <row r="1755" spans="49:49" ht="15" customHeight="1" x14ac:dyDescent="0.35">
      <c r="AW1755" s="127">
        <v>1475</v>
      </c>
    </row>
    <row r="1756" spans="49:49" ht="15" customHeight="1" x14ac:dyDescent="0.35">
      <c r="AW1756" s="127">
        <v>1476</v>
      </c>
    </row>
    <row r="1757" spans="49:49" ht="15" customHeight="1" x14ac:dyDescent="0.35">
      <c r="AW1757" s="127">
        <v>1477</v>
      </c>
    </row>
    <row r="1758" spans="49:49" ht="15" customHeight="1" x14ac:dyDescent="0.35">
      <c r="AW1758" s="127">
        <v>1478</v>
      </c>
    </row>
    <row r="1759" spans="49:49" ht="15" customHeight="1" x14ac:dyDescent="0.35">
      <c r="AW1759" s="127">
        <v>1479</v>
      </c>
    </row>
    <row r="1760" spans="49:49" ht="15" customHeight="1" x14ac:dyDescent="0.35">
      <c r="AW1760" s="127">
        <v>1480</v>
      </c>
    </row>
    <row r="1761" spans="49:49" ht="15" customHeight="1" x14ac:dyDescent="0.35">
      <c r="AW1761" s="127">
        <v>1481</v>
      </c>
    </row>
    <row r="1762" spans="49:49" ht="15" customHeight="1" x14ac:dyDescent="0.35">
      <c r="AW1762" s="127">
        <v>1482</v>
      </c>
    </row>
    <row r="1763" spans="49:49" ht="15" customHeight="1" x14ac:dyDescent="0.35">
      <c r="AW1763" s="127">
        <v>1483</v>
      </c>
    </row>
    <row r="1764" spans="49:49" ht="15" customHeight="1" x14ac:dyDescent="0.35">
      <c r="AW1764" s="127">
        <v>1484</v>
      </c>
    </row>
    <row r="1765" spans="49:49" ht="15" customHeight="1" x14ac:dyDescent="0.35">
      <c r="AW1765" s="127">
        <v>1485</v>
      </c>
    </row>
    <row r="1766" spans="49:49" ht="15" customHeight="1" x14ac:dyDescent="0.35">
      <c r="AW1766" s="127">
        <v>1486</v>
      </c>
    </row>
    <row r="1767" spans="49:49" ht="15" customHeight="1" x14ac:dyDescent="0.35">
      <c r="AW1767" s="127">
        <v>1487</v>
      </c>
    </row>
    <row r="1768" spans="49:49" ht="15" customHeight="1" x14ac:dyDescent="0.35">
      <c r="AW1768" s="127">
        <v>1488</v>
      </c>
    </row>
    <row r="1769" spans="49:49" ht="15" customHeight="1" x14ac:dyDescent="0.35">
      <c r="AW1769" s="127">
        <v>1489</v>
      </c>
    </row>
    <row r="1770" spans="49:49" ht="15" customHeight="1" x14ac:dyDescent="0.35">
      <c r="AW1770" s="127">
        <v>1490</v>
      </c>
    </row>
    <row r="1771" spans="49:49" ht="15" customHeight="1" x14ac:dyDescent="0.35">
      <c r="AW1771" s="127">
        <v>1491</v>
      </c>
    </row>
    <row r="1772" spans="49:49" ht="15" customHeight="1" x14ac:dyDescent="0.35">
      <c r="AW1772" s="127">
        <v>1492</v>
      </c>
    </row>
  </sheetData>
  <mergeCells count="15">
    <mergeCell ref="B279:C279"/>
    <mergeCell ref="D278:N278"/>
    <mergeCell ref="D279:N279"/>
    <mergeCell ref="B275:C275"/>
    <mergeCell ref="D275:N275"/>
    <mergeCell ref="B276:C276"/>
    <mergeCell ref="D276:O276"/>
    <mergeCell ref="B277:C277"/>
    <mergeCell ref="D277:O277"/>
    <mergeCell ref="B272:C272"/>
    <mergeCell ref="D272:O272"/>
    <mergeCell ref="B273:C273"/>
    <mergeCell ref="D273:N273"/>
    <mergeCell ref="B274:C274"/>
    <mergeCell ref="D274:N274"/>
  </mergeCells>
  <conditionalFormatting sqref="AP285:AT289 AP295:AR297 AS293:AT297">
    <cfRule type="colorScale" priority="1">
      <colorScale>
        <cfvo type="formula" val="$Q$209*0.5"/>
        <cfvo type="num" val="$Q$209"/>
        <cfvo type="formula" val="$Q$209*2"/>
        <color rgb="FFF8696B"/>
        <color rgb="FFFCFCFF"/>
        <color rgb="FF63BE7B"/>
      </colorScale>
    </cfRule>
  </conditionalFormatting>
  <conditionalFormatting sqref="AP298:AT299">
    <cfRule type="colorScale" priority="2">
      <colorScale>
        <cfvo type="formula" val="$Q$209*0.5"/>
        <cfvo type="num" val="$Q$209"/>
        <cfvo type="formula" val="$Q$209*2"/>
        <color rgb="FFF8696B"/>
        <color rgb="FFFCFCFF"/>
        <color rgb="FF63BE7B"/>
      </colorScale>
    </cfRule>
  </conditionalFormatting>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tint="-0.249977111117893"/>
  </sheetPr>
  <dimension ref="A2:T395"/>
  <sheetViews>
    <sheetView showGridLines="0" topLeftCell="A58" zoomScaleNormal="70" workbookViewId="0">
      <selection activeCell="N76" sqref="N76"/>
    </sheetView>
  </sheetViews>
  <sheetFormatPr defaultColWidth="9" defaultRowHeight="14" x14ac:dyDescent="0.3"/>
  <cols>
    <col min="1" max="1" width="2.08203125" customWidth="1"/>
    <col min="2" max="2" width="18.08203125" customWidth="1"/>
    <col min="3" max="3" width="25.08203125" bestFit="1" customWidth="1"/>
    <col min="6" max="6" width="13.08203125" customWidth="1"/>
    <col min="7" max="11" width="11.08203125" style="26" hidden="1" customWidth="1"/>
    <col min="12" max="12" width="10.58203125" style="26" hidden="1" customWidth="1"/>
    <col min="13" max="13" width="12.58203125" style="26" hidden="1" customWidth="1"/>
    <col min="14" max="15" width="17.08203125" style="26" customWidth="1"/>
    <col min="16" max="16" width="17.58203125" style="26" customWidth="1"/>
    <col min="17" max="17" width="12.5" style="26" customWidth="1"/>
    <col min="18" max="18" width="21.58203125" style="6" customWidth="1"/>
  </cols>
  <sheetData>
    <row r="2" spans="1:18" s="41" customFormat="1" ht="20.149999999999999" customHeight="1" x14ac:dyDescent="0.4">
      <c r="B2" s="40" t="s">
        <v>586</v>
      </c>
      <c r="G2" s="217"/>
      <c r="H2" s="217"/>
      <c r="I2" s="217"/>
      <c r="J2" s="217"/>
      <c r="K2" s="217"/>
      <c r="L2" s="217"/>
      <c r="M2" s="217"/>
      <c r="N2" s="217"/>
      <c r="O2" s="217"/>
      <c r="P2" s="217"/>
      <c r="Q2" s="217"/>
      <c r="R2" s="42"/>
    </row>
    <row r="3" spans="1:18" ht="14.5" x14ac:dyDescent="0.35">
      <c r="B3" s="85" t="s">
        <v>587</v>
      </c>
      <c r="Q3" s="241"/>
    </row>
    <row r="4" spans="1:18" ht="15.5" x14ac:dyDescent="0.35">
      <c r="A4" t="s">
        <v>431</v>
      </c>
      <c r="B4" s="218" t="s">
        <v>261</v>
      </c>
      <c r="C4" s="53"/>
      <c r="D4" s="53"/>
      <c r="E4" s="53"/>
      <c r="F4" s="53"/>
      <c r="G4" s="219">
        <v>2014</v>
      </c>
      <c r="H4" s="219">
        <f>+G4+1</f>
        <v>2015</v>
      </c>
      <c r="I4" s="219">
        <f t="shared" ref="I4:M4" si="0">+H4+1</f>
        <v>2016</v>
      </c>
      <c r="J4" s="219">
        <f t="shared" si="0"/>
        <v>2017</v>
      </c>
      <c r="K4" s="219">
        <f t="shared" si="0"/>
        <v>2018</v>
      </c>
      <c r="L4" s="219">
        <f t="shared" si="0"/>
        <v>2019</v>
      </c>
      <c r="M4" s="219">
        <f t="shared" si="0"/>
        <v>2020</v>
      </c>
      <c r="N4" s="219">
        <f>+M4+1</f>
        <v>2021</v>
      </c>
      <c r="O4" s="219">
        <f>+N4+1</f>
        <v>2022</v>
      </c>
      <c r="P4" s="219">
        <f t="shared" ref="P4" si="1">+O4+1</f>
        <v>2023</v>
      </c>
      <c r="Q4" s="219">
        <f>+P4+1</f>
        <v>2024</v>
      </c>
      <c r="R4" s="55" t="str">
        <f>"CAGR "&amp;$N$4&amp;" - "&amp;$Q$4</f>
        <v>CAGR 2021 - 2024</v>
      </c>
    </row>
    <row r="5" spans="1:18" ht="4.4000000000000004" customHeight="1" x14ac:dyDescent="0.35">
      <c r="B5" s="50"/>
      <c r="C5" s="50"/>
      <c r="D5" s="50"/>
      <c r="E5" s="50"/>
      <c r="F5" s="50"/>
      <c r="G5" s="220"/>
      <c r="H5" s="220"/>
      <c r="I5" s="220"/>
      <c r="J5" s="220"/>
      <c r="K5" s="220"/>
      <c r="L5" s="220"/>
      <c r="M5" s="220"/>
      <c r="N5" s="220"/>
      <c r="O5" s="220"/>
      <c r="P5" s="220"/>
      <c r="Q5" s="220"/>
      <c r="R5" s="57"/>
    </row>
    <row r="6" spans="1:18" x14ac:dyDescent="0.3">
      <c r="B6" s="1" t="s">
        <v>475</v>
      </c>
      <c r="G6" s="735" t="s">
        <v>108</v>
      </c>
      <c r="H6" s="736" t="s">
        <v>108</v>
      </c>
      <c r="I6" s="736" t="s">
        <v>108</v>
      </c>
      <c r="J6" s="736" t="s">
        <v>108</v>
      </c>
      <c r="K6" s="736" t="s">
        <v>108</v>
      </c>
      <c r="L6" s="736" t="s">
        <v>108</v>
      </c>
      <c r="M6" s="736" t="s">
        <v>108</v>
      </c>
      <c r="N6" s="792">
        <v>6.2789999999999999</v>
      </c>
      <c r="O6" s="793">
        <v>7.173</v>
      </c>
      <c r="P6" s="793">
        <v>8.7579999999999991</v>
      </c>
      <c r="Q6" s="794">
        <v>8.827</v>
      </c>
      <c r="R6" s="61">
        <f t="shared" ref="R6:R29" si="2">IFERROR((Q6/N6)^(1/COUNT($N$4:$Q$4))-1,"")</f>
        <v>8.888160439492121E-2</v>
      </c>
    </row>
    <row r="7" spans="1:18" x14ac:dyDescent="0.3">
      <c r="B7" t="s">
        <v>271</v>
      </c>
      <c r="G7" s="737" t="s">
        <v>108</v>
      </c>
      <c r="H7" s="738" t="s">
        <v>108</v>
      </c>
      <c r="I7" s="738" t="s">
        <v>108</v>
      </c>
      <c r="J7" s="738" t="s">
        <v>108</v>
      </c>
      <c r="K7" s="738" t="s">
        <v>108</v>
      </c>
      <c r="L7" s="738" t="s">
        <v>108</v>
      </c>
      <c r="M7" s="738" t="s">
        <v>108</v>
      </c>
      <c r="N7" s="792">
        <v>1.75</v>
      </c>
      <c r="O7" s="793">
        <v>2.923</v>
      </c>
      <c r="P7" s="793">
        <v>4.1360000000000001</v>
      </c>
      <c r="Q7" s="794">
        <v>3.2639999999999998</v>
      </c>
      <c r="R7" s="61">
        <f t="shared" si="2"/>
        <v>0.16863267586069997</v>
      </c>
    </row>
    <row r="8" spans="1:18" x14ac:dyDescent="0.3">
      <c r="B8" s="1" t="s">
        <v>272</v>
      </c>
      <c r="G8" s="737" t="s">
        <v>108</v>
      </c>
      <c r="H8" s="738" t="s">
        <v>108</v>
      </c>
      <c r="I8" s="738" t="s">
        <v>108</v>
      </c>
      <c r="J8" s="738" t="s">
        <v>108</v>
      </c>
      <c r="K8" s="738" t="s">
        <v>108</v>
      </c>
      <c r="L8" s="738" t="s">
        <v>108</v>
      </c>
      <c r="M8" s="738" t="s">
        <v>108</v>
      </c>
      <c r="N8" s="795">
        <v>4.5289999999999999</v>
      </c>
      <c r="O8" s="796">
        <v>4.25</v>
      </c>
      <c r="P8" s="796">
        <v>4.6219999999999999</v>
      </c>
      <c r="Q8" s="797">
        <v>5.5629999999999997</v>
      </c>
      <c r="R8" s="61">
        <f t="shared" si="2"/>
        <v>5.2753477838924923E-2</v>
      </c>
    </row>
    <row r="9" spans="1:18" x14ac:dyDescent="0.3">
      <c r="B9" t="s">
        <v>483</v>
      </c>
      <c r="G9" s="737" t="s">
        <v>108</v>
      </c>
      <c r="H9" s="738" t="s">
        <v>108</v>
      </c>
      <c r="I9" s="738" t="s">
        <v>108</v>
      </c>
      <c r="J9" s="738" t="s">
        <v>108</v>
      </c>
      <c r="K9" s="738" t="s">
        <v>108</v>
      </c>
      <c r="L9" s="738" t="s">
        <v>108</v>
      </c>
      <c r="M9" s="738" t="s">
        <v>108</v>
      </c>
      <c r="N9" s="792">
        <v>18.076000000000001</v>
      </c>
      <c r="O9" s="793">
        <v>31.606999999999999</v>
      </c>
      <c r="P9" s="793">
        <v>47.29</v>
      </c>
      <c r="Q9" s="794">
        <v>47.485999999999997</v>
      </c>
      <c r="R9" s="61">
        <f t="shared" si="2"/>
        <v>0.27310966123105085</v>
      </c>
    </row>
    <row r="10" spans="1:18" x14ac:dyDescent="0.3">
      <c r="B10" t="s">
        <v>284</v>
      </c>
      <c r="G10" s="737" t="s">
        <v>108</v>
      </c>
      <c r="H10" s="738" t="s">
        <v>108</v>
      </c>
      <c r="I10" s="738" t="s">
        <v>108</v>
      </c>
      <c r="J10" s="738" t="s">
        <v>108</v>
      </c>
      <c r="K10" s="738" t="s">
        <v>108</v>
      </c>
      <c r="L10" s="738" t="s">
        <v>108</v>
      </c>
      <c r="M10" s="738" t="s">
        <v>108</v>
      </c>
      <c r="N10" s="792">
        <v>25.401</v>
      </c>
      <c r="O10" s="793">
        <v>32.100999999999999</v>
      </c>
      <c r="P10" s="793">
        <v>37.878</v>
      </c>
      <c r="Q10" s="794">
        <v>35.299999999999997</v>
      </c>
      <c r="R10" s="61">
        <f t="shared" si="2"/>
        <v>8.5752836764398044E-2</v>
      </c>
    </row>
    <row r="11" spans="1:18" x14ac:dyDescent="0.3">
      <c r="B11" t="s">
        <v>486</v>
      </c>
      <c r="G11" s="737" t="s">
        <v>108</v>
      </c>
      <c r="H11" s="738" t="s">
        <v>108</v>
      </c>
      <c r="I11" s="738" t="s">
        <v>108</v>
      </c>
      <c r="J11" s="738" t="s">
        <v>108</v>
      </c>
      <c r="K11" s="738" t="s">
        <v>108</v>
      </c>
      <c r="L11" s="738" t="s">
        <v>108</v>
      </c>
      <c r="M11" s="738" t="s">
        <v>108</v>
      </c>
      <c r="N11" s="792">
        <v>0</v>
      </c>
      <c r="O11" s="793">
        <v>0</v>
      </c>
      <c r="P11" s="798">
        <v>-3.278</v>
      </c>
      <c r="Q11" s="799">
        <v>-4.4370000000000003</v>
      </c>
      <c r="R11" s="61" t="str">
        <f t="shared" si="2"/>
        <v/>
      </c>
    </row>
    <row r="12" spans="1:18" x14ac:dyDescent="0.3">
      <c r="B12" s="1" t="s">
        <v>213</v>
      </c>
      <c r="G12" s="737" t="s">
        <v>108</v>
      </c>
      <c r="H12" s="738" t="s">
        <v>108</v>
      </c>
      <c r="I12" s="738" t="s">
        <v>108</v>
      </c>
      <c r="J12" s="738" t="s">
        <v>108</v>
      </c>
      <c r="K12" s="738" t="s">
        <v>108</v>
      </c>
      <c r="L12" s="738" t="s">
        <v>108</v>
      </c>
      <c r="M12" s="738" t="s">
        <v>108</v>
      </c>
      <c r="N12" s="800">
        <v>-36.345999999999997</v>
      </c>
      <c r="O12" s="801">
        <v>-57.125</v>
      </c>
      <c r="P12" s="801">
        <v>-75.423000000000002</v>
      </c>
      <c r="Q12" s="802">
        <v>-69.293999999999997</v>
      </c>
      <c r="R12" s="61">
        <f t="shared" si="2"/>
        <v>0.17505921424150372</v>
      </c>
    </row>
    <row r="13" spans="1:18" x14ac:dyDescent="0.3">
      <c r="B13" t="s">
        <v>488</v>
      </c>
      <c r="G13" s="737" t="s">
        <v>108</v>
      </c>
      <c r="H13" s="738" t="s">
        <v>108</v>
      </c>
      <c r="I13" s="738" t="s">
        <v>108</v>
      </c>
      <c r="J13" s="738" t="s">
        <v>108</v>
      </c>
      <c r="K13" s="738" t="s">
        <v>108</v>
      </c>
      <c r="L13" s="738" t="s">
        <v>108</v>
      </c>
      <c r="M13" s="738" t="s">
        <v>108</v>
      </c>
      <c r="N13" s="803">
        <v>2.6019999999999999</v>
      </c>
      <c r="O13" s="804">
        <v>2.3330000000000002</v>
      </c>
      <c r="P13" s="804">
        <v>1.845</v>
      </c>
      <c r="Q13" s="804">
        <v>1.9319999999999999</v>
      </c>
      <c r="R13" s="61">
        <f t="shared" si="2"/>
        <v>-7.1728626936978346E-2</v>
      </c>
    </row>
    <row r="14" spans="1:18" ht="14.5" x14ac:dyDescent="0.35">
      <c r="B14" s="243" t="s">
        <v>493</v>
      </c>
      <c r="G14" s="737" t="s">
        <v>108</v>
      </c>
      <c r="H14" s="738" t="s">
        <v>108</v>
      </c>
      <c r="I14" s="738" t="s">
        <v>108</v>
      </c>
      <c r="J14" s="738" t="s">
        <v>108</v>
      </c>
      <c r="K14" s="738" t="s">
        <v>108</v>
      </c>
      <c r="L14" s="738" t="s">
        <v>108</v>
      </c>
      <c r="M14" s="738" t="s">
        <v>108</v>
      </c>
      <c r="N14" s="805">
        <f>N13</f>
        <v>2.6019999999999999</v>
      </c>
      <c r="O14" s="805">
        <f t="shared" ref="O14:Q14" si="3">O13</f>
        <v>2.3330000000000002</v>
      </c>
      <c r="P14" s="805">
        <f t="shared" si="3"/>
        <v>1.845</v>
      </c>
      <c r="Q14" s="805">
        <f t="shared" si="3"/>
        <v>1.9319999999999999</v>
      </c>
      <c r="R14" s="61">
        <f t="shared" si="2"/>
        <v>-7.1728626936978346E-2</v>
      </c>
    </row>
    <row r="15" spans="1:18" ht="14.5" x14ac:dyDescent="0.35">
      <c r="B15" s="243" t="s">
        <v>495</v>
      </c>
      <c r="G15" s="737" t="s">
        <v>108</v>
      </c>
      <c r="H15" s="738" t="s">
        <v>108</v>
      </c>
      <c r="I15" s="738" t="s">
        <v>108</v>
      </c>
      <c r="J15" s="738" t="s">
        <v>108</v>
      </c>
      <c r="K15" s="738" t="s">
        <v>108</v>
      </c>
      <c r="L15" s="738" t="s">
        <v>108</v>
      </c>
      <c r="M15" s="738" t="s">
        <v>108</v>
      </c>
      <c r="N15" s="808">
        <v>0</v>
      </c>
      <c r="O15" s="808">
        <v>0</v>
      </c>
      <c r="P15" s="808">
        <v>0</v>
      </c>
      <c r="Q15" s="808">
        <v>0</v>
      </c>
      <c r="R15" s="61" t="str">
        <f t="shared" si="2"/>
        <v/>
      </c>
    </row>
    <row r="16" spans="1:18" x14ac:dyDescent="0.3">
      <c r="B16" s="1" t="s">
        <v>273</v>
      </c>
      <c r="G16" s="737" t="s">
        <v>108</v>
      </c>
      <c r="H16" s="738" t="s">
        <v>108</v>
      </c>
      <c r="I16" s="738" t="s">
        <v>108</v>
      </c>
      <c r="J16" s="738" t="s">
        <v>108</v>
      </c>
      <c r="K16" s="738" t="s">
        <v>108</v>
      </c>
      <c r="L16" s="738" t="s">
        <v>108</v>
      </c>
      <c r="M16" s="738" t="s">
        <v>108</v>
      </c>
      <c r="N16" s="809">
        <v>-38.948</v>
      </c>
      <c r="O16" s="810">
        <v>8</v>
      </c>
      <c r="P16" s="810">
        <v>-77.268000000000001</v>
      </c>
      <c r="Q16" s="810">
        <v>-72.786000000000001</v>
      </c>
      <c r="R16" s="61">
        <f t="shared" si="2"/>
        <v>0.16920502432056894</v>
      </c>
    </row>
    <row r="17" spans="1:18" x14ac:dyDescent="0.3">
      <c r="B17" t="s">
        <v>274</v>
      </c>
      <c r="G17" s="737" t="s">
        <v>108</v>
      </c>
      <c r="H17" s="738" t="s">
        <v>108</v>
      </c>
      <c r="I17" s="738" t="s">
        <v>108</v>
      </c>
      <c r="J17" s="738" t="s">
        <v>108</v>
      </c>
      <c r="K17" s="738" t="s">
        <v>108</v>
      </c>
      <c r="L17" s="738" t="s">
        <v>108</v>
      </c>
      <c r="M17" s="738" t="s">
        <v>108</v>
      </c>
      <c r="N17" s="811">
        <v>1.728</v>
      </c>
      <c r="O17" s="812">
        <v>2.335</v>
      </c>
      <c r="P17" s="812">
        <v>3.6999999999999998E-2</v>
      </c>
      <c r="Q17" s="813">
        <v>3.8969999999999998</v>
      </c>
      <c r="R17" s="61">
        <f t="shared" si="2"/>
        <v>0.2254530213673398</v>
      </c>
    </row>
    <row r="18" spans="1:18" ht="14.5" x14ac:dyDescent="0.35">
      <c r="B18" s="243" t="s">
        <v>498</v>
      </c>
      <c r="C18" s="85"/>
      <c r="D18" s="85"/>
      <c r="E18" s="85"/>
      <c r="G18" s="737" t="s">
        <v>108</v>
      </c>
      <c r="H18" s="738" t="s">
        <v>108</v>
      </c>
      <c r="I18" s="738" t="s">
        <v>108</v>
      </c>
      <c r="J18" s="738" t="s">
        <v>108</v>
      </c>
      <c r="K18" s="738" t="s">
        <v>108</v>
      </c>
      <c r="L18" s="738" t="s">
        <v>108</v>
      </c>
      <c r="M18" s="738" t="s">
        <v>108</v>
      </c>
      <c r="N18" s="814">
        <v>1.728</v>
      </c>
      <c r="O18" s="815">
        <v>2.335</v>
      </c>
      <c r="P18" s="815">
        <v>3.6999999999999998E-2</v>
      </c>
      <c r="Q18" s="815">
        <v>3.8969999999999998</v>
      </c>
      <c r="R18" s="61">
        <f t="shared" si="2"/>
        <v>0.2254530213673398</v>
      </c>
    </row>
    <row r="19" spans="1:18" ht="14.5" x14ac:dyDescent="0.35">
      <c r="B19" s="243" t="s">
        <v>500</v>
      </c>
      <c r="C19" s="85"/>
      <c r="D19" s="85"/>
      <c r="E19" s="85"/>
      <c r="G19" s="737" t="s">
        <v>108</v>
      </c>
      <c r="H19" s="738" t="s">
        <v>108</v>
      </c>
      <c r="I19" s="738" t="s">
        <v>108</v>
      </c>
      <c r="J19" s="738" t="s">
        <v>108</v>
      </c>
      <c r="K19" s="738" t="s">
        <v>108</v>
      </c>
      <c r="L19" s="738" t="s">
        <v>108</v>
      </c>
      <c r="M19" s="738" t="s">
        <v>108</v>
      </c>
      <c r="N19" s="805">
        <v>0</v>
      </c>
      <c r="O19" s="806">
        <v>0</v>
      </c>
      <c r="P19" s="806">
        <v>0</v>
      </c>
      <c r="Q19" s="807">
        <v>0</v>
      </c>
      <c r="R19" s="61" t="str">
        <f t="shared" si="2"/>
        <v/>
      </c>
    </row>
    <row r="20" spans="1:18" x14ac:dyDescent="0.3">
      <c r="B20" t="s">
        <v>502</v>
      </c>
      <c r="G20" s="737" t="s">
        <v>108</v>
      </c>
      <c r="H20" s="738" t="s">
        <v>108</v>
      </c>
      <c r="I20" s="738" t="s">
        <v>108</v>
      </c>
      <c r="J20" s="738" t="s">
        <v>108</v>
      </c>
      <c r="K20" s="738" t="s">
        <v>108</v>
      </c>
      <c r="L20" s="738" t="s">
        <v>108</v>
      </c>
      <c r="M20" s="738" t="s">
        <v>108</v>
      </c>
      <c r="N20" s="792">
        <v>0</v>
      </c>
      <c r="O20" s="793">
        <v>0</v>
      </c>
      <c r="P20" s="793">
        <v>0</v>
      </c>
      <c r="Q20" s="794">
        <v>0</v>
      </c>
      <c r="R20" s="61" t="str">
        <f t="shared" si="2"/>
        <v/>
      </c>
    </row>
    <row r="21" spans="1:18" ht="28" x14ac:dyDescent="0.3">
      <c r="B21" s="729" t="s">
        <v>503</v>
      </c>
      <c r="G21" s="737" t="s">
        <v>108</v>
      </c>
      <c r="H21" s="738" t="s">
        <v>108</v>
      </c>
      <c r="I21" s="738" t="s">
        <v>108</v>
      </c>
      <c r="J21" s="738" t="s">
        <v>108</v>
      </c>
      <c r="K21" s="738" t="s">
        <v>108</v>
      </c>
      <c r="L21" s="738" t="s">
        <v>108</v>
      </c>
      <c r="M21" s="738" t="s">
        <v>108</v>
      </c>
      <c r="N21" s="816">
        <v>-9.1310000000000002</v>
      </c>
      <c r="O21" s="817">
        <v>-8.0909999999999993</v>
      </c>
      <c r="P21" s="817">
        <v>2.1320000000000001</v>
      </c>
      <c r="Q21" s="817">
        <v>64.254000000000005</v>
      </c>
      <c r="R21" s="61" t="str">
        <f t="shared" si="2"/>
        <v/>
      </c>
    </row>
    <row r="22" spans="1:18" x14ac:dyDescent="0.3">
      <c r="B22" s="1" t="s">
        <v>275</v>
      </c>
      <c r="D22" s="1"/>
      <c r="E22" s="1"/>
      <c r="G22" s="737" t="s">
        <v>108</v>
      </c>
      <c r="H22" s="738" t="s">
        <v>108</v>
      </c>
      <c r="I22" s="738" t="s">
        <v>108</v>
      </c>
      <c r="J22" s="738" t="s">
        <v>108</v>
      </c>
      <c r="K22" s="738" t="s">
        <v>108</v>
      </c>
      <c r="L22" s="738" t="s">
        <v>108</v>
      </c>
      <c r="M22" s="738" t="s">
        <v>108</v>
      </c>
      <c r="N22" s="818">
        <v>-31.545000000000002</v>
      </c>
      <c r="O22" s="819">
        <v>-53.701999999999998</v>
      </c>
      <c r="P22" s="819">
        <v>-82.715000000000003</v>
      </c>
      <c r="Q22" s="820">
        <v>-143.87899999999999</v>
      </c>
      <c r="R22" s="61">
        <f t="shared" si="2"/>
        <v>0.4613919803133979</v>
      </c>
    </row>
    <row r="23" spans="1:18" x14ac:dyDescent="0.3">
      <c r="B23" t="s">
        <v>276</v>
      </c>
      <c r="G23" s="737" t="s">
        <v>108</v>
      </c>
      <c r="H23" s="738" t="s">
        <v>108</v>
      </c>
      <c r="I23" s="738" t="s">
        <v>108</v>
      </c>
      <c r="J23" s="738" t="s">
        <v>108</v>
      </c>
      <c r="K23" s="738" t="s">
        <v>108</v>
      </c>
      <c r="L23" s="738" t="s">
        <v>108</v>
      </c>
      <c r="M23" s="738" t="s">
        <v>108</v>
      </c>
      <c r="N23" s="792">
        <v>0</v>
      </c>
      <c r="O23" s="793">
        <v>0</v>
      </c>
      <c r="P23" s="793">
        <v>0</v>
      </c>
      <c r="Q23" s="794">
        <v>0</v>
      </c>
      <c r="R23" s="61" t="str">
        <f t="shared" si="2"/>
        <v/>
      </c>
    </row>
    <row r="24" spans="1:18" x14ac:dyDescent="0.3">
      <c r="B24" s="1" t="s">
        <v>279</v>
      </c>
      <c r="G24" s="737" t="s">
        <v>108</v>
      </c>
      <c r="H24" s="738" t="s">
        <v>108</v>
      </c>
      <c r="I24" s="738" t="s">
        <v>108</v>
      </c>
      <c r="J24" s="738" t="s">
        <v>108</v>
      </c>
      <c r="K24" s="738" t="s">
        <v>108</v>
      </c>
      <c r="L24" s="738" t="s">
        <v>108</v>
      </c>
      <c r="M24" s="738" t="s">
        <v>108</v>
      </c>
      <c r="N24" s="800">
        <v>-31.545000000000002</v>
      </c>
      <c r="O24" s="801">
        <v>-53.701999999999998</v>
      </c>
      <c r="P24" s="801">
        <v>-82.715000000000003</v>
      </c>
      <c r="Q24" s="802">
        <v>-143.87899999999999</v>
      </c>
      <c r="R24" s="61">
        <f t="shared" si="2"/>
        <v>0.4613919803133979</v>
      </c>
    </row>
    <row r="25" spans="1:18" x14ac:dyDescent="0.3">
      <c r="B25" s="1" t="s">
        <v>280</v>
      </c>
      <c r="G25" s="737" t="s">
        <v>108</v>
      </c>
      <c r="H25" s="738" t="s">
        <v>108</v>
      </c>
      <c r="I25" s="738" t="s">
        <v>108</v>
      </c>
      <c r="J25" s="738" t="s">
        <v>108</v>
      </c>
      <c r="K25" s="738" t="s">
        <v>108</v>
      </c>
      <c r="L25" s="738" t="s">
        <v>108</v>
      </c>
      <c r="M25" s="738" t="s">
        <v>108</v>
      </c>
      <c r="N25" s="821">
        <v>-0.17199999999999999</v>
      </c>
      <c r="O25" s="801">
        <v>-0.45</v>
      </c>
      <c r="P25" s="801">
        <v>-0.6</v>
      </c>
      <c r="Q25" s="802">
        <v>-0.75</v>
      </c>
      <c r="R25" s="61">
        <f t="shared" si="2"/>
        <v>0.44505109735309789</v>
      </c>
    </row>
    <row r="26" spans="1:18" ht="14.9" customHeight="1" x14ac:dyDescent="0.3">
      <c r="B26" s="1" t="s">
        <v>588</v>
      </c>
      <c r="G26" s="737" t="s">
        <v>108</v>
      </c>
      <c r="H26" s="738" t="s">
        <v>108</v>
      </c>
      <c r="I26" s="738" t="s">
        <v>108</v>
      </c>
      <c r="J26" s="738" t="s">
        <v>108</v>
      </c>
      <c r="K26" s="738" t="s">
        <v>108</v>
      </c>
      <c r="L26" s="738" t="s">
        <v>108</v>
      </c>
      <c r="M26" s="738" t="s">
        <v>108</v>
      </c>
      <c r="N26" s="821">
        <v>-0.17199999999999999</v>
      </c>
      <c r="O26" s="801">
        <v>-0.45</v>
      </c>
      <c r="P26" s="801">
        <v>-0.6</v>
      </c>
      <c r="Q26" s="822">
        <v>-0.75</v>
      </c>
      <c r="R26" s="61">
        <f t="shared" si="2"/>
        <v>0.44505109735309789</v>
      </c>
    </row>
    <row r="27" spans="1:18" x14ac:dyDescent="0.3">
      <c r="B27" t="s">
        <v>589</v>
      </c>
      <c r="G27" s="737" t="s">
        <v>108</v>
      </c>
      <c r="H27" s="738" t="s">
        <v>108</v>
      </c>
      <c r="I27" s="738" t="s">
        <v>108</v>
      </c>
      <c r="J27" s="738" t="s">
        <v>108</v>
      </c>
      <c r="K27" s="738" t="s">
        <v>108</v>
      </c>
      <c r="L27" s="738" t="s">
        <v>108</v>
      </c>
      <c r="M27" s="738" t="s">
        <v>108</v>
      </c>
      <c r="N27" s="823">
        <v>182.26499999999999</v>
      </c>
      <c r="O27" s="793">
        <v>119.648</v>
      </c>
      <c r="P27" s="793">
        <v>137.994</v>
      </c>
      <c r="Q27" s="794">
        <v>192.12899999999999</v>
      </c>
      <c r="R27" s="61">
        <f t="shared" si="2"/>
        <v>1.3263527810444931E-2</v>
      </c>
    </row>
    <row r="28" spans="1:18" x14ac:dyDescent="0.3">
      <c r="B28" t="s">
        <v>590</v>
      </c>
      <c r="G28" s="739" t="s">
        <v>108</v>
      </c>
      <c r="H28" s="740" t="s">
        <v>108</v>
      </c>
      <c r="I28" s="740" t="s">
        <v>108</v>
      </c>
      <c r="J28" s="740" t="s">
        <v>108</v>
      </c>
      <c r="K28" s="740" t="s">
        <v>108</v>
      </c>
      <c r="L28" s="740" t="s">
        <v>108</v>
      </c>
      <c r="M28" s="740" t="s">
        <v>108</v>
      </c>
      <c r="N28" s="824">
        <v>182.26499999999999</v>
      </c>
      <c r="O28" s="825">
        <v>119.648</v>
      </c>
      <c r="P28" s="825">
        <v>137.994</v>
      </c>
      <c r="Q28" s="826">
        <v>192.12899999999999</v>
      </c>
      <c r="R28" s="61">
        <f t="shared" si="2"/>
        <v>1.3263527810444931E-2</v>
      </c>
    </row>
    <row r="29" spans="1:18" ht="4.4000000000000004" customHeight="1" x14ac:dyDescent="0.3">
      <c r="R29" s="61" t="str">
        <f t="shared" si="2"/>
        <v/>
      </c>
    </row>
    <row r="30" spans="1:18" ht="15.5" x14ac:dyDescent="0.35">
      <c r="A30" t="s">
        <v>431</v>
      </c>
      <c r="B30" s="49" t="s">
        <v>285</v>
      </c>
      <c r="C30" s="53"/>
      <c r="D30" s="53"/>
      <c r="E30" s="53"/>
      <c r="F30" s="53"/>
      <c r="G30" s="219">
        <v>2014</v>
      </c>
      <c r="H30" s="219">
        <f>+G30+1</f>
        <v>2015</v>
      </c>
      <c r="I30" s="219">
        <f t="shared" ref="I30:M30" si="4">+H30+1</f>
        <v>2016</v>
      </c>
      <c r="J30" s="219">
        <f t="shared" si="4"/>
        <v>2017</v>
      </c>
      <c r="K30" s="219">
        <f t="shared" si="4"/>
        <v>2018</v>
      </c>
      <c r="L30" s="219">
        <f t="shared" si="4"/>
        <v>2019</v>
      </c>
      <c r="M30" s="219">
        <f t="shared" si="4"/>
        <v>2020</v>
      </c>
      <c r="N30" s="219">
        <f>+M30+1</f>
        <v>2021</v>
      </c>
      <c r="O30" s="219">
        <f>+N30+1</f>
        <v>2022</v>
      </c>
      <c r="P30" s="219">
        <f t="shared" ref="P30" si="5">+O30+1</f>
        <v>2023</v>
      </c>
      <c r="Q30" s="219">
        <f>+P30+1</f>
        <v>2024</v>
      </c>
      <c r="R30" s="55" t="str">
        <f>"CAGR "&amp;$N$4&amp;" - "&amp;$Q$4</f>
        <v>CAGR 2021 - 2024</v>
      </c>
    </row>
    <row r="31" spans="1:18" s="89" customFormat="1" ht="4.4000000000000004" customHeight="1" x14ac:dyDescent="0.35">
      <c r="B31" s="221"/>
      <c r="C31" s="221"/>
      <c r="D31" s="221"/>
      <c r="E31" s="221"/>
      <c r="F31" s="221"/>
      <c r="G31" s="222"/>
      <c r="H31" s="222"/>
      <c r="I31" s="222"/>
      <c r="J31" s="222"/>
      <c r="K31" s="222"/>
      <c r="L31" s="222"/>
      <c r="M31" s="222"/>
      <c r="N31" s="222"/>
      <c r="O31" s="222"/>
      <c r="P31" s="222"/>
      <c r="Q31" s="222"/>
      <c r="R31" s="57"/>
    </row>
    <row r="32" spans="1:18" ht="15" customHeight="1" x14ac:dyDescent="0.3">
      <c r="B32" t="s">
        <v>506</v>
      </c>
      <c r="G32" s="741" t="s">
        <v>108</v>
      </c>
      <c r="H32" s="742" t="s">
        <v>108</v>
      </c>
      <c r="I32" s="742" t="s">
        <v>108</v>
      </c>
      <c r="J32" s="742" t="s">
        <v>108</v>
      </c>
      <c r="K32" s="742" t="s">
        <v>108</v>
      </c>
      <c r="L32" s="742" t="s">
        <v>108</v>
      </c>
      <c r="M32" s="827">
        <v>1.085</v>
      </c>
      <c r="N32" s="828">
        <f t="shared" ref="N32:Q32" si="6">+SUM(N33:N34)</f>
        <v>9.4830000000000005</v>
      </c>
      <c r="O32" s="828">
        <f t="shared" si="6"/>
        <v>7.0650000000000004</v>
      </c>
      <c r="P32" s="828">
        <f>+SUM(P33:P34)</f>
        <v>41.307000000000002</v>
      </c>
      <c r="Q32" s="829">
        <f t="shared" si="6"/>
        <v>177.98</v>
      </c>
      <c r="R32" s="61">
        <f t="shared" ref="R32:R44" si="7">IFERROR((Q32/N32)^(1/COUNT($N$4:$Q$4))-1,"")</f>
        <v>1.0814038951567504</v>
      </c>
    </row>
    <row r="33" spans="2:20" ht="22.5" customHeight="1" x14ac:dyDescent="0.35">
      <c r="B33" s="243" t="s">
        <v>286</v>
      </c>
      <c r="C33" s="85"/>
      <c r="D33" s="85"/>
      <c r="E33" s="85"/>
      <c r="G33" s="743" t="s">
        <v>108</v>
      </c>
      <c r="H33" s="744" t="s">
        <v>108</v>
      </c>
      <c r="I33" s="744" t="s">
        <v>108</v>
      </c>
      <c r="J33" s="744" t="s">
        <v>108</v>
      </c>
      <c r="K33" s="744" t="s">
        <v>108</v>
      </c>
      <c r="L33" s="744" t="s">
        <v>108</v>
      </c>
      <c r="M33" s="827">
        <v>1.085</v>
      </c>
      <c r="N33" s="830">
        <v>9.4830000000000005</v>
      </c>
      <c r="O33" s="831">
        <v>7.0650000000000004</v>
      </c>
      <c r="P33" s="806">
        <v>41.307000000000002</v>
      </c>
      <c r="Q33" s="807">
        <v>177.98</v>
      </c>
      <c r="R33" s="61">
        <f t="shared" si="7"/>
        <v>1.0814038951567504</v>
      </c>
    </row>
    <row r="34" spans="2:20" ht="14.5" x14ac:dyDescent="0.35">
      <c r="B34" s="243" t="s">
        <v>591</v>
      </c>
      <c r="C34" s="85"/>
      <c r="D34" s="85"/>
      <c r="E34" s="85"/>
      <c r="G34" s="743" t="s">
        <v>108</v>
      </c>
      <c r="H34" s="744" t="s">
        <v>108</v>
      </c>
      <c r="I34" s="744" t="s">
        <v>108</v>
      </c>
      <c r="J34" s="744" t="s">
        <v>108</v>
      </c>
      <c r="K34" s="744" t="s">
        <v>108</v>
      </c>
      <c r="L34" s="744" t="s">
        <v>108</v>
      </c>
      <c r="M34" s="832" t="s">
        <v>110</v>
      </c>
      <c r="N34" s="833">
        <v>0</v>
      </c>
      <c r="O34" s="834">
        <v>0</v>
      </c>
      <c r="P34" s="834">
        <v>0</v>
      </c>
      <c r="Q34" s="835">
        <v>0</v>
      </c>
      <c r="R34" s="61" t="str">
        <f t="shared" si="7"/>
        <v/>
      </c>
    </row>
    <row r="35" spans="2:20" x14ac:dyDescent="0.3">
      <c r="B35" t="s">
        <v>287</v>
      </c>
      <c r="G35" s="743" t="s">
        <v>108</v>
      </c>
      <c r="H35" s="744" t="s">
        <v>108</v>
      </c>
      <c r="I35" s="744" t="s">
        <v>108</v>
      </c>
      <c r="J35" s="744" t="s">
        <v>108</v>
      </c>
      <c r="K35" s="744" t="s">
        <v>108</v>
      </c>
      <c r="L35" s="744" t="s">
        <v>108</v>
      </c>
      <c r="M35" s="827">
        <v>0</v>
      </c>
      <c r="N35" s="792">
        <v>0.42099999999999999</v>
      </c>
      <c r="O35" s="793">
        <v>0.75700000000000001</v>
      </c>
      <c r="P35" s="793">
        <v>1.6519999999999999</v>
      </c>
      <c r="Q35" s="794">
        <v>1.42</v>
      </c>
      <c r="R35" s="61">
        <f t="shared" si="7"/>
        <v>0.35519428691244848</v>
      </c>
    </row>
    <row r="36" spans="2:20" x14ac:dyDescent="0.3">
      <c r="B36" t="s">
        <v>508</v>
      </c>
      <c r="G36" s="743" t="s">
        <v>108</v>
      </c>
      <c r="H36" s="744" t="s">
        <v>108</v>
      </c>
      <c r="I36" s="744" t="s">
        <v>108</v>
      </c>
      <c r="J36" s="744" t="s">
        <v>108</v>
      </c>
      <c r="K36" s="744" t="s">
        <v>108</v>
      </c>
      <c r="L36" s="744" t="s">
        <v>108</v>
      </c>
      <c r="M36" s="827">
        <v>0</v>
      </c>
      <c r="N36" s="792">
        <v>2.1139999999999999</v>
      </c>
      <c r="O36" s="793">
        <v>2.1960000000000002</v>
      </c>
      <c r="P36" s="793">
        <v>2.0779999999999998</v>
      </c>
      <c r="Q36" s="794">
        <v>1.6859999999999999</v>
      </c>
      <c r="R36" s="61">
        <f t="shared" si="7"/>
        <v>-5.4986208076729715E-2</v>
      </c>
    </row>
    <row r="37" spans="2:20" x14ac:dyDescent="0.3">
      <c r="B37" t="s">
        <v>511</v>
      </c>
      <c r="G37" s="743" t="s">
        <v>108</v>
      </c>
      <c r="H37" s="744" t="s">
        <v>108</v>
      </c>
      <c r="I37" s="744" t="s">
        <v>108</v>
      </c>
      <c r="J37" s="744" t="s">
        <v>108</v>
      </c>
      <c r="K37" s="744" t="s">
        <v>108</v>
      </c>
      <c r="L37" s="744" t="s">
        <v>108</v>
      </c>
      <c r="M37" s="827">
        <v>0</v>
      </c>
      <c r="N37" s="836">
        <v>3.9980000000000002</v>
      </c>
      <c r="O37" s="837">
        <v>3.907</v>
      </c>
      <c r="P37" s="837">
        <v>2.0089999999999999</v>
      </c>
      <c r="Q37" s="838">
        <v>3.9540000000000002</v>
      </c>
      <c r="R37" s="61">
        <f t="shared" si="7"/>
        <v>-2.7628042446251611E-3</v>
      </c>
      <c r="T37" s="70"/>
    </row>
    <row r="38" spans="2:20" s="1" customFormat="1" x14ac:dyDescent="0.3">
      <c r="B38" s="1" t="s">
        <v>290</v>
      </c>
      <c r="F38"/>
      <c r="G38" s="743" t="s">
        <v>108</v>
      </c>
      <c r="H38" s="744" t="s">
        <v>108</v>
      </c>
      <c r="I38" s="744" t="s">
        <v>108</v>
      </c>
      <c r="J38" s="744" t="s">
        <v>108</v>
      </c>
      <c r="K38" s="744" t="s">
        <v>108</v>
      </c>
      <c r="L38" s="744" t="s">
        <v>108</v>
      </c>
      <c r="M38" s="827">
        <v>1.474</v>
      </c>
      <c r="N38" s="839">
        <v>19.158000000000001</v>
      </c>
      <c r="O38" s="839">
        <v>13.925000000000001</v>
      </c>
      <c r="P38" s="839">
        <v>47.045999999999999</v>
      </c>
      <c r="Q38" s="840">
        <v>185.04</v>
      </c>
      <c r="R38" s="61">
        <f t="shared" si="7"/>
        <v>0.76290480995767807</v>
      </c>
    </row>
    <row r="39" spans="2:20" x14ac:dyDescent="0.3">
      <c r="B39" t="s">
        <v>291</v>
      </c>
      <c r="G39" s="743" t="s">
        <v>108</v>
      </c>
      <c r="H39" s="744" t="s">
        <v>108</v>
      </c>
      <c r="I39" s="744" t="s">
        <v>108</v>
      </c>
      <c r="J39" s="744" t="s">
        <v>108</v>
      </c>
      <c r="K39" s="744" t="s">
        <v>108</v>
      </c>
      <c r="L39" s="744" t="s">
        <v>108</v>
      </c>
      <c r="M39" s="827">
        <v>0</v>
      </c>
      <c r="N39" s="841">
        <v>11.827</v>
      </c>
      <c r="O39" s="841">
        <v>11.427</v>
      </c>
      <c r="P39" s="841">
        <v>10.773999999999999</v>
      </c>
      <c r="Q39" s="842">
        <v>11.394</v>
      </c>
      <c r="R39" s="61">
        <f t="shared" si="7"/>
        <v>-9.2811993567919471E-3</v>
      </c>
    </row>
    <row r="40" spans="2:20" ht="14.5" x14ac:dyDescent="0.35">
      <c r="B40" s="243" t="s">
        <v>592</v>
      </c>
      <c r="C40" s="85"/>
      <c r="D40" s="85"/>
      <c r="E40" s="85"/>
      <c r="G40" s="743" t="s">
        <v>108</v>
      </c>
      <c r="H40" s="744" t="s">
        <v>108</v>
      </c>
      <c r="I40" s="744" t="s">
        <v>108</v>
      </c>
      <c r="J40" s="744" t="s">
        <v>108</v>
      </c>
      <c r="K40" s="744" t="s">
        <v>108</v>
      </c>
      <c r="L40" s="744" t="s">
        <v>108</v>
      </c>
      <c r="M40" s="832" t="s">
        <v>110</v>
      </c>
      <c r="N40" s="805">
        <v>33.628</v>
      </c>
      <c r="O40" s="805">
        <v>34.537999999999997</v>
      </c>
      <c r="P40" s="805">
        <v>34.826999999999998</v>
      </c>
      <c r="Q40" s="843">
        <v>36.401000000000003</v>
      </c>
      <c r="R40" s="61">
        <f t="shared" si="7"/>
        <v>2.000680452813075E-2</v>
      </c>
    </row>
    <row r="41" spans="2:20" ht="14.5" x14ac:dyDescent="0.35">
      <c r="B41" s="243" t="s">
        <v>516</v>
      </c>
      <c r="C41" s="85"/>
      <c r="D41" s="85"/>
      <c r="E41" s="85"/>
      <c r="G41" s="743" t="s">
        <v>108</v>
      </c>
      <c r="H41" s="744" t="s">
        <v>108</v>
      </c>
      <c r="I41" s="744" t="s">
        <v>108</v>
      </c>
      <c r="J41" s="744" t="s">
        <v>108</v>
      </c>
      <c r="K41" s="744" t="s">
        <v>108</v>
      </c>
      <c r="L41" s="744" t="s">
        <v>108</v>
      </c>
      <c r="M41" s="832" t="s">
        <v>110</v>
      </c>
      <c r="N41" s="805">
        <v>21.800999999999998</v>
      </c>
      <c r="O41" s="805">
        <v>23.111000000000001</v>
      </c>
      <c r="P41" s="805">
        <v>24.053000000000001</v>
      </c>
      <c r="Q41" s="843">
        <v>25.007000000000001</v>
      </c>
      <c r="R41" s="61">
        <f t="shared" si="7"/>
        <v>3.4895014537773328E-2</v>
      </c>
    </row>
    <row r="42" spans="2:20" x14ac:dyDescent="0.3">
      <c r="B42" t="s">
        <v>515</v>
      </c>
      <c r="G42" s="743" t="s">
        <v>108</v>
      </c>
      <c r="H42" s="744" t="s">
        <v>108</v>
      </c>
      <c r="I42" s="744" t="s">
        <v>108</v>
      </c>
      <c r="J42" s="744" t="s">
        <v>108</v>
      </c>
      <c r="K42" s="744" t="s">
        <v>108</v>
      </c>
      <c r="L42" s="744" t="s">
        <v>108</v>
      </c>
      <c r="M42" s="832" t="s">
        <v>110</v>
      </c>
      <c r="N42" s="844">
        <v>8.5779999999999994</v>
      </c>
      <c r="O42" s="844">
        <v>9.1329999999999991</v>
      </c>
      <c r="P42" s="844">
        <v>8.2230000000000008</v>
      </c>
      <c r="Q42" s="845">
        <v>7.2610000000000001</v>
      </c>
      <c r="R42" s="61">
        <f t="shared" si="7"/>
        <v>-4.0814513694370724E-2</v>
      </c>
    </row>
    <row r="43" spans="2:20" x14ac:dyDescent="0.3">
      <c r="B43" t="s">
        <v>593</v>
      </c>
      <c r="G43" s="743" t="s">
        <v>108</v>
      </c>
      <c r="H43" s="744" t="s">
        <v>108</v>
      </c>
      <c r="I43" s="744" t="s">
        <v>108</v>
      </c>
      <c r="J43" s="744" t="s">
        <v>108</v>
      </c>
      <c r="K43" s="744" t="s">
        <v>108</v>
      </c>
      <c r="L43" s="744" t="s">
        <v>108</v>
      </c>
      <c r="M43" s="827">
        <v>0</v>
      </c>
      <c r="N43" s="846">
        <v>0.27200000000000002</v>
      </c>
      <c r="O43" s="846">
        <v>0.24399999999999999</v>
      </c>
      <c r="P43" s="846">
        <v>0.17899999999999999</v>
      </c>
      <c r="Q43" s="847">
        <v>0.49</v>
      </c>
      <c r="R43" s="61">
        <f t="shared" si="7"/>
        <v>0.15852869212760456</v>
      </c>
    </row>
    <row r="44" spans="2:20" ht="14.5" x14ac:dyDescent="0.35">
      <c r="B44" s="243" t="s">
        <v>594</v>
      </c>
      <c r="C44" s="85"/>
      <c r="D44" s="85"/>
      <c r="E44" s="85"/>
      <c r="G44" s="743" t="s">
        <v>108</v>
      </c>
      <c r="H44" s="744" t="s">
        <v>108</v>
      </c>
      <c r="I44" s="744" t="s">
        <v>108</v>
      </c>
      <c r="J44" s="744" t="s">
        <v>108</v>
      </c>
      <c r="K44" s="744" t="s">
        <v>108</v>
      </c>
      <c r="L44" s="744" t="s">
        <v>108</v>
      </c>
      <c r="M44" s="827">
        <v>0</v>
      </c>
      <c r="N44" s="805" t="s">
        <v>595</v>
      </c>
      <c r="O44" s="805">
        <v>0</v>
      </c>
      <c r="P44" s="805" t="s">
        <v>595</v>
      </c>
      <c r="Q44" s="843">
        <v>0</v>
      </c>
      <c r="R44" s="61" t="str">
        <f t="shared" si="7"/>
        <v/>
      </c>
    </row>
    <row r="45" spans="2:20" ht="14.5" x14ac:dyDescent="0.35">
      <c r="B45" s="243" t="s">
        <v>517</v>
      </c>
      <c r="C45" s="85"/>
      <c r="D45" s="85"/>
      <c r="E45" s="85"/>
      <c r="G45" s="743" t="s">
        <v>108</v>
      </c>
      <c r="H45" s="744" t="s">
        <v>108</v>
      </c>
      <c r="I45" s="744" t="s">
        <v>108</v>
      </c>
      <c r="J45" s="744" t="s">
        <v>108</v>
      </c>
      <c r="K45" s="744" t="s">
        <v>108</v>
      </c>
      <c r="L45" s="744" t="s">
        <v>108</v>
      </c>
      <c r="M45" s="827">
        <v>0</v>
      </c>
      <c r="N45" s="848">
        <v>0.27200000000000002</v>
      </c>
      <c r="O45" s="848">
        <v>0.24399999999999999</v>
      </c>
      <c r="P45" s="848">
        <v>0.17899999999999999</v>
      </c>
      <c r="Q45" s="849">
        <v>0.49</v>
      </c>
      <c r="R45" s="61"/>
    </row>
    <row r="46" spans="2:20" x14ac:dyDescent="0.3">
      <c r="B46" s="38" t="s">
        <v>596</v>
      </c>
      <c r="C46" s="38"/>
      <c r="D46" s="38"/>
      <c r="E46" s="38"/>
      <c r="G46" s="743" t="s">
        <v>108</v>
      </c>
      <c r="H46" s="744" t="s">
        <v>108</v>
      </c>
      <c r="I46" s="744" t="s">
        <v>108</v>
      </c>
      <c r="J46" s="744" t="s">
        <v>108</v>
      </c>
      <c r="K46" s="744" t="s">
        <v>108</v>
      </c>
      <c r="L46" s="744" t="s">
        <v>108</v>
      </c>
      <c r="M46" s="827">
        <v>300.05900000000003</v>
      </c>
      <c r="N46" s="850">
        <v>-7.2249999999999996</v>
      </c>
      <c r="O46" s="850">
        <v>-7.782</v>
      </c>
      <c r="P46" s="850">
        <v>-6.8659999999999997</v>
      </c>
      <c r="Q46" s="851">
        <v>-4.3319999999999999</v>
      </c>
      <c r="R46" s="61">
        <f t="shared" ref="R46:R61" si="8">IFERROR((Q46/N46)^(1/COUNT($N$4:$Q$4))-1,"")</f>
        <v>-0.12004057120517775</v>
      </c>
    </row>
    <row r="47" spans="2:20" s="1" customFormat="1" ht="14.5" thickBot="1" x14ac:dyDescent="0.35">
      <c r="B47" s="1" t="s">
        <v>597</v>
      </c>
      <c r="F47" s="602"/>
      <c r="G47" s="743" t="s">
        <v>108</v>
      </c>
      <c r="H47" s="744" t="s">
        <v>108</v>
      </c>
      <c r="I47" s="744" t="s">
        <v>108</v>
      </c>
      <c r="J47" s="744" t="s">
        <v>108</v>
      </c>
      <c r="K47" s="744" t="s">
        <v>108</v>
      </c>
      <c r="L47" s="744" t="s">
        <v>108</v>
      </c>
      <c r="M47" s="827">
        <v>300.05900000000003</v>
      </c>
      <c r="N47" s="839">
        <v>13.452</v>
      </c>
      <c r="O47" s="839">
        <v>13.022</v>
      </c>
      <c r="P47" s="839">
        <v>12.31</v>
      </c>
      <c r="Q47" s="840">
        <v>14.813000000000001</v>
      </c>
      <c r="R47" s="61">
        <f t="shared" si="8"/>
        <v>2.4386959048177115E-2</v>
      </c>
    </row>
    <row r="48" spans="2:20" s="1" customFormat="1" ht="14.5" thickBot="1" x14ac:dyDescent="0.35">
      <c r="B48" s="223" t="s">
        <v>292</v>
      </c>
      <c r="C48" s="223"/>
      <c r="D48" s="223"/>
      <c r="E48" s="223"/>
      <c r="F48" s="604"/>
      <c r="G48" s="743" t="s">
        <v>108</v>
      </c>
      <c r="H48" s="744" t="s">
        <v>108</v>
      </c>
      <c r="I48" s="744" t="s">
        <v>108</v>
      </c>
      <c r="J48" s="744" t="s">
        <v>108</v>
      </c>
      <c r="K48" s="744" t="s">
        <v>108</v>
      </c>
      <c r="L48" s="744" t="s">
        <v>108</v>
      </c>
      <c r="M48" s="827">
        <v>301.53199999999998</v>
      </c>
      <c r="N48" s="852">
        <v>32.61</v>
      </c>
      <c r="O48" s="852">
        <v>26.946999999999999</v>
      </c>
      <c r="P48" s="852">
        <v>59.356000000000002</v>
      </c>
      <c r="Q48" s="853">
        <v>199.85300000000001</v>
      </c>
      <c r="R48" s="61">
        <f t="shared" si="8"/>
        <v>0.57340297957001396</v>
      </c>
    </row>
    <row r="49" spans="1:18" x14ac:dyDescent="0.3">
      <c r="B49" t="s">
        <v>293</v>
      </c>
      <c r="G49" s="743" t="s">
        <v>108</v>
      </c>
      <c r="H49" s="744" t="s">
        <v>108</v>
      </c>
      <c r="I49" s="744" t="s">
        <v>108</v>
      </c>
      <c r="J49" s="744" t="s">
        <v>108</v>
      </c>
      <c r="K49" s="744" t="s">
        <v>108</v>
      </c>
      <c r="L49" s="744" t="s">
        <v>108</v>
      </c>
      <c r="M49" s="827">
        <v>0</v>
      </c>
      <c r="N49" s="846">
        <v>2.109</v>
      </c>
      <c r="O49" s="846">
        <v>3.7559999999999998</v>
      </c>
      <c r="P49" s="846">
        <v>1.4650000000000001</v>
      </c>
      <c r="Q49" s="847">
        <v>0.81499999999999995</v>
      </c>
      <c r="R49" s="61">
        <f t="shared" si="8"/>
        <v>-0.21155708078451252</v>
      </c>
    </row>
    <row r="50" spans="1:18" x14ac:dyDescent="0.3">
      <c r="B50" t="s">
        <v>598</v>
      </c>
      <c r="G50" s="743" t="s">
        <v>108</v>
      </c>
      <c r="H50" s="744" t="s">
        <v>108</v>
      </c>
      <c r="I50" s="744" t="s">
        <v>108</v>
      </c>
      <c r="J50" s="744" t="s">
        <v>108</v>
      </c>
      <c r="K50" s="744" t="s">
        <v>108</v>
      </c>
      <c r="L50" s="744" t="s">
        <v>108</v>
      </c>
      <c r="M50" s="827">
        <v>0</v>
      </c>
      <c r="N50" s="850">
        <v>1.6870000000000001</v>
      </c>
      <c r="O50" s="850">
        <v>1.9530000000000001</v>
      </c>
      <c r="P50" s="850">
        <v>1.3740000000000001</v>
      </c>
      <c r="Q50" s="851">
        <v>1.86</v>
      </c>
      <c r="R50" s="61">
        <f t="shared" si="8"/>
        <v>2.4706439457172547E-2</v>
      </c>
    </row>
    <row r="51" spans="1:18" ht="14.5" x14ac:dyDescent="0.35">
      <c r="B51" s="243" t="s">
        <v>599</v>
      </c>
      <c r="G51" s="743" t="s">
        <v>108</v>
      </c>
      <c r="H51" s="744" t="s">
        <v>108</v>
      </c>
      <c r="I51" s="744" t="s">
        <v>108</v>
      </c>
      <c r="J51" s="744" t="s">
        <v>108</v>
      </c>
      <c r="K51" s="744" t="s">
        <v>108</v>
      </c>
      <c r="L51" s="744" t="s">
        <v>108</v>
      </c>
      <c r="M51" s="827">
        <v>0</v>
      </c>
      <c r="N51" s="805">
        <v>0</v>
      </c>
      <c r="O51" s="805">
        <v>0.42</v>
      </c>
      <c r="P51" s="805">
        <v>0</v>
      </c>
      <c r="Q51" s="843">
        <v>0</v>
      </c>
      <c r="R51" s="61" t="str">
        <f t="shared" si="8"/>
        <v/>
      </c>
    </row>
    <row r="52" spans="1:18" ht="14.5" x14ac:dyDescent="0.35">
      <c r="B52" s="243" t="s">
        <v>600</v>
      </c>
      <c r="G52" s="743" t="s">
        <v>108</v>
      </c>
      <c r="H52" s="744" t="s">
        <v>108</v>
      </c>
      <c r="I52" s="744" t="s">
        <v>108</v>
      </c>
      <c r="J52" s="744" t="s">
        <v>108</v>
      </c>
      <c r="K52" s="744" t="s">
        <v>108</v>
      </c>
      <c r="L52" s="744" t="s">
        <v>108</v>
      </c>
      <c r="M52" s="827">
        <v>0</v>
      </c>
      <c r="N52" s="805" t="s">
        <v>601</v>
      </c>
      <c r="O52" s="805" t="s">
        <v>602</v>
      </c>
      <c r="P52" s="805" t="s">
        <v>603</v>
      </c>
      <c r="Q52" s="843" t="s">
        <v>604</v>
      </c>
      <c r="R52" s="61" t="str">
        <f t="shared" si="8"/>
        <v/>
      </c>
    </row>
    <row r="53" spans="1:18" x14ac:dyDescent="0.3">
      <c r="B53" s="38" t="s">
        <v>522</v>
      </c>
      <c r="C53" s="38"/>
      <c r="D53" s="38"/>
      <c r="E53" s="38"/>
      <c r="G53" s="743" t="s">
        <v>108</v>
      </c>
      <c r="H53" s="744" t="s">
        <v>108</v>
      </c>
      <c r="I53" s="744" t="s">
        <v>108</v>
      </c>
      <c r="J53" s="744" t="s">
        <v>108</v>
      </c>
      <c r="K53" s="744" t="s">
        <v>108</v>
      </c>
      <c r="L53" s="744" t="s">
        <v>108</v>
      </c>
      <c r="M53" s="827">
        <v>0</v>
      </c>
      <c r="N53" s="850">
        <v>8.3390000000000004</v>
      </c>
      <c r="O53" s="850">
        <v>12.284000000000001</v>
      </c>
      <c r="P53" s="850">
        <v>9.7850000000000001</v>
      </c>
      <c r="Q53" s="851">
        <v>29.33</v>
      </c>
      <c r="R53" s="61">
        <f t="shared" si="8"/>
        <v>0.36946053808386092</v>
      </c>
    </row>
    <row r="54" spans="1:18" x14ac:dyDescent="0.3">
      <c r="B54" s="38" t="s">
        <v>294</v>
      </c>
      <c r="C54" s="38"/>
      <c r="D54" s="38"/>
      <c r="E54" s="38"/>
      <c r="F54" s="603"/>
      <c r="G54" s="743" t="s">
        <v>108</v>
      </c>
      <c r="H54" s="744" t="s">
        <v>108</v>
      </c>
      <c r="I54" s="744" t="s">
        <v>108</v>
      </c>
      <c r="J54" s="744" t="s">
        <v>108</v>
      </c>
      <c r="K54" s="744" t="s">
        <v>108</v>
      </c>
      <c r="L54" s="744" t="s">
        <v>108</v>
      </c>
      <c r="M54" s="827">
        <v>0.27</v>
      </c>
      <c r="N54" s="846">
        <v>10.295</v>
      </c>
      <c r="O54" s="846">
        <v>16.04</v>
      </c>
      <c r="P54" s="846">
        <v>11.25</v>
      </c>
      <c r="Q54" s="847">
        <v>30.145</v>
      </c>
      <c r="R54" s="61">
        <f t="shared" si="8"/>
        <v>0.30811894162574838</v>
      </c>
    </row>
    <row r="55" spans="1:18" x14ac:dyDescent="0.3">
      <c r="B55" t="s">
        <v>605</v>
      </c>
      <c r="G55" s="743" t="s">
        <v>108</v>
      </c>
      <c r="H55" s="744" t="s">
        <v>108</v>
      </c>
      <c r="I55" s="744" t="s">
        <v>108</v>
      </c>
      <c r="J55" s="744" t="s">
        <v>108</v>
      </c>
      <c r="K55" s="744" t="s">
        <v>108</v>
      </c>
      <c r="L55" s="744" t="s">
        <v>108</v>
      </c>
      <c r="M55" s="827">
        <v>0</v>
      </c>
      <c r="N55" s="841">
        <v>6.99</v>
      </c>
      <c r="O55" s="841">
        <v>9.1929999999999996</v>
      </c>
      <c r="P55" s="841">
        <v>8.6579999999999995</v>
      </c>
      <c r="Q55" s="842">
        <v>36.517000000000003</v>
      </c>
      <c r="R55" s="61">
        <f t="shared" si="8"/>
        <v>0.51183529105252945</v>
      </c>
    </row>
    <row r="56" spans="1:18" ht="14.5" x14ac:dyDescent="0.35">
      <c r="B56" s="243" t="s">
        <v>606</v>
      </c>
      <c r="G56" s="743" t="s">
        <v>108</v>
      </c>
      <c r="H56" s="744" t="s">
        <v>108</v>
      </c>
      <c r="I56" s="744" t="s">
        <v>108</v>
      </c>
      <c r="J56" s="744" t="s">
        <v>108</v>
      </c>
      <c r="K56" s="744" t="s">
        <v>108</v>
      </c>
      <c r="L56" s="744" t="s">
        <v>108</v>
      </c>
      <c r="M56" s="827">
        <v>0</v>
      </c>
      <c r="N56" s="805">
        <v>0</v>
      </c>
      <c r="O56" s="805">
        <v>1.8919999999999999</v>
      </c>
      <c r="P56" s="805">
        <v>1.63</v>
      </c>
      <c r="Q56" s="843">
        <v>69.875</v>
      </c>
      <c r="R56" s="61" t="str">
        <f t="shared" si="8"/>
        <v/>
      </c>
    </row>
    <row r="57" spans="1:18" ht="14.5" x14ac:dyDescent="0.35">
      <c r="B57" s="243" t="s">
        <v>607</v>
      </c>
      <c r="G57" s="743" t="s">
        <v>108</v>
      </c>
      <c r="H57" s="744" t="s">
        <v>108</v>
      </c>
      <c r="I57" s="744" t="s">
        <v>108</v>
      </c>
      <c r="J57" s="744" t="s">
        <v>108</v>
      </c>
      <c r="K57" s="744" t="s">
        <v>108</v>
      </c>
      <c r="L57" s="744" t="s">
        <v>108</v>
      </c>
      <c r="M57" s="827">
        <v>0</v>
      </c>
      <c r="N57" s="805">
        <v>6.99</v>
      </c>
      <c r="O57" s="805">
        <v>7.3010000000000002</v>
      </c>
      <c r="P57" s="805">
        <v>7.0279999999999996</v>
      </c>
      <c r="Q57" s="843">
        <v>0.63890000000000002</v>
      </c>
      <c r="R57" s="61">
        <f t="shared" si="8"/>
        <v>-0.45015671180186634</v>
      </c>
    </row>
    <row r="58" spans="1:18" x14ac:dyDescent="0.3">
      <c r="B58" s="38" t="s">
        <v>608</v>
      </c>
      <c r="C58" s="38"/>
      <c r="D58" s="38"/>
      <c r="E58" s="38"/>
      <c r="G58" s="743" t="s">
        <v>108</v>
      </c>
      <c r="H58" s="744" t="s">
        <v>108</v>
      </c>
      <c r="I58" s="744" t="s">
        <v>108</v>
      </c>
      <c r="J58" s="744" t="s">
        <v>108</v>
      </c>
      <c r="K58" s="744" t="s">
        <v>108</v>
      </c>
      <c r="L58" s="744" t="s">
        <v>108</v>
      </c>
      <c r="M58" s="827">
        <v>0</v>
      </c>
      <c r="N58" s="841">
        <v>12.305</v>
      </c>
      <c r="O58" s="841">
        <v>31.177</v>
      </c>
      <c r="P58" s="841">
        <v>63.929000000000002</v>
      </c>
      <c r="Q58" s="842">
        <v>30.797999999999998</v>
      </c>
      <c r="R58" s="61">
        <f t="shared" si="8"/>
        <v>0.25779604311022775</v>
      </c>
    </row>
    <row r="59" spans="1:18" s="1" customFormat="1" ht="14.5" thickBot="1" x14ac:dyDescent="0.35">
      <c r="B59" s="1" t="s">
        <v>609</v>
      </c>
      <c r="F59" s="602"/>
      <c r="G59" s="743" t="s">
        <v>108</v>
      </c>
      <c r="H59" s="744" t="s">
        <v>108</v>
      </c>
      <c r="I59" s="744" t="s">
        <v>108</v>
      </c>
      <c r="J59" s="744" t="s">
        <v>108</v>
      </c>
      <c r="K59" s="744" t="s">
        <v>108</v>
      </c>
      <c r="L59" s="744" t="s">
        <v>108</v>
      </c>
      <c r="M59" s="827">
        <v>10.5</v>
      </c>
      <c r="N59" s="846">
        <v>19.295000000000002</v>
      </c>
      <c r="O59" s="846">
        <v>40.369999999999997</v>
      </c>
      <c r="P59" s="846">
        <v>72.587000000000003</v>
      </c>
      <c r="Q59" s="847">
        <v>107.062</v>
      </c>
      <c r="R59" s="61">
        <f t="shared" si="8"/>
        <v>0.53478534017914336</v>
      </c>
    </row>
    <row r="60" spans="1:18" s="1" customFormat="1" ht="14.5" thickBot="1" x14ac:dyDescent="0.35">
      <c r="B60" s="223" t="s">
        <v>449</v>
      </c>
      <c r="C60" s="223"/>
      <c r="D60" s="223"/>
      <c r="E60" s="223"/>
      <c r="F60" s="604"/>
      <c r="G60" s="743" t="s">
        <v>108</v>
      </c>
      <c r="H60" s="744" t="s">
        <v>108</v>
      </c>
      <c r="I60" s="744" t="s">
        <v>108</v>
      </c>
      <c r="J60" s="744" t="s">
        <v>108</v>
      </c>
      <c r="K60" s="744" t="s">
        <v>108</v>
      </c>
      <c r="L60" s="744" t="s">
        <v>108</v>
      </c>
      <c r="M60" s="827">
        <v>10.77</v>
      </c>
      <c r="N60" s="852">
        <v>29.59</v>
      </c>
      <c r="O60" s="852">
        <v>56.41</v>
      </c>
      <c r="P60" s="852">
        <v>83.837000000000003</v>
      </c>
      <c r="Q60" s="853">
        <v>137.20699999999999</v>
      </c>
      <c r="R60" s="61">
        <f t="shared" si="8"/>
        <v>0.46743146095131327</v>
      </c>
    </row>
    <row r="61" spans="1:18" s="1" customFormat="1" x14ac:dyDescent="0.3">
      <c r="B61" s="1" t="s">
        <v>297</v>
      </c>
      <c r="F61"/>
      <c r="G61" s="743" t="s">
        <v>108</v>
      </c>
      <c r="H61" s="744" t="s">
        <v>108</v>
      </c>
      <c r="I61" s="744" t="s">
        <v>108</v>
      </c>
      <c r="J61" s="744" t="s">
        <v>108</v>
      </c>
      <c r="K61" s="744" t="s">
        <v>108</v>
      </c>
      <c r="L61" s="744" t="s">
        <v>108</v>
      </c>
      <c r="M61" s="827">
        <v>290.762</v>
      </c>
      <c r="N61" s="852">
        <v>3.02</v>
      </c>
      <c r="O61" s="852">
        <v>-29.463000000000001</v>
      </c>
      <c r="P61" s="852">
        <v>-24.481000000000002</v>
      </c>
      <c r="Q61" s="853">
        <v>62.646000000000001</v>
      </c>
      <c r="R61" s="61">
        <f t="shared" si="8"/>
        <v>1.134133587049198</v>
      </c>
    </row>
    <row r="62" spans="1:18" ht="28" x14ac:dyDescent="0.3">
      <c r="B62" s="729" t="s">
        <v>610</v>
      </c>
      <c r="G62" s="747" t="s">
        <v>108</v>
      </c>
      <c r="H62" s="748" t="s">
        <v>108</v>
      </c>
      <c r="I62" s="748" t="s">
        <v>108</v>
      </c>
      <c r="J62" s="748" t="s">
        <v>108</v>
      </c>
      <c r="K62" s="748" t="s">
        <v>108</v>
      </c>
      <c r="L62" s="748" t="s">
        <v>108</v>
      </c>
      <c r="M62" s="854">
        <v>0</v>
      </c>
      <c r="N62" s="855">
        <v>0</v>
      </c>
      <c r="O62" s="855">
        <v>0</v>
      </c>
      <c r="P62" s="855">
        <v>0</v>
      </c>
      <c r="Q62" s="855">
        <v>0</v>
      </c>
      <c r="R62" s="61"/>
    </row>
    <row r="63" spans="1:18" ht="4.4000000000000004" customHeight="1" x14ac:dyDescent="0.3"/>
    <row r="64" spans="1:18" ht="15.5" x14ac:dyDescent="0.35">
      <c r="A64" t="s">
        <v>431</v>
      </c>
      <c r="B64" s="49" t="s">
        <v>241</v>
      </c>
      <c r="C64" s="53"/>
      <c r="D64" s="53"/>
      <c r="E64" s="53"/>
      <c r="F64" s="53"/>
      <c r="G64" s="219">
        <v>2014</v>
      </c>
      <c r="H64" s="219">
        <f>+G64+1</f>
        <v>2015</v>
      </c>
      <c r="I64" s="219">
        <f t="shared" ref="I64:M64" si="9">+H64+1</f>
        <v>2016</v>
      </c>
      <c r="J64" s="219">
        <f t="shared" si="9"/>
        <v>2017</v>
      </c>
      <c r="K64" s="219">
        <f t="shared" si="9"/>
        <v>2018</v>
      </c>
      <c r="L64" s="219">
        <f t="shared" si="9"/>
        <v>2019</v>
      </c>
      <c r="M64" s="219">
        <f t="shared" si="9"/>
        <v>2020</v>
      </c>
      <c r="N64" s="219">
        <f>+M64+1</f>
        <v>2021</v>
      </c>
      <c r="O64" s="219">
        <f>+N64+1</f>
        <v>2022</v>
      </c>
      <c r="P64" s="219">
        <f t="shared" ref="P64" si="10">+O64+1</f>
        <v>2023</v>
      </c>
      <c r="Q64" s="219">
        <f>+P64+1</f>
        <v>2024</v>
      </c>
      <c r="R64" s="55" t="str">
        <f>"CAGR "&amp;$N$4&amp;" - "&amp;$Q$4</f>
        <v>CAGR 2021 - 2024</v>
      </c>
    </row>
    <row r="65" spans="2:18" ht="4.4000000000000004" customHeight="1" x14ac:dyDescent="0.35">
      <c r="B65" s="221"/>
      <c r="C65" s="221"/>
      <c r="D65" s="221"/>
      <c r="E65" s="221"/>
      <c r="F65" s="221"/>
      <c r="G65" s="222"/>
      <c r="H65" s="222"/>
      <c r="I65" s="222"/>
      <c r="J65" s="222"/>
      <c r="K65" s="222"/>
      <c r="L65" s="222"/>
      <c r="M65" s="222"/>
      <c r="N65" s="222"/>
      <c r="O65" s="222"/>
      <c r="P65" s="222"/>
      <c r="Q65" s="222"/>
      <c r="R65" s="57"/>
    </row>
    <row r="66" spans="2:18" x14ac:dyDescent="0.3">
      <c r="B66" t="s">
        <v>279</v>
      </c>
      <c r="G66" s="749" t="str">
        <f>G24</f>
        <v>N/A</v>
      </c>
      <c r="H66" s="750" t="str">
        <f t="shared" ref="H66:M66" si="11">H24</f>
        <v>N/A</v>
      </c>
      <c r="I66" s="750" t="str">
        <f t="shared" si="11"/>
        <v>N/A</v>
      </c>
      <c r="J66" s="750" t="str">
        <f t="shared" si="11"/>
        <v>N/A</v>
      </c>
      <c r="K66" s="750" t="str">
        <f t="shared" si="11"/>
        <v>N/A</v>
      </c>
      <c r="L66" s="750" t="str">
        <f t="shared" si="11"/>
        <v>N/A</v>
      </c>
      <c r="M66" s="750" t="str">
        <f t="shared" si="11"/>
        <v>N/A</v>
      </c>
      <c r="N66" s="856">
        <f t="shared" ref="N66:Q66" si="12">N24</f>
        <v>-31.545000000000002</v>
      </c>
      <c r="O66" s="856">
        <f t="shared" si="12"/>
        <v>-53.701999999999998</v>
      </c>
      <c r="P66" s="856">
        <f t="shared" si="12"/>
        <v>-82.715000000000003</v>
      </c>
      <c r="Q66" s="857">
        <f t="shared" si="12"/>
        <v>-143.87899999999999</v>
      </c>
      <c r="R66" s="61">
        <f>IFERROR((Q66/N66)^(1/COUNT($G$4:$N$4))-1,"")</f>
        <v>0.20888046568442742</v>
      </c>
    </row>
    <row r="67" spans="2:18" x14ac:dyDescent="0.3">
      <c r="B67" t="s">
        <v>611</v>
      </c>
      <c r="G67" s="751" t="str">
        <f>+G13</f>
        <v>N/A</v>
      </c>
      <c r="H67" s="752" t="str">
        <f t="shared" ref="H67:Q67" si="13">+H13</f>
        <v>N/A</v>
      </c>
      <c r="I67" s="752" t="str">
        <f t="shared" si="13"/>
        <v>N/A</v>
      </c>
      <c r="J67" s="752" t="str">
        <f t="shared" si="13"/>
        <v>N/A</v>
      </c>
      <c r="K67" s="752" t="str">
        <f t="shared" si="13"/>
        <v>N/A</v>
      </c>
      <c r="L67" s="752" t="str">
        <f t="shared" si="13"/>
        <v>N/A</v>
      </c>
      <c r="M67" s="752" t="str">
        <f t="shared" si="13"/>
        <v>N/A</v>
      </c>
      <c r="N67" s="753">
        <f t="shared" si="13"/>
        <v>2.6019999999999999</v>
      </c>
      <c r="O67" s="753">
        <f t="shared" si="13"/>
        <v>2.3330000000000002</v>
      </c>
      <c r="P67" s="753">
        <f t="shared" si="13"/>
        <v>1.845</v>
      </c>
      <c r="Q67" s="754">
        <f t="shared" si="13"/>
        <v>1.9319999999999999</v>
      </c>
      <c r="R67" s="61">
        <f>IFERROR((Q67/N67)^(1/COUNT($G$4:$N$4))-1,"")</f>
        <v>-3.6531592078379749E-2</v>
      </c>
    </row>
    <row r="68" spans="2:18" x14ac:dyDescent="0.3">
      <c r="B68" t="s">
        <v>529</v>
      </c>
      <c r="G68" s="755" t="s">
        <v>108</v>
      </c>
      <c r="H68" s="756" t="s">
        <v>108</v>
      </c>
      <c r="I68" s="756" t="s">
        <v>108</v>
      </c>
      <c r="J68" s="756" t="s">
        <v>108</v>
      </c>
      <c r="K68" s="756" t="s">
        <v>108</v>
      </c>
      <c r="L68" s="756" t="s">
        <v>108</v>
      </c>
      <c r="M68" s="756" t="s">
        <v>108</v>
      </c>
      <c r="N68" s="745">
        <v>-1.1850000000000001</v>
      </c>
      <c r="O68" s="745">
        <v>3.0219999999999998</v>
      </c>
      <c r="P68" s="745">
        <v>-2.698</v>
      </c>
      <c r="Q68" s="746">
        <v>20.861999999999998</v>
      </c>
      <c r="R68" s="61" t="str">
        <f>IFERROR((Q68/N68)^(1/COUNT($G$4:$N$4))-1,"")</f>
        <v/>
      </c>
    </row>
    <row r="69" spans="2:18" ht="14.5" x14ac:dyDescent="0.35">
      <c r="B69" s="243" t="s">
        <v>612</v>
      </c>
      <c r="G69" s="757" t="s">
        <v>108</v>
      </c>
      <c r="H69" s="758" t="s">
        <v>108</v>
      </c>
      <c r="I69" s="758" t="s">
        <v>108</v>
      </c>
      <c r="J69" s="758" t="s">
        <v>108</v>
      </c>
      <c r="K69" s="758" t="s">
        <v>108</v>
      </c>
      <c r="L69" s="758" t="s">
        <v>108</v>
      </c>
      <c r="M69" s="758" t="s">
        <v>108</v>
      </c>
      <c r="N69" s="759">
        <v>0.16300000000000001</v>
      </c>
      <c r="O69" s="759">
        <v>-0.33700000000000002</v>
      </c>
      <c r="P69" s="759">
        <v>-0.81799999999999995</v>
      </c>
      <c r="Q69" s="760">
        <v>0.13700000000000001</v>
      </c>
      <c r="R69" s="61"/>
    </row>
    <row r="70" spans="2:18" ht="14.5" x14ac:dyDescent="0.35">
      <c r="B70" s="243" t="s">
        <v>613</v>
      </c>
      <c r="G70" s="757" t="s">
        <v>108</v>
      </c>
      <c r="H70" s="758" t="s">
        <v>108</v>
      </c>
      <c r="I70" s="758" t="s">
        <v>108</v>
      </c>
      <c r="J70" s="758" t="s">
        <v>108</v>
      </c>
      <c r="K70" s="758" t="s">
        <v>108</v>
      </c>
      <c r="L70" s="758" t="s">
        <v>108</v>
      </c>
      <c r="M70" s="758" t="s">
        <v>108</v>
      </c>
      <c r="N70" s="759">
        <v>0.182</v>
      </c>
      <c r="O70" s="759">
        <v>-0.14799999999999999</v>
      </c>
      <c r="P70" s="759">
        <v>-0.23699999999999999</v>
      </c>
      <c r="Q70" s="760">
        <v>-0.215</v>
      </c>
      <c r="R70" s="61"/>
    </row>
    <row r="71" spans="2:18" ht="14.5" x14ac:dyDescent="0.35">
      <c r="B71" s="243" t="s">
        <v>614</v>
      </c>
      <c r="G71" s="757" t="s">
        <v>108</v>
      </c>
      <c r="H71" s="758" t="s">
        <v>108</v>
      </c>
      <c r="I71" s="758" t="s">
        <v>108</v>
      </c>
      <c r="J71" s="758" t="s">
        <v>108</v>
      </c>
      <c r="K71" s="758" t="s">
        <v>108</v>
      </c>
      <c r="L71" s="758" t="s">
        <v>108</v>
      </c>
      <c r="M71" s="758" t="s">
        <v>108</v>
      </c>
      <c r="N71" s="759">
        <v>-0.379</v>
      </c>
      <c r="O71" s="759">
        <v>3.597</v>
      </c>
      <c r="P71" s="759">
        <v>-2.6139999999999999</v>
      </c>
      <c r="Q71" s="760">
        <v>-0.56999999999999995</v>
      </c>
      <c r="R71" s="61"/>
    </row>
    <row r="72" spans="2:18" ht="14.5" x14ac:dyDescent="0.35">
      <c r="B72" s="243" t="s">
        <v>615</v>
      </c>
      <c r="G72" s="757" t="s">
        <v>108</v>
      </c>
      <c r="H72" s="758" t="s">
        <v>108</v>
      </c>
      <c r="I72" s="758" t="s">
        <v>108</v>
      </c>
      <c r="J72" s="758" t="s">
        <v>108</v>
      </c>
      <c r="K72" s="758" t="s">
        <v>108</v>
      </c>
      <c r="L72" s="758" t="s">
        <v>108</v>
      </c>
      <c r="M72" s="758" t="s">
        <v>108</v>
      </c>
      <c r="N72" s="759" t="s">
        <v>616</v>
      </c>
      <c r="O72" s="759">
        <v>-5442</v>
      </c>
      <c r="P72" s="759">
        <v>1222</v>
      </c>
      <c r="Q72" s="760">
        <v>88793</v>
      </c>
      <c r="R72" s="61"/>
    </row>
    <row r="73" spans="2:18" x14ac:dyDescent="0.3">
      <c r="B73" t="s">
        <v>527</v>
      </c>
      <c r="G73" s="757" t="s">
        <v>108</v>
      </c>
      <c r="H73" s="758" t="s">
        <v>108</v>
      </c>
      <c r="I73" s="758" t="s">
        <v>108</v>
      </c>
      <c r="J73" s="758" t="s">
        <v>108</v>
      </c>
      <c r="K73" s="758" t="s">
        <v>108</v>
      </c>
      <c r="L73" s="758" t="s">
        <v>108</v>
      </c>
      <c r="M73" s="758" t="s">
        <v>108</v>
      </c>
      <c r="N73" s="759">
        <v>1.7390000000000001</v>
      </c>
      <c r="O73" s="759">
        <v>9.1639999999999997</v>
      </c>
      <c r="P73" s="759">
        <v>21.919</v>
      </c>
      <c r="Q73" s="760">
        <v>15.661</v>
      </c>
      <c r="R73" s="61"/>
    </row>
    <row r="74" spans="2:18" x14ac:dyDescent="0.3">
      <c r="B74" t="s">
        <v>530</v>
      </c>
      <c r="G74" s="755" t="s">
        <v>108</v>
      </c>
      <c r="H74" s="756" t="s">
        <v>108</v>
      </c>
      <c r="I74" s="756" t="s">
        <v>108</v>
      </c>
      <c r="J74" s="756" t="s">
        <v>108</v>
      </c>
      <c r="K74" s="756" t="s">
        <v>108</v>
      </c>
      <c r="L74" s="756" t="s">
        <v>108</v>
      </c>
      <c r="M74" s="756" t="s">
        <v>108</v>
      </c>
      <c r="N74" s="745">
        <f t="shared" ref="N74:Q74" si="14">+N75-N66-N67-N68-N73</f>
        <v>-6.4109999999999951</v>
      </c>
      <c r="O74" s="745">
        <f t="shared" si="14"/>
        <v>-6.043000000000001</v>
      </c>
      <c r="P74" s="745">
        <f t="shared" si="14"/>
        <v>1.0000000000000036</v>
      </c>
      <c r="Q74" s="746">
        <f t="shared" si="14"/>
        <v>62.780999999999992</v>
      </c>
      <c r="R74" s="61" t="str">
        <f t="shared" ref="R74:R94" si="15">IFERROR((Q74/N74)^(1/COUNT($G$4:$N$4))-1,"")</f>
        <v/>
      </c>
    </row>
    <row r="75" spans="2:18" s="1" customFormat="1" x14ac:dyDescent="0.3">
      <c r="B75" s="244" t="s">
        <v>299</v>
      </c>
      <c r="C75" s="244"/>
      <c r="D75" s="244"/>
      <c r="E75" s="244"/>
      <c r="F75" s="603"/>
      <c r="G75" s="761" t="s">
        <v>108</v>
      </c>
      <c r="H75" s="762" t="s">
        <v>108</v>
      </c>
      <c r="I75" s="762" t="s">
        <v>108</v>
      </c>
      <c r="J75" s="762" t="s">
        <v>108</v>
      </c>
      <c r="K75" s="762" t="s">
        <v>108</v>
      </c>
      <c r="L75" s="762" t="s">
        <v>108</v>
      </c>
      <c r="M75" s="762" t="s">
        <v>108</v>
      </c>
      <c r="N75" s="763">
        <v>-34.799999999999997</v>
      </c>
      <c r="O75" s="763">
        <v>-45.225999999999999</v>
      </c>
      <c r="P75" s="763">
        <v>-60.649000000000001</v>
      </c>
      <c r="Q75" s="764">
        <v>-42.643000000000001</v>
      </c>
      <c r="R75" s="61">
        <f t="shared" si="15"/>
        <v>2.5731194117255995E-2</v>
      </c>
    </row>
    <row r="76" spans="2:18" x14ac:dyDescent="0.3">
      <c r="B76" t="s">
        <v>23</v>
      </c>
      <c r="G76" s="751" t="s">
        <v>108</v>
      </c>
      <c r="H76" s="752" t="s">
        <v>108</v>
      </c>
      <c r="I76" s="752" t="s">
        <v>108</v>
      </c>
      <c r="J76" s="752" t="s">
        <v>108</v>
      </c>
      <c r="K76" s="752" t="s">
        <v>108</v>
      </c>
      <c r="L76" s="752" t="s">
        <v>108</v>
      </c>
      <c r="M76" s="752" t="s">
        <v>108</v>
      </c>
      <c r="N76" s="753">
        <f t="shared" ref="N76:Q76" si="16">+SUM(N77:N78)</f>
        <v>-1.774</v>
      </c>
      <c r="O76" s="753">
        <f t="shared" si="16"/>
        <v>-0.42299999999999999</v>
      </c>
      <c r="P76" s="753">
        <f t="shared" si="16"/>
        <v>-0.58299999999999996</v>
      </c>
      <c r="Q76" s="754">
        <f t="shared" si="16"/>
        <v>-2.395</v>
      </c>
      <c r="R76" s="61">
        <f t="shared" si="15"/>
        <v>3.8230989653754932E-2</v>
      </c>
    </row>
    <row r="77" spans="2:18" ht="14.5" x14ac:dyDescent="0.35">
      <c r="B77" s="243" t="s">
        <v>534</v>
      </c>
      <c r="G77" s="765" t="s">
        <v>108</v>
      </c>
      <c r="H77" s="766" t="s">
        <v>108</v>
      </c>
      <c r="I77" s="766" t="s">
        <v>108</v>
      </c>
      <c r="J77" s="766" t="s">
        <v>108</v>
      </c>
      <c r="K77" s="766" t="s">
        <v>108</v>
      </c>
      <c r="L77" s="766" t="s">
        <v>108</v>
      </c>
      <c r="M77" s="766" t="s">
        <v>108</v>
      </c>
      <c r="N77" s="767">
        <v>-1.774</v>
      </c>
      <c r="O77" s="767">
        <v>-0.42299999999999999</v>
      </c>
      <c r="P77" s="767">
        <v>-0.58299999999999996</v>
      </c>
      <c r="Q77" s="768">
        <v>-2.395</v>
      </c>
      <c r="R77" s="61">
        <f t="shared" si="15"/>
        <v>3.8230989653754932E-2</v>
      </c>
    </row>
    <row r="78" spans="2:18" ht="14.5" x14ac:dyDescent="0.35">
      <c r="B78" s="243" t="s">
        <v>536</v>
      </c>
      <c r="G78" s="765" t="s">
        <v>108</v>
      </c>
      <c r="H78" s="766" t="s">
        <v>108</v>
      </c>
      <c r="I78" s="766" t="s">
        <v>108</v>
      </c>
      <c r="J78" s="766" t="s">
        <v>108</v>
      </c>
      <c r="K78" s="766" t="s">
        <v>108</v>
      </c>
      <c r="L78" s="766" t="s">
        <v>108</v>
      </c>
      <c r="M78" s="766" t="s">
        <v>108</v>
      </c>
      <c r="N78" s="767">
        <v>0</v>
      </c>
      <c r="O78" s="767">
        <v>0</v>
      </c>
      <c r="P78" s="767">
        <v>0</v>
      </c>
      <c r="Q78" s="768">
        <v>0</v>
      </c>
      <c r="R78" s="61" t="str">
        <f t="shared" si="15"/>
        <v/>
      </c>
    </row>
    <row r="79" spans="2:18" ht="14.5" x14ac:dyDescent="0.35">
      <c r="B79" s="85" t="s">
        <v>538</v>
      </c>
      <c r="G79" s="751">
        <f>+SUM(G80:G83)</f>
        <v>0</v>
      </c>
      <c r="H79" s="752">
        <f t="shared" ref="H79:Q79" si="17">+SUM(H80:H83)</f>
        <v>0</v>
      </c>
      <c r="I79" s="752">
        <f t="shared" si="17"/>
        <v>0</v>
      </c>
      <c r="J79" s="752">
        <f t="shared" si="17"/>
        <v>0</v>
      </c>
      <c r="K79" s="752">
        <f t="shared" si="17"/>
        <v>0</v>
      </c>
      <c r="L79" s="752">
        <f t="shared" si="17"/>
        <v>0</v>
      </c>
      <c r="M79" s="752">
        <f>+SUM(M80:M83)</f>
        <v>0</v>
      </c>
      <c r="N79" s="753">
        <f t="shared" si="17"/>
        <v>0</v>
      </c>
      <c r="O79" s="753">
        <f t="shared" si="17"/>
        <v>0</v>
      </c>
      <c r="P79" s="753">
        <f t="shared" si="17"/>
        <v>0</v>
      </c>
      <c r="Q79" s="754">
        <f t="shared" si="17"/>
        <v>-1</v>
      </c>
      <c r="R79" s="61" t="str">
        <f t="shared" si="15"/>
        <v/>
      </c>
    </row>
    <row r="80" spans="2:18" ht="14.5" x14ac:dyDescent="0.35">
      <c r="B80" s="243" t="s">
        <v>617</v>
      </c>
      <c r="G80" s="765" t="s">
        <v>108</v>
      </c>
      <c r="H80" s="766" t="s">
        <v>108</v>
      </c>
      <c r="I80" s="766" t="s">
        <v>108</v>
      </c>
      <c r="J80" s="766" t="s">
        <v>108</v>
      </c>
      <c r="K80" s="766" t="s">
        <v>108</v>
      </c>
      <c r="L80" s="766" t="s">
        <v>108</v>
      </c>
      <c r="M80" s="766" t="s">
        <v>108</v>
      </c>
      <c r="N80" s="767">
        <v>0</v>
      </c>
      <c r="O80" s="767">
        <v>0</v>
      </c>
      <c r="P80" s="767">
        <v>0</v>
      </c>
      <c r="Q80" s="768">
        <v>0</v>
      </c>
      <c r="R80" s="61" t="str">
        <f t="shared" si="15"/>
        <v/>
      </c>
    </row>
    <row r="81" spans="1:18" ht="14.5" x14ac:dyDescent="0.35">
      <c r="B81" s="243" t="s">
        <v>618</v>
      </c>
      <c r="G81" s="765" t="s">
        <v>108</v>
      </c>
      <c r="H81" s="766" t="s">
        <v>108</v>
      </c>
      <c r="I81" s="766" t="s">
        <v>108</v>
      </c>
      <c r="J81" s="766" t="s">
        <v>108</v>
      </c>
      <c r="K81" s="766" t="s">
        <v>108</v>
      </c>
      <c r="L81" s="766" t="s">
        <v>108</v>
      </c>
      <c r="M81" s="766" t="s">
        <v>108</v>
      </c>
      <c r="N81" s="767">
        <v>0</v>
      </c>
      <c r="O81" s="767">
        <v>0</v>
      </c>
      <c r="P81" s="767">
        <v>0</v>
      </c>
      <c r="Q81" s="768">
        <v>0</v>
      </c>
      <c r="R81" s="61" t="str">
        <f t="shared" si="15"/>
        <v/>
      </c>
    </row>
    <row r="82" spans="1:18" ht="14.5" x14ac:dyDescent="0.35">
      <c r="B82" s="243" t="s">
        <v>619</v>
      </c>
      <c r="G82" s="765" t="s">
        <v>108</v>
      </c>
      <c r="H82" s="766" t="s">
        <v>108</v>
      </c>
      <c r="I82" s="766" t="s">
        <v>108</v>
      </c>
      <c r="J82" s="766" t="s">
        <v>108</v>
      </c>
      <c r="K82" s="766" t="s">
        <v>108</v>
      </c>
      <c r="L82" s="766" t="s">
        <v>108</v>
      </c>
      <c r="M82" s="766" t="s">
        <v>108</v>
      </c>
      <c r="N82" s="767">
        <v>0</v>
      </c>
      <c r="O82" s="767">
        <v>0</v>
      </c>
      <c r="P82" s="767">
        <v>0</v>
      </c>
      <c r="Q82" s="768">
        <v>-1</v>
      </c>
      <c r="R82" s="61" t="str">
        <f t="shared" si="15"/>
        <v/>
      </c>
    </row>
    <row r="83" spans="1:18" ht="14.5" x14ac:dyDescent="0.35">
      <c r="B83" s="243" t="s">
        <v>620</v>
      </c>
      <c r="G83" s="765" t="s">
        <v>108</v>
      </c>
      <c r="H83" s="766" t="s">
        <v>108</v>
      </c>
      <c r="I83" s="766" t="s">
        <v>108</v>
      </c>
      <c r="J83" s="766" t="s">
        <v>108</v>
      </c>
      <c r="K83" s="766" t="s">
        <v>108</v>
      </c>
      <c r="L83" s="766" t="s">
        <v>108</v>
      </c>
      <c r="M83" s="766" t="s">
        <v>108</v>
      </c>
      <c r="N83" s="767">
        <v>0</v>
      </c>
      <c r="O83" s="767">
        <v>0</v>
      </c>
      <c r="P83" s="767">
        <v>0</v>
      </c>
      <c r="Q83" s="768">
        <v>0</v>
      </c>
      <c r="R83" s="61" t="str">
        <f t="shared" si="15"/>
        <v/>
      </c>
    </row>
    <row r="84" spans="1:18" x14ac:dyDescent="0.3">
      <c r="B84" t="s">
        <v>539</v>
      </c>
      <c r="G84" s="751" t="s">
        <v>108</v>
      </c>
      <c r="H84" s="752" t="s">
        <v>108</v>
      </c>
      <c r="I84" s="752" t="s">
        <v>108</v>
      </c>
      <c r="J84" s="752" t="s">
        <v>108</v>
      </c>
      <c r="K84" s="752" t="s">
        <v>108</v>
      </c>
      <c r="L84" s="752" t="s">
        <v>108</v>
      </c>
      <c r="M84" s="752" t="s">
        <v>108</v>
      </c>
      <c r="N84" s="753">
        <f t="shared" ref="N84:Q84" si="18">+N85-N76-N79</f>
        <v>-0.22500000000000009</v>
      </c>
      <c r="O84" s="753">
        <f t="shared" si="18"/>
        <v>-7.5000000000000011E-2</v>
      </c>
      <c r="P84" s="753">
        <f t="shared" si="18"/>
        <v>-4.7000000000000042E-2</v>
      </c>
      <c r="Q84" s="754">
        <f t="shared" si="18"/>
        <v>0.254</v>
      </c>
      <c r="R84" s="61" t="str">
        <f t="shared" si="15"/>
        <v/>
      </c>
    </row>
    <row r="85" spans="1:18" s="1" customFormat="1" x14ac:dyDescent="0.3">
      <c r="B85" s="244" t="s">
        <v>300</v>
      </c>
      <c r="C85" s="244"/>
      <c r="D85" s="244"/>
      <c r="E85" s="244"/>
      <c r="F85" s="603"/>
      <c r="G85" s="761" t="s">
        <v>108</v>
      </c>
      <c r="H85" s="762" t="s">
        <v>108</v>
      </c>
      <c r="I85" s="762" t="s">
        <v>108</v>
      </c>
      <c r="J85" s="762" t="s">
        <v>108</v>
      </c>
      <c r="K85" s="762" t="s">
        <v>108</v>
      </c>
      <c r="L85" s="762" t="s">
        <v>108</v>
      </c>
      <c r="M85" s="762" t="s">
        <v>108</v>
      </c>
      <c r="N85" s="763">
        <v>-1.9990000000000001</v>
      </c>
      <c r="O85" s="763">
        <v>-0.498</v>
      </c>
      <c r="P85" s="763">
        <v>-0.63</v>
      </c>
      <c r="Q85" s="764">
        <v>-3.141</v>
      </c>
      <c r="R85" s="61">
        <f t="shared" si="15"/>
        <v>5.8112616544094386E-2</v>
      </c>
    </row>
    <row r="86" spans="1:18" x14ac:dyDescent="0.3">
      <c r="B86" t="s">
        <v>301</v>
      </c>
      <c r="G86" s="761" t="s">
        <v>108</v>
      </c>
      <c r="H86" s="762" t="s">
        <v>108</v>
      </c>
      <c r="I86" s="762" t="s">
        <v>108</v>
      </c>
      <c r="J86" s="762" t="s">
        <v>108</v>
      </c>
      <c r="K86" s="762" t="s">
        <v>108</v>
      </c>
      <c r="L86" s="762" t="s">
        <v>108</v>
      </c>
      <c r="M86" s="762" t="s">
        <v>108</v>
      </c>
      <c r="N86" s="759">
        <v>25.257999999999999</v>
      </c>
      <c r="O86" s="759">
        <v>23.158999999999999</v>
      </c>
      <c r="P86" s="759">
        <v>32.003</v>
      </c>
      <c r="Q86" s="760">
        <v>0</v>
      </c>
      <c r="R86" s="61">
        <f t="shared" si="15"/>
        <v>-1</v>
      </c>
    </row>
    <row r="87" spans="1:18" x14ac:dyDescent="0.3">
      <c r="B87" t="s">
        <v>302</v>
      </c>
      <c r="G87" s="761" t="s">
        <v>108</v>
      </c>
      <c r="H87" s="762" t="s">
        <v>108</v>
      </c>
      <c r="I87" s="762" t="s">
        <v>108</v>
      </c>
      <c r="J87" s="762" t="s">
        <v>108</v>
      </c>
      <c r="K87" s="762" t="s">
        <v>108</v>
      </c>
      <c r="L87" s="762" t="s">
        <v>108</v>
      </c>
      <c r="M87" s="762" t="s">
        <v>108</v>
      </c>
      <c r="N87" s="759">
        <v>-3.1E-2</v>
      </c>
      <c r="O87" s="759">
        <v>-21.510999999999999</v>
      </c>
      <c r="P87" s="759">
        <v>-1.885</v>
      </c>
      <c r="Q87" s="760">
        <v>-30.37</v>
      </c>
      <c r="R87" s="61">
        <f t="shared" si="15"/>
        <v>1.3652954004442459</v>
      </c>
    </row>
    <row r="88" spans="1:18" x14ac:dyDescent="0.3">
      <c r="B88" t="s">
        <v>544</v>
      </c>
      <c r="G88" s="761" t="s">
        <v>108</v>
      </c>
      <c r="H88" s="762" t="s">
        <v>108</v>
      </c>
      <c r="I88" s="762" t="s">
        <v>108</v>
      </c>
      <c r="J88" s="762" t="s">
        <v>108</v>
      </c>
      <c r="K88" s="762" t="s">
        <v>108</v>
      </c>
      <c r="L88" s="762" t="s">
        <v>108</v>
      </c>
      <c r="M88" s="762" t="s">
        <v>108</v>
      </c>
      <c r="N88" s="759">
        <v>0</v>
      </c>
      <c r="O88" s="759">
        <v>0</v>
      </c>
      <c r="P88" s="759">
        <v>0</v>
      </c>
      <c r="Q88" s="760">
        <v>0</v>
      </c>
      <c r="R88" s="61" t="str">
        <f t="shared" si="15"/>
        <v/>
      </c>
    </row>
    <row r="89" spans="1:18" x14ac:dyDescent="0.3">
      <c r="B89" t="s">
        <v>540</v>
      </c>
      <c r="G89" s="761" t="s">
        <v>108</v>
      </c>
      <c r="H89" s="762" t="s">
        <v>108</v>
      </c>
      <c r="I89" s="762" t="s">
        <v>108</v>
      </c>
      <c r="J89" s="762" t="s">
        <v>108</v>
      </c>
      <c r="K89" s="762" t="s">
        <v>108</v>
      </c>
      <c r="L89" s="762" t="s">
        <v>108</v>
      </c>
      <c r="M89" s="762" t="s">
        <v>108</v>
      </c>
      <c r="N89" s="759">
        <v>0</v>
      </c>
      <c r="O89" s="759">
        <v>0</v>
      </c>
      <c r="P89" s="759">
        <v>0</v>
      </c>
      <c r="Q89" s="760">
        <v>0</v>
      </c>
      <c r="R89" s="61" t="str">
        <f t="shared" si="15"/>
        <v/>
      </c>
    </row>
    <row r="90" spans="1:18" ht="42" x14ac:dyDescent="0.3">
      <c r="B90" s="729" t="s">
        <v>542</v>
      </c>
      <c r="G90" s="761" t="s">
        <v>108</v>
      </c>
      <c r="H90" s="762" t="s">
        <v>108</v>
      </c>
      <c r="I90" s="762" t="s">
        <v>108</v>
      </c>
      <c r="J90" s="762" t="s">
        <v>108</v>
      </c>
      <c r="K90" s="762" t="s">
        <v>108</v>
      </c>
      <c r="L90" s="762" t="s">
        <v>108</v>
      </c>
      <c r="M90" s="762" t="s">
        <v>108</v>
      </c>
      <c r="N90" s="759">
        <v>0</v>
      </c>
      <c r="O90" s="759">
        <v>40</v>
      </c>
      <c r="P90" s="759">
        <v>63.676000000000002</v>
      </c>
      <c r="Q90" s="760">
        <v>214.191</v>
      </c>
      <c r="R90" s="61" t="str">
        <f t="shared" si="15"/>
        <v/>
      </c>
    </row>
    <row r="91" spans="1:18" x14ac:dyDescent="0.3">
      <c r="B91" t="s">
        <v>547</v>
      </c>
      <c r="G91" s="751" t="s">
        <v>108</v>
      </c>
      <c r="H91" s="752" t="s">
        <v>108</v>
      </c>
      <c r="I91" s="752" t="s">
        <v>108</v>
      </c>
      <c r="J91" s="752" t="s">
        <v>108</v>
      </c>
      <c r="K91" s="752" t="s">
        <v>108</v>
      </c>
      <c r="L91" s="752" t="s">
        <v>108</v>
      </c>
      <c r="M91" s="752" t="s">
        <v>108</v>
      </c>
      <c r="N91" s="753">
        <f t="shared" ref="N91:Q91" si="19">+N92-N86-N87-N88-N89-N90</f>
        <v>-0.31399999999999884</v>
      </c>
      <c r="O91" s="753">
        <f t="shared" si="19"/>
        <v>1.6170000000000044</v>
      </c>
      <c r="P91" s="753">
        <f t="shared" si="19"/>
        <v>1.8419999999999987</v>
      </c>
      <c r="Q91" s="754">
        <f t="shared" si="19"/>
        <v>-1.3710000000000093</v>
      </c>
      <c r="R91" s="61">
        <f t="shared" si="15"/>
        <v>0.20230174058062755</v>
      </c>
    </row>
    <row r="92" spans="1:18" s="1" customFormat="1" x14ac:dyDescent="0.3">
      <c r="B92" s="244" t="s">
        <v>303</v>
      </c>
      <c r="C92" s="244"/>
      <c r="D92" s="244"/>
      <c r="E92" s="244"/>
      <c r="F92" s="603"/>
      <c r="G92" s="751" t="s">
        <v>108</v>
      </c>
      <c r="H92" s="752" t="s">
        <v>108</v>
      </c>
      <c r="I92" s="752" t="s">
        <v>108</v>
      </c>
      <c r="J92" s="752" t="s">
        <v>108</v>
      </c>
      <c r="K92" s="752" t="s">
        <v>108</v>
      </c>
      <c r="L92" s="752" t="s">
        <v>108</v>
      </c>
      <c r="M92" s="752" t="s">
        <v>108</v>
      </c>
      <c r="N92" s="769">
        <v>24.913</v>
      </c>
      <c r="O92" s="769">
        <v>43.265000000000001</v>
      </c>
      <c r="P92" s="769">
        <v>95.635999999999996</v>
      </c>
      <c r="Q92" s="770">
        <v>182.45</v>
      </c>
      <c r="R92" s="61">
        <f t="shared" si="15"/>
        <v>0.28259555346406851</v>
      </c>
    </row>
    <row r="93" spans="1:18" s="1" customFormat="1" ht="28.5" thickBot="1" x14ac:dyDescent="0.35">
      <c r="B93" s="734" t="s">
        <v>621</v>
      </c>
      <c r="C93" s="245"/>
      <c r="D93" s="245"/>
      <c r="E93" s="245"/>
      <c r="F93" s="605"/>
      <c r="G93" s="761" t="s">
        <v>108</v>
      </c>
      <c r="H93" s="762" t="s">
        <v>108</v>
      </c>
      <c r="I93" s="762" t="s">
        <v>108</v>
      </c>
      <c r="J93" s="762" t="s">
        <v>108</v>
      </c>
      <c r="K93" s="762" t="s">
        <v>108</v>
      </c>
      <c r="L93" s="762" t="s">
        <v>108</v>
      </c>
      <c r="M93" s="762" t="s">
        <v>108</v>
      </c>
      <c r="N93" s="763">
        <v>3.4000000000000002E-2</v>
      </c>
      <c r="O93" s="763">
        <v>4.1000000000000002E-2</v>
      </c>
      <c r="P93" s="763">
        <v>-0.115</v>
      </c>
      <c r="Q93" s="764">
        <v>7.0000000000000001E-3</v>
      </c>
      <c r="R93" s="61">
        <f t="shared" si="15"/>
        <v>-0.17926606548615254</v>
      </c>
    </row>
    <row r="94" spans="1:18" s="1" customFormat="1" ht="14.5" thickBot="1" x14ac:dyDescent="0.35">
      <c r="B94" s="1" t="s">
        <v>304</v>
      </c>
      <c r="F94"/>
      <c r="G94" s="771" t="s">
        <v>108</v>
      </c>
      <c r="H94" s="772" t="s">
        <v>108</v>
      </c>
      <c r="I94" s="772" t="s">
        <v>108</v>
      </c>
      <c r="J94" s="772" t="s">
        <v>108</v>
      </c>
      <c r="K94" s="772" t="s">
        <v>108</v>
      </c>
      <c r="L94" s="772" t="s">
        <v>108</v>
      </c>
      <c r="M94" s="772" t="s">
        <v>108</v>
      </c>
      <c r="N94" s="858">
        <v>-11.852</v>
      </c>
      <c r="O94" s="858">
        <v>-2.4180000000000001</v>
      </c>
      <c r="P94" s="858">
        <v>34.241999999999997</v>
      </c>
      <c r="Q94" s="859">
        <v>136.673</v>
      </c>
      <c r="R94" s="61" t="str">
        <f t="shared" si="15"/>
        <v/>
      </c>
    </row>
    <row r="95" spans="1:18" ht="28.5" x14ac:dyDescent="0.35">
      <c r="B95" s="85" t="s">
        <v>622</v>
      </c>
      <c r="N95" s="733" t="s">
        <v>623</v>
      </c>
    </row>
    <row r="96" spans="1:18" ht="15.5" x14ac:dyDescent="0.35">
      <c r="A96" t="s">
        <v>431</v>
      </c>
      <c r="B96" s="218" t="s">
        <v>624</v>
      </c>
      <c r="C96" s="53"/>
      <c r="D96" s="53"/>
      <c r="E96" s="53"/>
      <c r="F96" s="53"/>
      <c r="G96" s="469">
        <v>42004</v>
      </c>
      <c r="H96" s="469">
        <v>42369</v>
      </c>
      <c r="I96" s="469">
        <v>42735</v>
      </c>
      <c r="J96" s="469">
        <v>43100</v>
      </c>
      <c r="K96" s="469">
        <v>43465</v>
      </c>
      <c r="L96" s="469">
        <v>43830</v>
      </c>
      <c r="M96" s="469">
        <v>44196</v>
      </c>
      <c r="N96" s="469">
        <v>44561</v>
      </c>
      <c r="O96" s="469">
        <v>44926</v>
      </c>
      <c r="P96" s="469">
        <v>45291</v>
      </c>
      <c r="Q96" s="469">
        <v>45657</v>
      </c>
      <c r="R96" s="26"/>
    </row>
    <row r="97" spans="1:18" ht="4.4000000000000004" customHeight="1" x14ac:dyDescent="0.35">
      <c r="B97" s="221"/>
      <c r="C97" s="221"/>
      <c r="D97" s="221"/>
      <c r="E97" s="221"/>
      <c r="F97" s="221"/>
      <c r="G97" s="222"/>
      <c r="H97" s="222"/>
      <c r="I97" s="222"/>
      <c r="J97" s="222"/>
      <c r="K97" s="222"/>
      <c r="L97" s="222"/>
      <c r="M97" s="222"/>
      <c r="N97" s="222"/>
      <c r="O97" s="222"/>
      <c r="P97" s="222"/>
      <c r="Q97" s="222"/>
      <c r="R97" s="26"/>
    </row>
    <row r="98" spans="1:18" x14ac:dyDescent="0.3">
      <c r="B98" t="s">
        <v>625</v>
      </c>
      <c r="G98" s="242" t="s">
        <v>108</v>
      </c>
      <c r="H98" s="242" t="s">
        <v>108</v>
      </c>
      <c r="I98" s="242" t="s">
        <v>108</v>
      </c>
      <c r="J98" s="242" t="s">
        <v>108</v>
      </c>
      <c r="K98" s="242" t="s">
        <v>108</v>
      </c>
      <c r="L98" s="242" t="s">
        <v>108</v>
      </c>
      <c r="M98" s="242" t="s">
        <v>108</v>
      </c>
      <c r="N98" s="242" cm="1">
        <f t="array" aca="1" ref="N98" ca="1">(IFERROR(_xlfn.STOCKHISTORY("QBTS", N96, N96, 0, 0, 1), IFERROR(_xlfn.STOCKHISTORY("QBTS", N96+1, N96+1, 0, 0, 1), _xlfn.STOCKHISTORY("QBTS", N96-2, N96-2, 0, 0, 1))))*_xlfn.XLOOKUP("Basic Weighted Average Shares",$B:$B,N:N)</f>
        <v>1789.8423</v>
      </c>
      <c r="O98" s="242" cm="1">
        <f t="array" aca="1" ref="O98" ca="1">(IFERROR(_xlfn.STOCKHISTORY("QBTS", O96, O96, 0, 0, 1), IFERROR(_xlfn.STOCKHISTORY("QBTS", O96+1, O96+1, 0, 0, 1), _xlfn.STOCKHISTORY("QBTS", O96-2, O96-2, 0, 0, 1))))*_xlfn.XLOOKUP("Basic Weighted Average Shares",$B:$B,O:O)</f>
        <v>174.68608</v>
      </c>
      <c r="P98" s="242" cm="1">
        <f t="array" aca="1" ref="P98" ca="1">(IFERROR(_xlfn.STOCKHISTORY("QBTS", P96, P96, 0, 0, 1), IFERROR(_xlfn.STOCKHISTORY("QBTS", P96+1, P96+1, 0, 0, 1), _xlfn.STOCKHISTORY("QBTS", P96-2, P96-2, 0, 0, 1))))*_xlfn.XLOOKUP("Basic Weighted Average Shares",$B:$B,P:P)</f>
        <v>121.4485194</v>
      </c>
      <c r="Q98" s="242" cm="1">
        <f t="array" aca="1" ref="Q98" ca="1">(IFERROR(_xlfn.STOCKHISTORY("QBTS", Q96, Q96, 0, 0, 1), IFERROR(_xlfn.STOCKHISTORY("QBTS", Q96+1, Q96+1, 0, 0, 1), _xlfn.STOCKHISTORY("QBTS", Q96-2, Q96-2, 0, 0, 1))))*_xlfn.XLOOKUP("Basic Weighted Average Shares",$B:$B,Q:Q)</f>
        <v>1613.8835999999999</v>
      </c>
    </row>
    <row r="99" spans="1:18" x14ac:dyDescent="0.3">
      <c r="B99" t="s">
        <v>286</v>
      </c>
      <c r="G99" s="242" t="s">
        <v>108</v>
      </c>
      <c r="H99" s="242" t="s">
        <v>108</v>
      </c>
      <c r="I99" s="242" t="s">
        <v>108</v>
      </c>
      <c r="J99" s="242" t="s">
        <v>108</v>
      </c>
      <c r="K99" s="242" t="s">
        <v>108</v>
      </c>
      <c r="L99" s="242" t="s">
        <v>108</v>
      </c>
      <c r="M99" s="242" t="s">
        <v>108</v>
      </c>
      <c r="N99" s="242">
        <f>_xlfn.XLOOKUP("Cash &amp; Cash Equivalents &amp; ST Investments",$B$30:$B$62,N$30:N$62)</f>
        <v>9.4830000000000005</v>
      </c>
      <c r="O99" s="242">
        <f t="shared" ref="O99:Q99" si="20">_xlfn.XLOOKUP("Cash &amp; Cash Equivalents &amp; ST Investments",$B$30:$B$62,O$30:O$62)</f>
        <v>7.0650000000000004</v>
      </c>
      <c r="P99" s="242">
        <f t="shared" si="20"/>
        <v>41.307000000000002</v>
      </c>
      <c r="Q99" s="242">
        <f t="shared" si="20"/>
        <v>177.98</v>
      </c>
    </row>
    <row r="100" spans="1:18" x14ac:dyDescent="0.3">
      <c r="B100" t="s">
        <v>296</v>
      </c>
      <c r="G100" s="242" t="s">
        <v>108</v>
      </c>
      <c r="H100" s="242" t="s">
        <v>108</v>
      </c>
      <c r="I100" s="242" t="s">
        <v>108</v>
      </c>
      <c r="J100" s="242" t="s">
        <v>108</v>
      </c>
      <c r="K100" s="242" t="s">
        <v>108</v>
      </c>
      <c r="L100" s="242" t="s">
        <v>108</v>
      </c>
      <c r="M100" s="242" t="s">
        <v>108</v>
      </c>
      <c r="N100" s="242">
        <f>(_xlfn.XLOOKUP("Short-Term Debt",$B$30:$B$62,N$30:N$62)+_xlfn.XLOOKUP("Long-Term Debt",$B$30:$B$62,N$30:N$62))</f>
        <v>8.6769999999999996</v>
      </c>
      <c r="O100" s="242">
        <f t="shared" ref="O100:Q100" si="21">(_xlfn.XLOOKUP("Short-Term Debt",$B$30:$B$62,O$30:O$62)+_xlfn.XLOOKUP("Long-Term Debt",$B$30:$B$62,O$30:O$62))</f>
        <v>11.145999999999999</v>
      </c>
      <c r="P100" s="242">
        <f t="shared" si="21"/>
        <v>10.032</v>
      </c>
      <c r="Q100" s="242">
        <f t="shared" si="21"/>
        <v>38.377000000000002</v>
      </c>
    </row>
    <row r="101" spans="1:18" x14ac:dyDescent="0.3">
      <c r="B101" t="s">
        <v>626</v>
      </c>
      <c r="G101" s="242" t="s">
        <v>108</v>
      </c>
      <c r="H101" s="242" t="s">
        <v>108</v>
      </c>
      <c r="I101" s="242" t="s">
        <v>108</v>
      </c>
      <c r="J101" s="242" t="s">
        <v>108</v>
      </c>
      <c r="K101" s="242" t="s">
        <v>108</v>
      </c>
      <c r="L101" s="242" t="s">
        <v>108</v>
      </c>
      <c r="M101" s="242" t="s">
        <v>108</v>
      </c>
      <c r="N101" s="225"/>
      <c r="O101" s="225"/>
      <c r="P101" s="225"/>
      <c r="Q101" s="225"/>
    </row>
    <row r="102" spans="1:18" x14ac:dyDescent="0.3">
      <c r="B102" t="s">
        <v>610</v>
      </c>
      <c r="G102" s="242" t="s">
        <v>108</v>
      </c>
      <c r="H102" s="242" t="s">
        <v>108</v>
      </c>
      <c r="I102" s="242" t="s">
        <v>108</v>
      </c>
      <c r="J102" s="242" t="s">
        <v>108</v>
      </c>
      <c r="K102" s="242" t="s">
        <v>108</v>
      </c>
      <c r="L102" s="242" t="s">
        <v>108</v>
      </c>
      <c r="M102" s="242" t="s">
        <v>108</v>
      </c>
      <c r="N102" s="242">
        <f>_xlfn.XLOOKUP("Non-Controlling Interest",$B$30:$B$62,N$30:N$62)</f>
        <v>0</v>
      </c>
      <c r="O102" s="242">
        <f t="shared" ref="O102:Q102" si="22">_xlfn.XLOOKUP("Non-Controlling Interest",$B$30:$B$62,O$30:O$62)</f>
        <v>0</v>
      </c>
      <c r="P102" s="242">
        <f t="shared" si="22"/>
        <v>0</v>
      </c>
      <c r="Q102" s="242">
        <f t="shared" si="22"/>
        <v>0</v>
      </c>
    </row>
    <row r="103" spans="1:18" x14ac:dyDescent="0.3">
      <c r="B103" t="s">
        <v>556</v>
      </c>
      <c r="G103" s="242" t="s">
        <v>108</v>
      </c>
      <c r="H103" s="242" t="s">
        <v>108</v>
      </c>
      <c r="I103" s="242" t="s">
        <v>108</v>
      </c>
      <c r="J103" s="242" t="s">
        <v>108</v>
      </c>
      <c r="K103" s="242" t="s">
        <v>108</v>
      </c>
      <c r="L103" s="242" t="s">
        <v>108</v>
      </c>
      <c r="M103" s="242" t="s">
        <v>108</v>
      </c>
      <c r="N103" s="226">
        <f ca="1">+N98-N99+N100+N101+N102</f>
        <v>1789.0363</v>
      </c>
      <c r="O103" s="226">
        <f t="shared" ref="O103:Q103" ca="1" si="23">+O98-O99+O100+O101+O102</f>
        <v>178.76707999999999</v>
      </c>
      <c r="P103" s="226">
        <f t="shared" ca="1" si="23"/>
        <v>90.173519399999989</v>
      </c>
      <c r="Q103" s="226">
        <f t="shared" ca="1" si="23"/>
        <v>1474.2805999999998</v>
      </c>
    </row>
    <row r="104" spans="1:18" ht="5.25" customHeight="1" x14ac:dyDescent="0.3"/>
    <row r="105" spans="1:18" ht="15.5" x14ac:dyDescent="0.35">
      <c r="A105" t="s">
        <v>431</v>
      </c>
      <c r="B105" s="49" t="s">
        <v>82</v>
      </c>
      <c r="C105" s="53"/>
      <c r="D105" s="53"/>
      <c r="E105" s="53"/>
      <c r="F105" s="53"/>
      <c r="G105" s="227" t="s">
        <v>627</v>
      </c>
      <c r="H105" s="219">
        <v>2025</v>
      </c>
      <c r="I105" s="219">
        <f>+H105+1</f>
        <v>2026</v>
      </c>
      <c r="J105" s="219">
        <f t="shared" ref="J105:Q105" si="24">+I105+1</f>
        <v>2027</v>
      </c>
      <c r="K105" s="219">
        <f t="shared" si="24"/>
        <v>2028</v>
      </c>
      <c r="L105" s="219">
        <f t="shared" si="24"/>
        <v>2029</v>
      </c>
      <c r="M105" s="219">
        <f t="shared" si="24"/>
        <v>2030</v>
      </c>
      <c r="N105" s="219">
        <f t="shared" si="24"/>
        <v>2031</v>
      </c>
      <c r="O105" s="219">
        <f t="shared" si="24"/>
        <v>2032</v>
      </c>
      <c r="P105" s="219">
        <f t="shared" si="24"/>
        <v>2033</v>
      </c>
      <c r="Q105" s="714">
        <f t="shared" si="24"/>
        <v>2034</v>
      </c>
    </row>
    <row r="106" spans="1:18" ht="4.4000000000000004" customHeight="1" x14ac:dyDescent="0.35">
      <c r="B106" s="221"/>
      <c r="C106" s="221"/>
      <c r="D106" s="221"/>
      <c r="E106" s="221"/>
      <c r="F106" s="221"/>
      <c r="G106" s="222"/>
      <c r="H106" s="222"/>
      <c r="I106" s="222"/>
      <c r="J106" s="222"/>
      <c r="K106" s="222"/>
      <c r="L106" s="222" t="s">
        <v>628</v>
      </c>
      <c r="M106" s="222" t="s">
        <v>628</v>
      </c>
      <c r="N106" s="222" t="s">
        <v>628</v>
      </c>
      <c r="O106" s="222" t="s">
        <v>628</v>
      </c>
      <c r="P106" s="222" t="s">
        <v>628</v>
      </c>
      <c r="Q106" s="222" t="s">
        <v>628</v>
      </c>
    </row>
    <row r="107" spans="1:18" x14ac:dyDescent="0.3">
      <c r="B107" t="s">
        <v>627</v>
      </c>
      <c r="G107" s="713"/>
      <c r="H107" s="225"/>
      <c r="I107" s="225"/>
      <c r="J107" s="225"/>
      <c r="K107" s="225"/>
      <c r="L107" s="225"/>
      <c r="M107" s="225"/>
      <c r="N107" s="225"/>
      <c r="O107" s="225"/>
      <c r="P107" s="225"/>
      <c r="Q107" s="225"/>
    </row>
    <row r="108" spans="1:18" x14ac:dyDescent="0.3">
      <c r="B108" t="s">
        <v>629</v>
      </c>
      <c r="G108"/>
      <c r="H108" s="225"/>
      <c r="I108" s="225"/>
      <c r="J108" s="225"/>
      <c r="K108" s="225"/>
      <c r="L108" s="225"/>
      <c r="M108" s="225"/>
      <c r="N108" s="225"/>
      <c r="O108" s="225"/>
      <c r="P108" s="225"/>
      <c r="Q108" s="225"/>
    </row>
    <row r="109" spans="1:18" x14ac:dyDescent="0.3">
      <c r="B109" t="s">
        <v>630</v>
      </c>
      <c r="G109"/>
      <c r="H109" s="225"/>
      <c r="I109" s="225"/>
      <c r="J109" s="225"/>
      <c r="K109" s="225"/>
      <c r="L109" s="225"/>
      <c r="M109" s="225"/>
      <c r="N109" s="225"/>
      <c r="O109" s="225"/>
      <c r="P109" s="225"/>
      <c r="Q109" s="225"/>
    </row>
    <row r="110" spans="1:18" ht="3.75" customHeight="1" x14ac:dyDescent="0.3"/>
    <row r="111" spans="1:18" ht="15.5" x14ac:dyDescent="0.35">
      <c r="A111" t="s">
        <v>431</v>
      </c>
      <c r="B111" s="49" t="s">
        <v>631</v>
      </c>
      <c r="C111" s="53"/>
      <c r="D111" s="53"/>
      <c r="E111" s="53"/>
      <c r="F111" s="53"/>
      <c r="G111" s="219">
        <v>2014</v>
      </c>
      <c r="H111" s="219">
        <f>+G111+1</f>
        <v>2015</v>
      </c>
      <c r="I111" s="219">
        <f t="shared" ref="I111" si="25">+H111+1</f>
        <v>2016</v>
      </c>
      <c r="J111" s="219">
        <f t="shared" ref="J111" si="26">+I111+1</f>
        <v>2017</v>
      </c>
      <c r="K111" s="219">
        <f t="shared" ref="K111" si="27">+J111+1</f>
        <v>2018</v>
      </c>
      <c r="L111" s="219">
        <f t="shared" ref="L111" si="28">+K111+1</f>
        <v>2019</v>
      </c>
      <c r="M111" s="219">
        <f t="shared" ref="M111" si="29">+L111+1</f>
        <v>2020</v>
      </c>
      <c r="N111" s="219">
        <f>+M111+1</f>
        <v>2021</v>
      </c>
      <c r="O111" s="219">
        <f>+N111+1</f>
        <v>2022</v>
      </c>
      <c r="P111" s="219">
        <f t="shared" ref="P111" si="30">+O111+1</f>
        <v>2023</v>
      </c>
      <c r="Q111" s="219">
        <f>+P111+1</f>
        <v>2024</v>
      </c>
      <c r="R111" s="55" t="str">
        <f>"CAGR "&amp;$N$4&amp;" - "&amp;$Q$4</f>
        <v>CAGR 2021 - 2024</v>
      </c>
    </row>
    <row r="112" spans="1:18" ht="5.25" customHeight="1" x14ac:dyDescent="0.35">
      <c r="B112" s="221"/>
      <c r="C112" s="221"/>
      <c r="D112" s="221"/>
      <c r="E112" s="221"/>
      <c r="F112" s="221"/>
      <c r="G112" s="222"/>
      <c r="H112" s="222"/>
      <c r="I112" s="222"/>
      <c r="J112" s="222"/>
      <c r="K112" s="222"/>
      <c r="L112" s="222"/>
      <c r="M112" s="222"/>
      <c r="N112" s="222"/>
      <c r="O112" s="222"/>
      <c r="P112" s="222"/>
      <c r="Q112" s="222"/>
      <c r="R112" s="57"/>
    </row>
    <row r="113" spans="2:18" x14ac:dyDescent="0.3">
      <c r="B113" t="s">
        <v>296</v>
      </c>
      <c r="G113" s="224" t="s">
        <v>108</v>
      </c>
      <c r="H113" s="224" t="s">
        <v>108</v>
      </c>
      <c r="I113" s="224" t="s">
        <v>108</v>
      </c>
      <c r="J113" s="224" t="s">
        <v>108</v>
      </c>
      <c r="K113" s="224" t="s">
        <v>108</v>
      </c>
      <c r="L113" s="224" t="s">
        <v>108</v>
      </c>
      <c r="M113" s="224" t="s">
        <v>108</v>
      </c>
      <c r="N113" s="730">
        <f>IFERROR(SUM(N55+N50),"")</f>
        <v>8.6769999999999996</v>
      </c>
      <c r="O113" s="730">
        <f>IFERROR(SUM(O55+O50),"")</f>
        <v>11.145999999999999</v>
      </c>
      <c r="P113" s="730">
        <f>IFERROR(SUM(P55+P50),"")</f>
        <v>10.032</v>
      </c>
      <c r="Q113" s="730">
        <f>IFERROR(SUM(Q55+Q50),"")</f>
        <v>38.377000000000002</v>
      </c>
      <c r="R113" s="61">
        <f t="shared" ref="R113:R121" si="31">IFERROR((Q113/N113)^(1/COUNT($N$4:$Q$4))-1,"")</f>
        <v>0.45019150300593735</v>
      </c>
    </row>
    <row r="114" spans="2:18" x14ac:dyDescent="0.3">
      <c r="B114" t="s">
        <v>524</v>
      </c>
      <c r="G114" s="224" t="s">
        <v>108</v>
      </c>
      <c r="H114" s="224" t="s">
        <v>108</v>
      </c>
      <c r="I114" s="224" t="s">
        <v>108</v>
      </c>
      <c r="J114" s="224" t="s">
        <v>108</v>
      </c>
      <c r="K114" s="224" t="s">
        <v>108</v>
      </c>
      <c r="L114" s="224" t="s">
        <v>108</v>
      </c>
      <c r="M114" s="224" t="s">
        <v>108</v>
      </c>
      <c r="N114" s="730">
        <f t="shared" ref="N114:Q115" si="32">IFERROR(SUM(N51,N56),"")</f>
        <v>0</v>
      </c>
      <c r="O114" s="730">
        <f t="shared" si="32"/>
        <v>2.3119999999999998</v>
      </c>
      <c r="P114" s="730">
        <f t="shared" si="32"/>
        <v>1.63</v>
      </c>
      <c r="Q114" s="730">
        <f t="shared" si="32"/>
        <v>69.875</v>
      </c>
      <c r="R114" s="61" t="str">
        <f t="shared" si="31"/>
        <v/>
      </c>
    </row>
    <row r="115" spans="2:18" x14ac:dyDescent="0.3">
      <c r="B115" t="s">
        <v>525</v>
      </c>
      <c r="G115" s="224" t="s">
        <v>108</v>
      </c>
      <c r="H115" s="224" t="s">
        <v>108</v>
      </c>
      <c r="I115" s="224" t="s">
        <v>108</v>
      </c>
      <c r="J115" s="224" t="s">
        <v>108</v>
      </c>
      <c r="K115" s="224" t="s">
        <v>108</v>
      </c>
      <c r="L115" s="224" t="s">
        <v>108</v>
      </c>
      <c r="M115" s="224" t="s">
        <v>108</v>
      </c>
      <c r="N115" s="730">
        <f t="shared" si="32"/>
        <v>6.99</v>
      </c>
      <c r="O115" s="730">
        <f t="shared" si="32"/>
        <v>7.3010000000000002</v>
      </c>
      <c r="P115" s="730">
        <f t="shared" si="32"/>
        <v>7.0279999999999996</v>
      </c>
      <c r="Q115" s="730">
        <f t="shared" si="32"/>
        <v>0.63890000000000002</v>
      </c>
      <c r="R115" s="61">
        <f t="shared" si="31"/>
        <v>-0.45015671180186634</v>
      </c>
    </row>
    <row r="116" spans="2:18" x14ac:dyDescent="0.3">
      <c r="B116" t="s">
        <v>632</v>
      </c>
      <c r="G116" s="224" t="s">
        <v>108</v>
      </c>
      <c r="H116" s="224" t="s">
        <v>108</v>
      </c>
      <c r="I116" s="224" t="s">
        <v>108</v>
      </c>
      <c r="J116" s="224" t="s">
        <v>108</v>
      </c>
      <c r="K116" s="224" t="s">
        <v>108</v>
      </c>
      <c r="L116" s="224" t="s">
        <v>108</v>
      </c>
      <c r="M116" s="224" t="s">
        <v>108</v>
      </c>
      <c r="N116" s="730">
        <f t="shared" ref="N116:Q116" si="33">+N113-N32</f>
        <v>-0.80600000000000094</v>
      </c>
      <c r="O116" s="730">
        <f t="shared" si="33"/>
        <v>4.0809999999999986</v>
      </c>
      <c r="P116" s="730">
        <f t="shared" si="33"/>
        <v>-31.275000000000002</v>
      </c>
      <c r="Q116" s="730">
        <f t="shared" si="33"/>
        <v>-139.60299999999998</v>
      </c>
      <c r="R116" s="61">
        <f t="shared" si="31"/>
        <v>2.6277715225867366</v>
      </c>
    </row>
    <row r="117" spans="2:18" x14ac:dyDescent="0.3">
      <c r="B117" t="s">
        <v>633</v>
      </c>
      <c r="G117" s="224" t="s">
        <v>108</v>
      </c>
      <c r="H117" s="224" t="s">
        <v>108</v>
      </c>
      <c r="I117" s="224" t="s">
        <v>108</v>
      </c>
      <c r="J117" s="224" t="s">
        <v>108</v>
      </c>
      <c r="K117" s="224" t="s">
        <v>108</v>
      </c>
      <c r="L117" s="224" t="s">
        <v>108</v>
      </c>
      <c r="M117" s="224" t="s">
        <v>108</v>
      </c>
      <c r="N117" s="731">
        <f>IFERROR(N23/N22,"")</f>
        <v>0</v>
      </c>
      <c r="O117" s="731">
        <f>IFERROR(O23/O22,"")</f>
        <v>0</v>
      </c>
      <c r="P117" s="731">
        <f>IFERROR(P23/P22,"")</f>
        <v>0</v>
      </c>
      <c r="Q117" s="731">
        <f>IFERROR(Q23/Q22,"")</f>
        <v>0</v>
      </c>
      <c r="R117" s="61" t="str">
        <f t="shared" si="31"/>
        <v/>
      </c>
    </row>
    <row r="118" spans="2:18" x14ac:dyDescent="0.3">
      <c r="B118" t="s">
        <v>447</v>
      </c>
      <c r="G118" s="224" t="s">
        <v>108</v>
      </c>
      <c r="H118" s="224" t="s">
        <v>108</v>
      </c>
      <c r="I118" s="224" t="s">
        <v>108</v>
      </c>
      <c r="J118" s="224" t="s">
        <v>108</v>
      </c>
      <c r="K118" s="224" t="s">
        <v>108</v>
      </c>
      <c r="L118" s="224" t="s">
        <v>108</v>
      </c>
      <c r="M118" s="224" t="s">
        <v>108</v>
      </c>
      <c r="N118" s="732">
        <f>IFERROR(N16*(1-N117),"")</f>
        <v>-38.948</v>
      </c>
      <c r="O118" s="732">
        <f>IFERROR(O16*(1-O117),"")</f>
        <v>8</v>
      </c>
      <c r="P118" s="732">
        <f>IFERROR(P16*(1-P117),"")</f>
        <v>-77.268000000000001</v>
      </c>
      <c r="Q118" s="732">
        <f>IFERROR(Q16*(1-Q117),"")</f>
        <v>-72.786000000000001</v>
      </c>
      <c r="R118" s="61">
        <f t="shared" si="31"/>
        <v>0.16920502432056894</v>
      </c>
    </row>
    <row r="119" spans="2:18" x14ac:dyDescent="0.3">
      <c r="B119" t="s">
        <v>507</v>
      </c>
      <c r="G119" s="224" t="s">
        <v>108</v>
      </c>
      <c r="H119" s="224" t="s">
        <v>108</v>
      </c>
      <c r="I119" s="224" t="s">
        <v>108</v>
      </c>
      <c r="J119" s="224" t="s">
        <v>108</v>
      </c>
      <c r="K119" s="224" t="s">
        <v>108</v>
      </c>
      <c r="L119" s="224" t="s">
        <v>108</v>
      </c>
      <c r="M119" s="224" t="s">
        <v>108</v>
      </c>
      <c r="N119" s="732">
        <f t="shared" ref="N119:Q120" si="34">IFERROR(N35/N6*365,"")</f>
        <v>24.472845994585121</v>
      </c>
      <c r="O119" s="732">
        <f t="shared" si="34"/>
        <v>38.520144988150008</v>
      </c>
      <c r="P119" s="732">
        <f t="shared" si="34"/>
        <v>68.84905229504453</v>
      </c>
      <c r="Q119" s="732">
        <f t="shared" si="34"/>
        <v>58.717571088705107</v>
      </c>
      <c r="R119" s="61">
        <f t="shared" si="31"/>
        <v>0.24457450786443791</v>
      </c>
    </row>
    <row r="120" spans="2:18" x14ac:dyDescent="0.3">
      <c r="B120" t="s">
        <v>510</v>
      </c>
      <c r="G120" s="224" t="s">
        <v>108</v>
      </c>
      <c r="H120" s="224" t="s">
        <v>108</v>
      </c>
      <c r="I120" s="224" t="s">
        <v>108</v>
      </c>
      <c r="J120" s="224" t="s">
        <v>108</v>
      </c>
      <c r="K120" s="224" t="s">
        <v>108</v>
      </c>
      <c r="L120" s="224" t="s">
        <v>108</v>
      </c>
      <c r="M120" s="224" t="s">
        <v>108</v>
      </c>
      <c r="N120" s="732">
        <f t="shared" si="34"/>
        <v>440.91999999999996</v>
      </c>
      <c r="O120" s="732">
        <f t="shared" si="34"/>
        <v>274.21826890181319</v>
      </c>
      <c r="P120" s="732">
        <f t="shared" si="34"/>
        <v>183.38249516441002</v>
      </c>
      <c r="Q120" s="732">
        <f t="shared" si="34"/>
        <v>188.53860294117649</v>
      </c>
      <c r="R120" s="61">
        <f t="shared" si="31"/>
        <v>-0.19135087402269835</v>
      </c>
    </row>
    <row r="121" spans="2:18" x14ac:dyDescent="0.3">
      <c r="B121" t="s">
        <v>521</v>
      </c>
      <c r="G121" s="224" t="s">
        <v>108</v>
      </c>
      <c r="H121" s="224" t="s">
        <v>108</v>
      </c>
      <c r="I121" s="224" t="s">
        <v>108</v>
      </c>
      <c r="J121" s="224" t="s">
        <v>108</v>
      </c>
      <c r="K121" s="224" t="s">
        <v>108</v>
      </c>
      <c r="L121" s="224" t="s">
        <v>108</v>
      </c>
      <c r="M121" s="224" t="s">
        <v>108</v>
      </c>
      <c r="N121" s="732">
        <f>IFERROR(N49/N6*365,"")</f>
        <v>122.59675107501195</v>
      </c>
      <c r="O121" s="732">
        <f>IFERROR(O49/O6*365,"")</f>
        <v>191.12505227938098</v>
      </c>
      <c r="P121" s="732">
        <f>IFERROR(P49/P6*365,"")</f>
        <v>61.055606302808869</v>
      </c>
      <c r="Q121" s="732">
        <f>IFERROR(Q49/Q6*365,"")</f>
        <v>33.700577772742719</v>
      </c>
      <c r="R121" s="61">
        <f t="shared" si="31"/>
        <v>-0.27591492405309215</v>
      </c>
    </row>
    <row r="124" spans="2:18" x14ac:dyDescent="0.3">
      <c r="O124"/>
    </row>
    <row r="125" spans="2:18" x14ac:dyDescent="0.3">
      <c r="C125" s="569"/>
    </row>
    <row r="126" spans="2:18" x14ac:dyDescent="0.3">
      <c r="C126" s="569"/>
    </row>
    <row r="127" spans="2:18" x14ac:dyDescent="0.3">
      <c r="C127" s="569"/>
    </row>
    <row r="128" spans="2:18" x14ac:dyDescent="0.3">
      <c r="C128" s="569"/>
    </row>
    <row r="129" spans="3:3" x14ac:dyDescent="0.3">
      <c r="C129" s="569"/>
    </row>
    <row r="130" spans="3:3" x14ac:dyDescent="0.3">
      <c r="C130" s="569"/>
    </row>
    <row r="131" spans="3:3" x14ac:dyDescent="0.3">
      <c r="C131" s="569"/>
    </row>
    <row r="132" spans="3:3" x14ac:dyDescent="0.3">
      <c r="C132" s="569"/>
    </row>
    <row r="133" spans="3:3" x14ac:dyDescent="0.3">
      <c r="C133" s="569"/>
    </row>
    <row r="134" spans="3:3" x14ac:dyDescent="0.3">
      <c r="C134" s="569"/>
    </row>
    <row r="135" spans="3:3" x14ac:dyDescent="0.3">
      <c r="C135" s="569"/>
    </row>
    <row r="136" spans="3:3" x14ac:dyDescent="0.3">
      <c r="C136" s="569"/>
    </row>
    <row r="137" spans="3:3" x14ac:dyDescent="0.3">
      <c r="C137" s="569"/>
    </row>
    <row r="138" spans="3:3" x14ac:dyDescent="0.3">
      <c r="C138" s="569"/>
    </row>
    <row r="139" spans="3:3" x14ac:dyDescent="0.3">
      <c r="C139" s="569"/>
    </row>
    <row r="140" spans="3:3" x14ac:dyDescent="0.3">
      <c r="C140" s="569"/>
    </row>
    <row r="141" spans="3:3" x14ac:dyDescent="0.3">
      <c r="C141" s="569"/>
    </row>
    <row r="142" spans="3:3" x14ac:dyDescent="0.3">
      <c r="C142" s="569"/>
    </row>
    <row r="143" spans="3:3" x14ac:dyDescent="0.3">
      <c r="C143" s="569"/>
    </row>
    <row r="144" spans="3:3" x14ac:dyDescent="0.3">
      <c r="C144" s="569"/>
    </row>
    <row r="145" spans="3:3" x14ac:dyDescent="0.3">
      <c r="C145" s="569"/>
    </row>
    <row r="146" spans="3:3" x14ac:dyDescent="0.3">
      <c r="C146" s="569"/>
    </row>
    <row r="147" spans="3:3" x14ac:dyDescent="0.3">
      <c r="C147" s="569"/>
    </row>
    <row r="148" spans="3:3" x14ac:dyDescent="0.3">
      <c r="C148" s="569"/>
    </row>
    <row r="149" spans="3:3" x14ac:dyDescent="0.3">
      <c r="C149" s="569"/>
    </row>
    <row r="150" spans="3:3" x14ac:dyDescent="0.3">
      <c r="C150" s="569"/>
    </row>
    <row r="151" spans="3:3" x14ac:dyDescent="0.3">
      <c r="C151" s="569"/>
    </row>
    <row r="152" spans="3:3" x14ac:dyDescent="0.3">
      <c r="C152" s="569"/>
    </row>
    <row r="153" spans="3:3" x14ac:dyDescent="0.3">
      <c r="C153" s="569"/>
    </row>
    <row r="154" spans="3:3" x14ac:dyDescent="0.3">
      <c r="C154" s="569"/>
    </row>
    <row r="155" spans="3:3" x14ac:dyDescent="0.3">
      <c r="C155" s="569"/>
    </row>
    <row r="156" spans="3:3" x14ac:dyDescent="0.3">
      <c r="C156" s="569"/>
    </row>
    <row r="157" spans="3:3" x14ac:dyDescent="0.3">
      <c r="C157" s="569"/>
    </row>
    <row r="158" spans="3:3" x14ac:dyDescent="0.3">
      <c r="C158" s="569"/>
    </row>
    <row r="159" spans="3:3" x14ac:dyDescent="0.3">
      <c r="C159" s="569"/>
    </row>
    <row r="160" spans="3:3" x14ac:dyDescent="0.3">
      <c r="C160" s="569"/>
    </row>
    <row r="161" spans="3:3" x14ac:dyDescent="0.3">
      <c r="C161" s="569"/>
    </row>
    <row r="162" spans="3:3" x14ac:dyDescent="0.3">
      <c r="C162" s="569"/>
    </row>
    <row r="163" spans="3:3" x14ac:dyDescent="0.3">
      <c r="C163" s="569"/>
    </row>
    <row r="164" spans="3:3" x14ac:dyDescent="0.3">
      <c r="C164" s="569"/>
    </row>
    <row r="165" spans="3:3" x14ac:dyDescent="0.3">
      <c r="C165" s="569"/>
    </row>
    <row r="166" spans="3:3" x14ac:dyDescent="0.3">
      <c r="C166" s="569"/>
    </row>
    <row r="167" spans="3:3" x14ac:dyDescent="0.3">
      <c r="C167" s="569"/>
    </row>
    <row r="168" spans="3:3" x14ac:dyDescent="0.3">
      <c r="C168" s="569"/>
    </row>
    <row r="169" spans="3:3" x14ac:dyDescent="0.3">
      <c r="C169" s="569"/>
    </row>
    <row r="170" spans="3:3" x14ac:dyDescent="0.3">
      <c r="C170" s="569"/>
    </row>
    <row r="171" spans="3:3" x14ac:dyDescent="0.3">
      <c r="C171" s="569"/>
    </row>
    <row r="172" spans="3:3" x14ac:dyDescent="0.3">
      <c r="C172" s="569"/>
    </row>
    <row r="173" spans="3:3" x14ac:dyDescent="0.3">
      <c r="C173" s="569"/>
    </row>
    <row r="174" spans="3:3" x14ac:dyDescent="0.3">
      <c r="C174" s="569"/>
    </row>
    <row r="175" spans="3:3" x14ac:dyDescent="0.3">
      <c r="C175" s="569"/>
    </row>
    <row r="176" spans="3:3" x14ac:dyDescent="0.3">
      <c r="C176" s="569"/>
    </row>
    <row r="177" spans="3:3" x14ac:dyDescent="0.3">
      <c r="C177" s="569"/>
    </row>
    <row r="178" spans="3:3" x14ac:dyDescent="0.3">
      <c r="C178" s="569"/>
    </row>
    <row r="179" spans="3:3" x14ac:dyDescent="0.3">
      <c r="C179" s="569"/>
    </row>
    <row r="180" spans="3:3" x14ac:dyDescent="0.3">
      <c r="C180" s="569"/>
    </row>
    <row r="181" spans="3:3" x14ac:dyDescent="0.3">
      <c r="C181" s="569"/>
    </row>
    <row r="182" spans="3:3" x14ac:dyDescent="0.3">
      <c r="C182" s="569"/>
    </row>
    <row r="183" spans="3:3" x14ac:dyDescent="0.3">
      <c r="C183" s="569"/>
    </row>
    <row r="184" spans="3:3" x14ac:dyDescent="0.3">
      <c r="C184" s="569"/>
    </row>
    <row r="185" spans="3:3" x14ac:dyDescent="0.3">
      <c r="C185" s="569"/>
    </row>
    <row r="186" spans="3:3" x14ac:dyDescent="0.3">
      <c r="C186" s="569"/>
    </row>
    <row r="187" spans="3:3" x14ac:dyDescent="0.3">
      <c r="C187" s="569"/>
    </row>
    <row r="188" spans="3:3" x14ac:dyDescent="0.3">
      <c r="C188" s="569"/>
    </row>
    <row r="189" spans="3:3" x14ac:dyDescent="0.3">
      <c r="C189" s="569"/>
    </row>
    <row r="190" spans="3:3" x14ac:dyDescent="0.3">
      <c r="C190" s="569"/>
    </row>
    <row r="191" spans="3:3" x14ac:dyDescent="0.3">
      <c r="C191" s="569"/>
    </row>
    <row r="192" spans="3:3" x14ac:dyDescent="0.3">
      <c r="C192" s="569"/>
    </row>
    <row r="193" spans="3:3" x14ac:dyDescent="0.3">
      <c r="C193" s="569"/>
    </row>
    <row r="194" spans="3:3" x14ac:dyDescent="0.3">
      <c r="C194" s="569"/>
    </row>
    <row r="195" spans="3:3" x14ac:dyDescent="0.3">
      <c r="C195" s="569"/>
    </row>
    <row r="196" spans="3:3" x14ac:dyDescent="0.3">
      <c r="C196" s="569"/>
    </row>
    <row r="197" spans="3:3" x14ac:dyDescent="0.3">
      <c r="C197" s="569"/>
    </row>
    <row r="198" spans="3:3" x14ac:dyDescent="0.3">
      <c r="C198" s="569"/>
    </row>
    <row r="199" spans="3:3" x14ac:dyDescent="0.3">
      <c r="C199" s="569"/>
    </row>
    <row r="200" spans="3:3" x14ac:dyDescent="0.3">
      <c r="C200" s="569"/>
    </row>
    <row r="201" spans="3:3" x14ac:dyDescent="0.3">
      <c r="C201" s="569"/>
    </row>
    <row r="202" spans="3:3" x14ac:dyDescent="0.3">
      <c r="C202" s="569"/>
    </row>
    <row r="203" spans="3:3" x14ac:dyDescent="0.3">
      <c r="C203" s="569"/>
    </row>
    <row r="204" spans="3:3" x14ac:dyDescent="0.3">
      <c r="C204" s="569"/>
    </row>
    <row r="205" spans="3:3" x14ac:dyDescent="0.3">
      <c r="C205" s="569"/>
    </row>
    <row r="206" spans="3:3" x14ac:dyDescent="0.3">
      <c r="C206" s="569"/>
    </row>
    <row r="207" spans="3:3" x14ac:dyDescent="0.3">
      <c r="C207" s="569"/>
    </row>
    <row r="208" spans="3:3" x14ac:dyDescent="0.3">
      <c r="C208" s="569"/>
    </row>
    <row r="209" spans="3:3" x14ac:dyDescent="0.3">
      <c r="C209" s="569"/>
    </row>
    <row r="210" spans="3:3" x14ac:dyDescent="0.3">
      <c r="C210" s="569"/>
    </row>
    <row r="211" spans="3:3" x14ac:dyDescent="0.3">
      <c r="C211" s="569"/>
    </row>
    <row r="212" spans="3:3" x14ac:dyDescent="0.3">
      <c r="C212" s="569"/>
    </row>
    <row r="213" spans="3:3" x14ac:dyDescent="0.3">
      <c r="C213" s="569"/>
    </row>
    <row r="214" spans="3:3" x14ac:dyDescent="0.3">
      <c r="C214" s="569"/>
    </row>
    <row r="215" spans="3:3" x14ac:dyDescent="0.3">
      <c r="C215" s="569"/>
    </row>
    <row r="216" spans="3:3" x14ac:dyDescent="0.3">
      <c r="C216" s="569"/>
    </row>
    <row r="217" spans="3:3" x14ac:dyDescent="0.3">
      <c r="C217" s="569"/>
    </row>
    <row r="218" spans="3:3" x14ac:dyDescent="0.3">
      <c r="C218" s="569"/>
    </row>
    <row r="219" spans="3:3" x14ac:dyDescent="0.3">
      <c r="C219" s="569"/>
    </row>
    <row r="220" spans="3:3" x14ac:dyDescent="0.3">
      <c r="C220" s="569"/>
    </row>
    <row r="221" spans="3:3" x14ac:dyDescent="0.3">
      <c r="C221" s="569"/>
    </row>
    <row r="222" spans="3:3" x14ac:dyDescent="0.3">
      <c r="C222" s="569"/>
    </row>
    <row r="223" spans="3:3" x14ac:dyDescent="0.3">
      <c r="C223" s="569"/>
    </row>
    <row r="224" spans="3:3" x14ac:dyDescent="0.3">
      <c r="C224" s="569"/>
    </row>
    <row r="225" spans="3:3" x14ac:dyDescent="0.3">
      <c r="C225" s="569"/>
    </row>
    <row r="226" spans="3:3" x14ac:dyDescent="0.3">
      <c r="C226" s="569"/>
    </row>
    <row r="227" spans="3:3" x14ac:dyDescent="0.3">
      <c r="C227" s="569"/>
    </row>
    <row r="228" spans="3:3" x14ac:dyDescent="0.3">
      <c r="C228" s="569"/>
    </row>
    <row r="229" spans="3:3" x14ac:dyDescent="0.3">
      <c r="C229" s="569"/>
    </row>
    <row r="230" spans="3:3" x14ac:dyDescent="0.3">
      <c r="C230" s="569"/>
    </row>
    <row r="231" spans="3:3" x14ac:dyDescent="0.3">
      <c r="C231" s="569"/>
    </row>
    <row r="232" spans="3:3" x14ac:dyDescent="0.3">
      <c r="C232" s="569"/>
    </row>
    <row r="233" spans="3:3" x14ac:dyDescent="0.3">
      <c r="C233" s="569"/>
    </row>
    <row r="234" spans="3:3" x14ac:dyDescent="0.3">
      <c r="C234" s="569"/>
    </row>
    <row r="235" spans="3:3" x14ac:dyDescent="0.3">
      <c r="C235" s="569"/>
    </row>
    <row r="236" spans="3:3" x14ac:dyDescent="0.3">
      <c r="C236" s="569"/>
    </row>
    <row r="237" spans="3:3" x14ac:dyDescent="0.3">
      <c r="C237" s="569"/>
    </row>
    <row r="238" spans="3:3" x14ac:dyDescent="0.3">
      <c r="C238" s="569"/>
    </row>
    <row r="239" spans="3:3" x14ac:dyDescent="0.3">
      <c r="C239" s="569"/>
    </row>
    <row r="240" spans="3:3" x14ac:dyDescent="0.3">
      <c r="C240" s="569"/>
    </row>
    <row r="241" spans="3:3" x14ac:dyDescent="0.3">
      <c r="C241" s="569"/>
    </row>
    <row r="242" spans="3:3" x14ac:dyDescent="0.3">
      <c r="C242" s="569"/>
    </row>
    <row r="243" spans="3:3" x14ac:dyDescent="0.3">
      <c r="C243" s="569"/>
    </row>
    <row r="244" spans="3:3" x14ac:dyDescent="0.3">
      <c r="C244" s="569"/>
    </row>
    <row r="245" spans="3:3" x14ac:dyDescent="0.3">
      <c r="C245" s="569"/>
    </row>
    <row r="246" spans="3:3" x14ac:dyDescent="0.3">
      <c r="C246" s="569"/>
    </row>
    <row r="247" spans="3:3" x14ac:dyDescent="0.3">
      <c r="C247" s="569"/>
    </row>
    <row r="248" spans="3:3" x14ac:dyDescent="0.3">
      <c r="C248" s="569"/>
    </row>
    <row r="249" spans="3:3" x14ac:dyDescent="0.3">
      <c r="C249" s="569"/>
    </row>
    <row r="250" spans="3:3" x14ac:dyDescent="0.3">
      <c r="C250" s="569"/>
    </row>
    <row r="251" spans="3:3" x14ac:dyDescent="0.3">
      <c r="C251" s="569"/>
    </row>
    <row r="252" spans="3:3" x14ac:dyDescent="0.3">
      <c r="C252" s="569"/>
    </row>
    <row r="253" spans="3:3" x14ac:dyDescent="0.3">
      <c r="C253" s="569"/>
    </row>
    <row r="254" spans="3:3" x14ac:dyDescent="0.3">
      <c r="C254" s="569"/>
    </row>
    <row r="255" spans="3:3" x14ac:dyDescent="0.3">
      <c r="C255" s="569"/>
    </row>
    <row r="256" spans="3:3" x14ac:dyDescent="0.3">
      <c r="C256" s="569"/>
    </row>
    <row r="257" spans="3:3" x14ac:dyDescent="0.3">
      <c r="C257" s="569"/>
    </row>
    <row r="258" spans="3:3" x14ac:dyDescent="0.3">
      <c r="C258" s="569"/>
    </row>
    <row r="259" spans="3:3" x14ac:dyDescent="0.3">
      <c r="C259" s="569"/>
    </row>
    <row r="260" spans="3:3" x14ac:dyDescent="0.3">
      <c r="C260" s="569"/>
    </row>
    <row r="261" spans="3:3" x14ac:dyDescent="0.3">
      <c r="C261" s="569"/>
    </row>
    <row r="262" spans="3:3" x14ac:dyDescent="0.3">
      <c r="C262" s="569"/>
    </row>
    <row r="263" spans="3:3" x14ac:dyDescent="0.3">
      <c r="C263" s="569"/>
    </row>
    <row r="264" spans="3:3" x14ac:dyDescent="0.3">
      <c r="C264" s="569"/>
    </row>
    <row r="265" spans="3:3" x14ac:dyDescent="0.3">
      <c r="C265" s="569"/>
    </row>
    <row r="266" spans="3:3" x14ac:dyDescent="0.3">
      <c r="C266" s="569"/>
    </row>
    <row r="267" spans="3:3" x14ac:dyDescent="0.3">
      <c r="C267" s="569"/>
    </row>
    <row r="268" spans="3:3" x14ac:dyDescent="0.3">
      <c r="C268" s="569"/>
    </row>
    <row r="269" spans="3:3" x14ac:dyDescent="0.3">
      <c r="C269" s="569"/>
    </row>
    <row r="270" spans="3:3" x14ac:dyDescent="0.3">
      <c r="C270" s="569"/>
    </row>
    <row r="271" spans="3:3" x14ac:dyDescent="0.3">
      <c r="C271" s="569"/>
    </row>
    <row r="272" spans="3:3" x14ac:dyDescent="0.3">
      <c r="C272" s="569"/>
    </row>
    <row r="273" spans="3:3" x14ac:dyDescent="0.3">
      <c r="C273" s="569"/>
    </row>
    <row r="274" spans="3:3" x14ac:dyDescent="0.3">
      <c r="C274" s="569"/>
    </row>
    <row r="275" spans="3:3" x14ac:dyDescent="0.3">
      <c r="C275" s="569"/>
    </row>
    <row r="276" spans="3:3" x14ac:dyDescent="0.3">
      <c r="C276" s="569"/>
    </row>
    <row r="277" spans="3:3" x14ac:dyDescent="0.3">
      <c r="C277" s="569"/>
    </row>
    <row r="278" spans="3:3" x14ac:dyDescent="0.3">
      <c r="C278" s="569"/>
    </row>
    <row r="279" spans="3:3" x14ac:dyDescent="0.3">
      <c r="C279" s="569"/>
    </row>
    <row r="280" spans="3:3" x14ac:dyDescent="0.3">
      <c r="C280" s="569"/>
    </row>
    <row r="281" spans="3:3" x14ac:dyDescent="0.3">
      <c r="C281" s="569"/>
    </row>
    <row r="282" spans="3:3" x14ac:dyDescent="0.3">
      <c r="C282" s="569"/>
    </row>
    <row r="283" spans="3:3" x14ac:dyDescent="0.3">
      <c r="C283" s="569"/>
    </row>
    <row r="284" spans="3:3" x14ac:dyDescent="0.3">
      <c r="C284" s="569"/>
    </row>
    <row r="285" spans="3:3" x14ac:dyDescent="0.3">
      <c r="C285" s="569"/>
    </row>
    <row r="286" spans="3:3" x14ac:dyDescent="0.3">
      <c r="C286" s="569"/>
    </row>
    <row r="287" spans="3:3" x14ac:dyDescent="0.3">
      <c r="C287" s="569"/>
    </row>
    <row r="288" spans="3:3" x14ac:dyDescent="0.3">
      <c r="C288" s="569"/>
    </row>
    <row r="289" spans="3:3" x14ac:dyDescent="0.3">
      <c r="C289" s="569"/>
    </row>
    <row r="290" spans="3:3" x14ac:dyDescent="0.3">
      <c r="C290" s="569"/>
    </row>
    <row r="291" spans="3:3" x14ac:dyDescent="0.3">
      <c r="C291" s="569"/>
    </row>
    <row r="292" spans="3:3" x14ac:dyDescent="0.3">
      <c r="C292" s="569"/>
    </row>
    <row r="293" spans="3:3" x14ac:dyDescent="0.3">
      <c r="C293" s="569"/>
    </row>
    <row r="294" spans="3:3" x14ac:dyDescent="0.3">
      <c r="C294" s="569"/>
    </row>
    <row r="295" spans="3:3" x14ac:dyDescent="0.3">
      <c r="C295" s="569"/>
    </row>
    <row r="296" spans="3:3" x14ac:dyDescent="0.3">
      <c r="C296" s="569"/>
    </row>
    <row r="297" spans="3:3" x14ac:dyDescent="0.3">
      <c r="C297" s="569"/>
    </row>
    <row r="298" spans="3:3" x14ac:dyDescent="0.3">
      <c r="C298" s="569"/>
    </row>
    <row r="299" spans="3:3" x14ac:dyDescent="0.3">
      <c r="C299" s="569"/>
    </row>
    <row r="300" spans="3:3" x14ac:dyDescent="0.3">
      <c r="C300" s="569"/>
    </row>
    <row r="301" spans="3:3" x14ac:dyDescent="0.3">
      <c r="C301" s="569"/>
    </row>
    <row r="302" spans="3:3" x14ac:dyDescent="0.3">
      <c r="C302" s="569"/>
    </row>
    <row r="303" spans="3:3" x14ac:dyDescent="0.3">
      <c r="C303" s="569"/>
    </row>
    <row r="304" spans="3:3" x14ac:dyDescent="0.3">
      <c r="C304" s="569"/>
    </row>
    <row r="305" spans="3:3" x14ac:dyDescent="0.3">
      <c r="C305" s="569"/>
    </row>
    <row r="306" spans="3:3" x14ac:dyDescent="0.3">
      <c r="C306" s="569"/>
    </row>
    <row r="307" spans="3:3" x14ac:dyDescent="0.3">
      <c r="C307" s="569"/>
    </row>
    <row r="308" spans="3:3" x14ac:dyDescent="0.3">
      <c r="C308" s="569"/>
    </row>
    <row r="309" spans="3:3" x14ac:dyDescent="0.3">
      <c r="C309" s="569"/>
    </row>
    <row r="310" spans="3:3" x14ac:dyDescent="0.3">
      <c r="C310" s="569"/>
    </row>
    <row r="311" spans="3:3" x14ac:dyDescent="0.3">
      <c r="C311" s="569"/>
    </row>
    <row r="312" spans="3:3" x14ac:dyDescent="0.3">
      <c r="C312" s="569"/>
    </row>
    <row r="313" spans="3:3" x14ac:dyDescent="0.3">
      <c r="C313" s="569"/>
    </row>
    <row r="314" spans="3:3" x14ac:dyDescent="0.3">
      <c r="C314" s="569"/>
    </row>
    <row r="315" spans="3:3" x14ac:dyDescent="0.3">
      <c r="C315" s="569"/>
    </row>
    <row r="316" spans="3:3" x14ac:dyDescent="0.3">
      <c r="C316" s="569"/>
    </row>
    <row r="317" spans="3:3" x14ac:dyDescent="0.3">
      <c r="C317" s="569"/>
    </row>
    <row r="318" spans="3:3" x14ac:dyDescent="0.3">
      <c r="C318" s="569"/>
    </row>
    <row r="319" spans="3:3" x14ac:dyDescent="0.3">
      <c r="C319" s="569"/>
    </row>
    <row r="320" spans="3:3" x14ac:dyDescent="0.3">
      <c r="C320" s="569"/>
    </row>
    <row r="321" spans="3:3" x14ac:dyDescent="0.3">
      <c r="C321" s="569"/>
    </row>
    <row r="322" spans="3:3" x14ac:dyDescent="0.3">
      <c r="C322" s="569"/>
    </row>
    <row r="323" spans="3:3" x14ac:dyDescent="0.3">
      <c r="C323" s="569"/>
    </row>
    <row r="324" spans="3:3" x14ac:dyDescent="0.3">
      <c r="C324" s="569"/>
    </row>
    <row r="325" spans="3:3" x14ac:dyDescent="0.3">
      <c r="C325" s="569"/>
    </row>
    <row r="326" spans="3:3" x14ac:dyDescent="0.3">
      <c r="C326" s="569"/>
    </row>
    <row r="327" spans="3:3" x14ac:dyDescent="0.3">
      <c r="C327" s="569"/>
    </row>
    <row r="328" spans="3:3" x14ac:dyDescent="0.3">
      <c r="C328" s="569"/>
    </row>
    <row r="329" spans="3:3" x14ac:dyDescent="0.3">
      <c r="C329" s="569"/>
    </row>
    <row r="330" spans="3:3" x14ac:dyDescent="0.3">
      <c r="C330" s="569"/>
    </row>
    <row r="331" spans="3:3" x14ac:dyDescent="0.3">
      <c r="C331" s="569"/>
    </row>
    <row r="332" spans="3:3" x14ac:dyDescent="0.3">
      <c r="C332" s="569"/>
    </row>
    <row r="333" spans="3:3" x14ac:dyDescent="0.3">
      <c r="C333" s="569"/>
    </row>
    <row r="334" spans="3:3" x14ac:dyDescent="0.3">
      <c r="C334" s="569"/>
    </row>
    <row r="335" spans="3:3" x14ac:dyDescent="0.3">
      <c r="C335" s="569"/>
    </row>
    <row r="336" spans="3:3" x14ac:dyDescent="0.3">
      <c r="C336" s="569"/>
    </row>
    <row r="337" spans="3:3" x14ac:dyDescent="0.3">
      <c r="C337" s="569"/>
    </row>
    <row r="338" spans="3:3" x14ac:dyDescent="0.3">
      <c r="C338" s="569"/>
    </row>
    <row r="339" spans="3:3" x14ac:dyDescent="0.3">
      <c r="C339" s="569"/>
    </row>
    <row r="340" spans="3:3" x14ac:dyDescent="0.3">
      <c r="C340" s="569"/>
    </row>
    <row r="341" spans="3:3" x14ac:dyDescent="0.3">
      <c r="C341" s="569"/>
    </row>
    <row r="342" spans="3:3" x14ac:dyDescent="0.3">
      <c r="C342" s="569"/>
    </row>
    <row r="343" spans="3:3" x14ac:dyDescent="0.3">
      <c r="C343" s="569"/>
    </row>
    <row r="344" spans="3:3" x14ac:dyDescent="0.3">
      <c r="C344" s="569"/>
    </row>
    <row r="345" spans="3:3" x14ac:dyDescent="0.3">
      <c r="C345" s="569"/>
    </row>
    <row r="346" spans="3:3" x14ac:dyDescent="0.3">
      <c r="C346" s="569"/>
    </row>
    <row r="347" spans="3:3" x14ac:dyDescent="0.3">
      <c r="C347" s="569"/>
    </row>
    <row r="348" spans="3:3" x14ac:dyDescent="0.3">
      <c r="C348" s="569"/>
    </row>
    <row r="349" spans="3:3" x14ac:dyDescent="0.3">
      <c r="C349" s="569"/>
    </row>
    <row r="350" spans="3:3" x14ac:dyDescent="0.3">
      <c r="C350" s="569"/>
    </row>
    <row r="351" spans="3:3" x14ac:dyDescent="0.3">
      <c r="C351" s="569"/>
    </row>
    <row r="352" spans="3:3" x14ac:dyDescent="0.3">
      <c r="C352" s="569"/>
    </row>
    <row r="353" spans="3:3" x14ac:dyDescent="0.3">
      <c r="C353" s="569"/>
    </row>
    <row r="354" spans="3:3" x14ac:dyDescent="0.3">
      <c r="C354" s="569"/>
    </row>
    <row r="355" spans="3:3" x14ac:dyDescent="0.3">
      <c r="C355" s="569"/>
    </row>
    <row r="356" spans="3:3" x14ac:dyDescent="0.3">
      <c r="C356" s="569"/>
    </row>
    <row r="357" spans="3:3" x14ac:dyDescent="0.3">
      <c r="C357" s="569"/>
    </row>
    <row r="358" spans="3:3" x14ac:dyDescent="0.3">
      <c r="C358" s="569"/>
    </row>
    <row r="359" spans="3:3" x14ac:dyDescent="0.3">
      <c r="C359" s="569"/>
    </row>
    <row r="360" spans="3:3" x14ac:dyDescent="0.3">
      <c r="C360" s="569"/>
    </row>
    <row r="361" spans="3:3" x14ac:dyDescent="0.3">
      <c r="C361" s="569"/>
    </row>
    <row r="362" spans="3:3" x14ac:dyDescent="0.3">
      <c r="C362" s="569"/>
    </row>
    <row r="363" spans="3:3" x14ac:dyDescent="0.3">
      <c r="C363" s="569"/>
    </row>
    <row r="364" spans="3:3" x14ac:dyDescent="0.3">
      <c r="C364" s="569"/>
    </row>
    <row r="365" spans="3:3" x14ac:dyDescent="0.3">
      <c r="C365" s="569"/>
    </row>
    <row r="366" spans="3:3" x14ac:dyDescent="0.3">
      <c r="C366" s="569"/>
    </row>
    <row r="367" spans="3:3" x14ac:dyDescent="0.3">
      <c r="C367" s="569"/>
    </row>
    <row r="368" spans="3:3" x14ac:dyDescent="0.3">
      <c r="C368" s="569"/>
    </row>
    <row r="369" spans="3:3" x14ac:dyDescent="0.3">
      <c r="C369" s="569"/>
    </row>
    <row r="370" spans="3:3" x14ac:dyDescent="0.3">
      <c r="C370" s="569"/>
    </row>
    <row r="371" spans="3:3" x14ac:dyDescent="0.3">
      <c r="C371" s="569"/>
    </row>
    <row r="372" spans="3:3" x14ac:dyDescent="0.3">
      <c r="C372" s="569"/>
    </row>
    <row r="373" spans="3:3" x14ac:dyDescent="0.3">
      <c r="C373" s="569"/>
    </row>
    <row r="374" spans="3:3" x14ac:dyDescent="0.3">
      <c r="C374" s="569"/>
    </row>
    <row r="375" spans="3:3" x14ac:dyDescent="0.3">
      <c r="C375" s="569"/>
    </row>
    <row r="376" spans="3:3" x14ac:dyDescent="0.3">
      <c r="C376" s="569"/>
    </row>
    <row r="377" spans="3:3" x14ac:dyDescent="0.3">
      <c r="C377" s="569"/>
    </row>
    <row r="378" spans="3:3" x14ac:dyDescent="0.3">
      <c r="C378" s="569"/>
    </row>
    <row r="379" spans="3:3" x14ac:dyDescent="0.3">
      <c r="C379" s="569"/>
    </row>
    <row r="380" spans="3:3" x14ac:dyDescent="0.3">
      <c r="C380" s="569"/>
    </row>
    <row r="381" spans="3:3" x14ac:dyDescent="0.3">
      <c r="C381" s="569"/>
    </row>
    <row r="382" spans="3:3" x14ac:dyDescent="0.3">
      <c r="C382" s="569"/>
    </row>
    <row r="383" spans="3:3" x14ac:dyDescent="0.3">
      <c r="C383" s="569"/>
    </row>
    <row r="384" spans="3:3" x14ac:dyDescent="0.3">
      <c r="C384" s="569"/>
    </row>
    <row r="385" spans="3:3" x14ac:dyDescent="0.3">
      <c r="C385" s="569"/>
    </row>
    <row r="386" spans="3:3" x14ac:dyDescent="0.3">
      <c r="C386" s="569"/>
    </row>
    <row r="387" spans="3:3" x14ac:dyDescent="0.3">
      <c r="C387" s="569"/>
    </row>
    <row r="388" spans="3:3" x14ac:dyDescent="0.3">
      <c r="C388" s="569"/>
    </row>
    <row r="389" spans="3:3" x14ac:dyDescent="0.3">
      <c r="C389" s="569"/>
    </row>
    <row r="390" spans="3:3" x14ac:dyDescent="0.3">
      <c r="C390" s="569"/>
    </row>
    <row r="391" spans="3:3" x14ac:dyDescent="0.3">
      <c r="C391" s="569"/>
    </row>
    <row r="392" spans="3:3" x14ac:dyDescent="0.3">
      <c r="C392" s="569"/>
    </row>
    <row r="393" spans="3:3" x14ac:dyDescent="0.3">
      <c r="C393" s="569"/>
    </row>
    <row r="394" spans="3:3" x14ac:dyDescent="0.3">
      <c r="C394" s="569"/>
    </row>
    <row r="395" spans="3:3" x14ac:dyDescent="0.3">
      <c r="C395" s="569"/>
    </row>
  </sheetData>
  <pageMargins left="0.7" right="0.7" top="0.75" bottom="0.75" header="0.3" footer="0.3"/>
  <pageSetup paperSize="9" orientation="portrait" r:id="rId1"/>
  <legacyDrawing r:id="rId2"/>
  <extLst>
    <ext xmlns:x14="http://schemas.microsoft.com/office/spreadsheetml/2009/9/main" uri="{05C60535-1F16-4fd2-B633-F4F36F0B64E0}">
      <x14:sparklineGroups xmlns:xm="http://schemas.microsoft.com/office/excel/2006/main">
        <x14:sparklineGroup displayEmptyCellsAs="gap" xr2:uid="{00000000-0003-0000-0800-000003000000}">
          <x14:colorSeries rgb="FF7B1314"/>
          <x14:colorNegative rgb="FFD00000"/>
          <x14:colorAxis rgb="FF000000"/>
          <x14:colorMarkers rgb="FFD00000"/>
          <x14:colorFirst rgb="FFD00000"/>
          <x14:colorLast rgb="FFD00000"/>
          <x14:colorHigh rgb="FFD00000"/>
          <x14:colorLow rgb="FFD00000"/>
          <x14:sparklines>
            <x14:sparkline>
              <xm:f>Inputs!G115:P115</xm:f>
              <xm:sqref>F115</xm:sqref>
            </x14:sparkline>
          </x14:sparklines>
        </x14:sparklineGroup>
        <x14:sparklineGroup displayEmptyCellsAs="gap" xr2:uid="{00000000-0003-0000-0800-000004000000}">
          <x14:colorSeries rgb="FF7B1314"/>
          <x14:colorNegative rgb="FFD00000"/>
          <x14:colorAxis rgb="FF000000"/>
          <x14:colorMarkers rgb="FFD00000"/>
          <x14:colorFirst rgb="FFD00000"/>
          <x14:colorLast rgb="FFD00000"/>
          <x14:colorHigh rgb="FFD00000"/>
          <x14:colorLow rgb="FFD00000"/>
          <x14:sparklines>
            <x14:sparkline>
              <xm:f>Inputs!G113:P113</xm:f>
              <xm:sqref>F113</xm:sqref>
            </x14:sparkline>
          </x14:sparklines>
        </x14:sparklineGroup>
        <x14:sparklineGroup displayEmptyCellsAs="gap" xr2:uid="{00000000-0003-0000-0800-000005000000}">
          <x14:colorSeries rgb="FF7B1314"/>
          <x14:colorNegative rgb="FFD00000"/>
          <x14:colorAxis rgb="FF000000"/>
          <x14:colorMarkers rgb="FFD00000"/>
          <x14:colorFirst rgb="FFD00000"/>
          <x14:colorLast rgb="FFD00000"/>
          <x14:colorHigh rgb="FFD00000"/>
          <x14:colorLow rgb="FFD00000"/>
          <x14:sparklines>
            <x14:sparkline>
              <xm:f>Inputs!G21:Q21</xm:f>
              <xm:sqref>F21</xm:sqref>
            </x14:sparkline>
          </x14:sparklines>
        </x14:sparklineGroup>
        <x14:sparklineGroup displayEmptyCellsAs="gap" xr2:uid="{00000000-0003-0000-0800-000006000000}">
          <x14:colorSeries rgb="FF7B1314"/>
          <x14:colorNegative rgb="FFD00000"/>
          <x14:colorAxis rgb="FF000000"/>
          <x14:colorMarkers rgb="FFD00000"/>
          <x14:colorFirst rgb="FFD00000"/>
          <x14:colorLast rgb="FFD00000"/>
          <x14:colorHigh rgb="FFD00000"/>
          <x14:colorLow rgb="FFD00000"/>
          <x14:sparklines>
            <x14:sparkline>
              <xm:f>Inputs!G20:Q20</xm:f>
              <xm:sqref>F20</xm:sqref>
            </x14:sparkline>
          </x14:sparklines>
        </x14:sparklineGroup>
        <x14:sparklineGroup displayEmptyCellsAs="gap" xr2:uid="{00000000-0003-0000-0800-000007000000}">
          <x14:colorSeries rgb="FF7B1314"/>
          <x14:colorNegative rgb="FFD00000"/>
          <x14:colorAxis rgb="FF000000"/>
          <x14:colorMarkers rgb="FFD00000"/>
          <x14:colorFirst rgb="FFD00000"/>
          <x14:colorLast rgb="FFD00000"/>
          <x14:colorHigh rgb="FFD00000"/>
          <x14:colorLow rgb="FFD00000"/>
          <x14:sparklines>
            <x14:sparkline>
              <xm:f>Inputs!G19:Q19</xm:f>
              <xm:sqref>F19</xm:sqref>
            </x14:sparkline>
          </x14:sparklines>
        </x14:sparklineGroup>
        <x14:sparklineGroup displayEmptyCellsAs="gap" xr2:uid="{00000000-0003-0000-0800-000008000000}">
          <x14:colorSeries rgb="FF7B1314"/>
          <x14:colorNegative rgb="FFD00000"/>
          <x14:colorAxis rgb="FF000000"/>
          <x14:colorMarkers rgb="FFD00000"/>
          <x14:colorFirst rgb="FFD00000"/>
          <x14:colorLast rgb="FFD00000"/>
          <x14:colorHigh rgb="FFD00000"/>
          <x14:colorLow rgb="FFD00000"/>
          <x14:sparklines>
            <x14:sparkline>
              <xm:f>Inputs!G28:Q28</xm:f>
              <xm:sqref>F28</xm:sqref>
            </x14:sparkline>
          </x14:sparklines>
        </x14:sparklineGroup>
        <x14:sparklineGroup displayEmptyCellsAs="gap" xr2:uid="{00000000-0003-0000-0800-000009000000}">
          <x14:colorSeries rgb="FF7B1314"/>
          <x14:colorNegative rgb="FFD00000"/>
          <x14:colorAxis rgb="FF000000"/>
          <x14:colorMarkers rgb="FFD00000"/>
          <x14:colorFirst rgb="FFD00000"/>
          <x14:colorLast rgb="FFD00000"/>
          <x14:colorHigh rgb="FFD00000"/>
          <x14:colorLow rgb="FFD00000"/>
          <x14:sparklines>
            <x14:sparkline>
              <xm:f>Inputs!G33:Q33</xm:f>
              <xm:sqref>F33</xm:sqref>
            </x14:sparkline>
          </x14:sparklines>
        </x14:sparklineGroup>
        <x14:sparklineGroup displayEmptyCellsAs="gap" xr2:uid="{00000000-0003-0000-0800-00000A000000}">
          <x14:colorSeries rgb="FF7B1314"/>
          <x14:colorNegative rgb="FFD00000"/>
          <x14:colorAxis rgb="FF000000"/>
          <x14:colorMarkers rgb="FFD00000"/>
          <x14:colorFirst rgb="FFD00000"/>
          <x14:colorLast rgb="FFD00000"/>
          <x14:colorHigh rgb="FFD00000"/>
          <x14:colorLow rgb="FFD00000"/>
          <x14:sparklines>
            <x14:sparkline>
              <xm:f>Inputs!G44:Q44</xm:f>
              <xm:sqref>F44</xm:sqref>
            </x14:sparkline>
          </x14:sparklines>
        </x14:sparklineGroup>
        <x14:sparklineGroup displayEmptyCellsAs="gap" xr2:uid="{00000000-0003-0000-0800-00000B000000}">
          <x14:colorSeries rgb="FF7B1314"/>
          <x14:colorNegative rgb="FFD00000"/>
          <x14:colorAxis rgb="FF000000"/>
          <x14:colorMarkers rgb="FFD00000"/>
          <x14:colorFirst rgb="FFD00000"/>
          <x14:colorLast rgb="FFD00000"/>
          <x14:colorHigh rgb="FFD00000"/>
          <x14:colorLow rgb="FFD00000"/>
          <x14:sparklines>
            <x14:sparkline>
              <xm:f>Inputs!G45:Q45</xm:f>
              <xm:sqref>F45</xm:sqref>
            </x14:sparkline>
          </x14:sparklines>
        </x14:sparklineGroup>
        <x14:sparklineGroup displayEmptyCellsAs="gap" xr2:uid="{00000000-0003-0000-0800-00000C000000}">
          <x14:colorSeries rgb="FF7B1314"/>
          <x14:colorNegative rgb="FFD00000"/>
          <x14:colorAxis rgb="FF000000"/>
          <x14:colorMarkers rgb="FFD00000"/>
          <x14:colorFirst rgb="FFD00000"/>
          <x14:colorLast rgb="FFD00000"/>
          <x14:colorHigh rgb="FFD00000"/>
          <x14:colorLow rgb="FFD00000"/>
          <x14:sparklines>
            <x14:sparkline>
              <xm:f>Inputs!G43:Q43</xm:f>
              <xm:sqref>F43</xm:sqref>
            </x14:sparkline>
          </x14:sparklines>
        </x14:sparklineGroup>
        <x14:sparklineGroup displayEmptyCellsAs="gap" xr2:uid="{00000000-0003-0000-0800-00000D000000}">
          <x14:colorSeries rgb="FF7B1314"/>
          <x14:colorNegative rgb="FFD00000"/>
          <x14:colorAxis rgb="FF000000"/>
          <x14:colorMarkers rgb="FFD00000"/>
          <x14:colorFirst rgb="FFD00000"/>
          <x14:colorLast rgb="FFD00000"/>
          <x14:colorHigh rgb="FFD00000"/>
          <x14:colorLow rgb="FFD00000"/>
          <x14:sparklines>
            <x14:sparkline>
              <xm:f>Inputs!G62:Q62</xm:f>
              <xm:sqref>F62</xm:sqref>
            </x14:sparkline>
          </x14:sparklines>
        </x14:sparklineGroup>
        <x14:sparklineGroup displayEmptyCellsAs="gap" xr2:uid="{00000000-0003-0000-0800-00000E000000}">
          <x14:colorSeries rgb="FF7B1314"/>
          <x14:colorNegative rgb="FFD00000"/>
          <x14:colorAxis rgb="FF000000"/>
          <x14:colorMarkers rgb="FFD00000"/>
          <x14:colorFirst rgb="FFD00000"/>
          <x14:colorLast rgb="FFD00000"/>
          <x14:colorHigh rgb="FFD00000"/>
          <x14:colorLow rgb="FFD00000"/>
          <x14:sparklines>
            <x14:sparkline>
              <xm:f>Inputs!G61:Q61</xm:f>
              <xm:sqref>F61</xm:sqref>
            </x14:sparkline>
          </x14:sparklines>
        </x14:sparklineGroup>
        <x14:sparklineGroup displayEmptyCellsAs="gap" xr2:uid="{00000000-0003-0000-0800-00000F000000}">
          <x14:colorSeries rgb="FF7B1314"/>
          <x14:colorNegative rgb="FFD00000"/>
          <x14:colorAxis rgb="FF000000"/>
          <x14:colorMarkers rgb="FFD00000"/>
          <x14:colorFirst rgb="FFD00000"/>
          <x14:colorLast rgb="FFD00000"/>
          <x14:colorHigh rgb="FFD00000"/>
          <x14:colorLow rgb="FFD00000"/>
          <x14:sparklines>
            <x14:sparkline>
              <xm:f>Inputs!G14:Q14</xm:f>
              <xm:sqref>F14</xm:sqref>
            </x14:sparkline>
          </x14:sparklines>
        </x14:sparklineGroup>
        <x14:sparklineGroup displayEmptyCellsAs="gap" xr2:uid="{00000000-0003-0000-0800-000010000000}">
          <x14:colorSeries rgb="FF7B1314"/>
          <x14:colorNegative rgb="FFD00000"/>
          <x14:colorAxis rgb="FF000000"/>
          <x14:colorMarkers rgb="FFD00000"/>
          <x14:colorFirst rgb="FFD00000"/>
          <x14:colorLast rgb="FFD00000"/>
          <x14:colorHigh rgb="FFD00000"/>
          <x14:colorLow rgb="FFD00000"/>
          <x14:sparklines>
            <x14:sparkline>
              <xm:f>Inputs!G22:Q22</xm:f>
              <xm:sqref>F22</xm:sqref>
            </x14:sparkline>
          </x14:sparklines>
        </x14:sparklineGroup>
        <x14:sparklineGroup displayEmptyCellsAs="gap" xr2:uid="{00000000-0003-0000-0800-000011000000}">
          <x14:colorSeries rgb="FF7B1314"/>
          <x14:colorNegative rgb="FFD00000"/>
          <x14:colorAxis rgb="FF000000"/>
          <x14:colorMarkers rgb="FFD00000"/>
          <x14:colorFirst rgb="FFD00000"/>
          <x14:colorLast rgb="FFD00000"/>
          <x14:colorHigh rgb="FFD00000"/>
          <x14:colorLow rgb="FFD00000"/>
          <x14:sparklines>
            <x14:sparkline>
              <xm:f>Inputs!G34:Q34</xm:f>
              <xm:sqref>F34</xm:sqref>
            </x14:sparkline>
          </x14:sparklines>
        </x14:sparklineGroup>
        <x14:sparklineGroup displayEmptyCellsAs="gap" xr2:uid="{00000000-0003-0000-0800-000012000000}">
          <x14:colorSeries rgb="FF7B1314"/>
          <x14:colorNegative rgb="FFD00000"/>
          <x14:colorAxis rgb="FF000000"/>
          <x14:colorMarkers rgb="FFD00000"/>
          <x14:colorFirst rgb="FFD00000"/>
          <x14:colorLast rgb="FFD00000"/>
          <x14:colorHigh rgb="FFD00000"/>
          <x14:colorLow rgb="FFD00000"/>
          <x14:sparklines>
            <x14:sparkline>
              <xm:f>Inputs!G94:Q94</xm:f>
              <xm:sqref>F94</xm:sqref>
            </x14:sparkline>
          </x14:sparklines>
        </x14:sparklineGroup>
        <x14:sparklineGroup displayEmptyCellsAs="gap" xr2:uid="{00000000-0003-0000-0800-000013000000}">
          <x14:colorSeries rgb="FF7B1314"/>
          <x14:colorNegative rgb="FFD00000"/>
          <x14:colorAxis rgb="FF000000"/>
          <x14:colorMarkers rgb="FFD00000"/>
          <x14:colorFirst rgb="FFD00000"/>
          <x14:colorLast rgb="FFD00000"/>
          <x14:colorHigh rgb="FFD00000"/>
          <x14:colorLow rgb="FFD00000"/>
          <x14:sparklines>
            <x14:sparkline>
              <xm:f>Inputs!G114:P114</xm:f>
              <xm:sqref>F114</xm:sqref>
            </x14:sparkline>
          </x14:sparklines>
        </x14:sparklineGroup>
        <x14:sparklineGroup displayEmptyCellsAs="gap" xr2:uid="{00000000-0003-0000-0800-000014000000}">
          <x14:colorSeries rgb="FF7B1314"/>
          <x14:colorNegative rgb="FFD00000"/>
          <x14:colorAxis rgb="FF000000"/>
          <x14:colorMarkers rgb="FFD00000"/>
          <x14:colorFirst rgb="FFD00000"/>
          <x14:colorLast rgb="FFD00000"/>
          <x14:colorHigh rgb="FFD00000"/>
          <x14:colorLow rgb="FFD00000"/>
          <x14:sparklines>
            <x14:sparkline>
              <xm:f>Inputs!G116:P116</xm:f>
              <xm:sqref>F116</xm:sqref>
            </x14:sparkline>
          </x14:sparklines>
        </x14:sparklineGroup>
        <x14:sparklineGroup displayEmptyCellsAs="gap" xr2:uid="{00000000-0003-0000-0800-000015000000}">
          <x14:colorSeries rgb="FF7B1314"/>
          <x14:colorNegative rgb="FFD00000"/>
          <x14:colorAxis rgb="FF000000"/>
          <x14:colorMarkers rgb="FFD00000"/>
          <x14:colorFirst rgb="FFD00000"/>
          <x14:colorLast rgb="FFD00000"/>
          <x14:colorHigh rgb="FFD00000"/>
          <x14:colorLow rgb="FFD00000"/>
          <x14:sparklines>
            <x14:sparkline>
              <xm:f>Inputs!G117:P117</xm:f>
              <xm:sqref>F117</xm:sqref>
            </x14:sparkline>
          </x14:sparklines>
        </x14:sparklineGroup>
        <x14:sparklineGroup displayEmptyCellsAs="gap" xr2:uid="{00000000-0003-0000-0800-000016000000}">
          <x14:colorSeries rgb="FF7B1314"/>
          <x14:colorNegative rgb="FFD00000"/>
          <x14:colorAxis rgb="FF000000"/>
          <x14:colorMarkers rgb="FFD00000"/>
          <x14:colorFirst rgb="FFD00000"/>
          <x14:colorLast rgb="FFD00000"/>
          <x14:colorHigh rgb="FFD00000"/>
          <x14:colorLow rgb="FFD00000"/>
          <x14:sparklines>
            <x14:sparkline>
              <xm:f>Inputs!G118:P118</xm:f>
              <xm:sqref>F118</xm:sqref>
            </x14:sparkline>
          </x14:sparklines>
        </x14:sparklineGroup>
        <x14:sparklineGroup displayEmptyCellsAs="gap" xr2:uid="{00000000-0003-0000-0800-000017000000}">
          <x14:colorSeries rgb="FF7B1314"/>
          <x14:colorNegative rgb="FFD00000"/>
          <x14:colorAxis rgb="FF000000"/>
          <x14:colorMarkers rgb="FFD00000"/>
          <x14:colorFirst rgb="FFD00000"/>
          <x14:colorLast rgb="FFD00000"/>
          <x14:colorHigh rgb="FFD00000"/>
          <x14:colorLow rgb="FFD00000"/>
          <x14:sparklines>
            <x14:sparkline>
              <xm:f>Inputs!G119:P119</xm:f>
              <xm:sqref>F119</xm:sqref>
            </x14:sparkline>
          </x14:sparklines>
        </x14:sparklineGroup>
        <x14:sparklineGroup displayEmptyCellsAs="gap" xr2:uid="{00000000-0003-0000-0800-000018000000}">
          <x14:colorSeries rgb="FF7B1314"/>
          <x14:colorNegative rgb="FFD00000"/>
          <x14:colorAxis rgb="FF000000"/>
          <x14:colorMarkers rgb="FFD00000"/>
          <x14:colorFirst rgb="FFD00000"/>
          <x14:colorLast rgb="FFD00000"/>
          <x14:colorHigh rgb="FFD00000"/>
          <x14:colorLow rgb="FFD00000"/>
          <x14:sparklines>
            <x14:sparkline>
              <xm:f>Inputs!G120:P120</xm:f>
              <xm:sqref>F120</xm:sqref>
            </x14:sparkline>
          </x14:sparklines>
        </x14:sparklineGroup>
        <x14:sparklineGroup displayEmptyCellsAs="gap" xr2:uid="{00000000-0003-0000-0800-000019000000}">
          <x14:colorSeries rgb="FF7B1314"/>
          <x14:colorNegative rgb="FFD00000"/>
          <x14:colorAxis rgb="FF000000"/>
          <x14:colorMarkers rgb="FFD00000"/>
          <x14:colorFirst rgb="FFD00000"/>
          <x14:colorLast rgb="FFD00000"/>
          <x14:colorHigh rgb="FFD00000"/>
          <x14:colorLow rgb="FFD00000"/>
          <x14:sparklines>
            <x14:sparkline>
              <xm:f>Inputs!G121:P121</xm:f>
              <xm:sqref>F121</xm:sqref>
            </x14:sparkline>
          </x14:sparklines>
        </x14:sparklineGroup>
        <x14:sparklineGroup displayEmptyCellsAs="gap" xr2:uid="{00000000-0003-0000-0800-00001A000000}">
          <x14:colorSeries rgb="FF7B1314"/>
          <x14:colorNegative rgb="FFD00000"/>
          <x14:colorAxis rgb="FF000000"/>
          <x14:colorMarkers rgb="FFD00000"/>
          <x14:colorFirst rgb="FFD00000"/>
          <x14:colorLast rgb="FFD00000"/>
          <x14:colorHigh rgb="FFD00000"/>
          <x14:colorLow rgb="FFD00000"/>
          <x14:sparklines>
            <x14:sparkline>
              <xm:f>Inputs!G6:Q6</xm:f>
              <xm:sqref>F6</xm:sqref>
            </x14:sparkline>
          </x14:sparklines>
        </x14:sparklineGroup>
        <x14:sparklineGroup displayEmptyCellsAs="gap" xr2:uid="{00000000-0003-0000-0800-00001B000000}">
          <x14:colorSeries rgb="FF7B1314"/>
          <x14:colorNegative rgb="FFD00000"/>
          <x14:colorAxis rgb="FF000000"/>
          <x14:colorMarkers rgb="FFD00000"/>
          <x14:colorFirst rgb="FFD00000"/>
          <x14:colorLast rgb="FFD00000"/>
          <x14:colorHigh rgb="FFD00000"/>
          <x14:colorLow rgb="FFD00000"/>
          <x14:sparklines>
            <x14:sparkline>
              <xm:f>Inputs!G7:Q7</xm:f>
              <xm:sqref>F7</xm:sqref>
            </x14:sparkline>
          </x14:sparklines>
        </x14:sparklineGroup>
        <x14:sparklineGroup displayEmptyCellsAs="gap" xr2:uid="{00000000-0003-0000-0800-00001C000000}">
          <x14:colorSeries rgb="FF7B1314"/>
          <x14:colorNegative rgb="FFD00000"/>
          <x14:colorAxis rgb="FF000000"/>
          <x14:colorMarkers rgb="FFD00000"/>
          <x14:colorFirst rgb="FFD00000"/>
          <x14:colorLast rgb="FFD00000"/>
          <x14:colorHigh rgb="FFD00000"/>
          <x14:colorLow rgb="FFD00000"/>
          <x14:sparklines>
            <x14:sparkline>
              <xm:f>Inputs!G8:Q8</xm:f>
              <xm:sqref>F8</xm:sqref>
            </x14:sparkline>
          </x14:sparklines>
        </x14:sparklineGroup>
        <x14:sparklineGroup displayEmptyCellsAs="gap" xr2:uid="{00000000-0003-0000-0800-00001D000000}">
          <x14:colorSeries rgb="FF7B1314"/>
          <x14:colorNegative rgb="FFD00000"/>
          <x14:colorAxis rgb="FF000000"/>
          <x14:colorMarkers rgb="FFD00000"/>
          <x14:colorFirst rgb="FFD00000"/>
          <x14:colorLast rgb="FFD00000"/>
          <x14:colorHigh rgb="FFD00000"/>
          <x14:colorLow rgb="FFD00000"/>
          <x14:sparklines>
            <x14:sparkline>
              <xm:f>Inputs!G9:Q9</xm:f>
              <xm:sqref>F9</xm:sqref>
            </x14:sparkline>
          </x14:sparklines>
        </x14:sparklineGroup>
        <x14:sparklineGroup displayEmptyCellsAs="gap" xr2:uid="{00000000-0003-0000-0800-00001E000000}">
          <x14:colorSeries rgb="FF7B1314"/>
          <x14:colorNegative rgb="FFD00000"/>
          <x14:colorAxis rgb="FF000000"/>
          <x14:colorMarkers rgb="FFD00000"/>
          <x14:colorFirst rgb="FFD00000"/>
          <x14:colorLast rgb="FFD00000"/>
          <x14:colorHigh rgb="FFD00000"/>
          <x14:colorLow rgb="FFD00000"/>
          <x14:sparklines>
            <x14:sparkline>
              <xm:f>Inputs!G10:Q10</xm:f>
              <xm:sqref>F10</xm:sqref>
            </x14:sparkline>
          </x14:sparklines>
        </x14:sparklineGroup>
        <x14:sparklineGroup displayEmptyCellsAs="gap" xr2:uid="{00000000-0003-0000-0800-00001F000000}">
          <x14:colorSeries rgb="FF7B1314"/>
          <x14:colorNegative rgb="FFD00000"/>
          <x14:colorAxis rgb="FF000000"/>
          <x14:colorMarkers rgb="FFD00000"/>
          <x14:colorFirst rgb="FFD00000"/>
          <x14:colorLast rgb="FFD00000"/>
          <x14:colorHigh rgb="FFD00000"/>
          <x14:colorLow rgb="FFD00000"/>
          <x14:sparklines>
            <x14:sparkline>
              <xm:f>Inputs!G11:Q11</xm:f>
              <xm:sqref>F11</xm:sqref>
            </x14:sparkline>
          </x14:sparklines>
        </x14:sparklineGroup>
        <x14:sparklineGroup displayEmptyCellsAs="gap" xr2:uid="{00000000-0003-0000-0800-000020000000}">
          <x14:colorSeries rgb="FF7B1314"/>
          <x14:colorNegative rgb="FFD00000"/>
          <x14:colorAxis rgb="FF000000"/>
          <x14:colorMarkers rgb="FFD00000"/>
          <x14:colorFirst rgb="FFD00000"/>
          <x14:colorLast rgb="FFD00000"/>
          <x14:colorHigh rgb="FFD00000"/>
          <x14:colorLow rgb="FFD00000"/>
          <x14:sparklines>
            <x14:sparkline>
              <xm:f>Inputs!G12:Q12</xm:f>
              <xm:sqref>F12</xm:sqref>
            </x14:sparkline>
          </x14:sparklines>
        </x14:sparklineGroup>
        <x14:sparklineGroup displayEmptyCellsAs="gap" xr2:uid="{00000000-0003-0000-0800-000021000000}">
          <x14:colorSeries rgb="FF7B1314"/>
          <x14:colorNegative rgb="FFD00000"/>
          <x14:colorAxis rgb="FF000000"/>
          <x14:colorMarkers rgb="FFD00000"/>
          <x14:colorFirst rgb="FFD00000"/>
          <x14:colorLast rgb="FFD00000"/>
          <x14:colorHigh rgb="FFD00000"/>
          <x14:colorLow rgb="FFD00000"/>
          <x14:sparklines>
            <x14:sparkline>
              <xm:f>Inputs!G13:Q13</xm:f>
              <xm:sqref>F13</xm:sqref>
            </x14:sparkline>
          </x14:sparklines>
        </x14:sparklineGroup>
        <x14:sparklineGroup displayEmptyCellsAs="gap" xr2:uid="{00000000-0003-0000-0800-000022000000}">
          <x14:colorSeries rgb="FF7B1314"/>
          <x14:colorNegative rgb="FFD00000"/>
          <x14:colorAxis rgb="FF000000"/>
          <x14:colorMarkers rgb="FFD00000"/>
          <x14:colorFirst rgb="FFD00000"/>
          <x14:colorLast rgb="FFD00000"/>
          <x14:colorHigh rgb="FFD00000"/>
          <x14:colorLow rgb="FFD00000"/>
          <x14:sparklines>
            <x14:sparkline>
              <xm:f>Inputs!G15:Q15</xm:f>
              <xm:sqref>F15</xm:sqref>
            </x14:sparkline>
          </x14:sparklines>
        </x14:sparklineGroup>
        <x14:sparklineGroup displayEmptyCellsAs="gap" xr2:uid="{00000000-0003-0000-0800-000023000000}">
          <x14:colorSeries rgb="FF7B1314"/>
          <x14:colorNegative rgb="FFD00000"/>
          <x14:colorAxis rgb="FF000000"/>
          <x14:colorMarkers rgb="FFD00000"/>
          <x14:colorFirst rgb="FFD00000"/>
          <x14:colorLast rgb="FFD00000"/>
          <x14:colorHigh rgb="FFD00000"/>
          <x14:colorLow rgb="FFD00000"/>
          <x14:sparklines>
            <x14:sparkline>
              <xm:f>Inputs!G16:Q16</xm:f>
              <xm:sqref>F16</xm:sqref>
            </x14:sparkline>
          </x14:sparklines>
        </x14:sparklineGroup>
        <x14:sparklineGroup displayEmptyCellsAs="gap" xr2:uid="{00000000-0003-0000-0800-000024000000}">
          <x14:colorSeries rgb="FF7B1314"/>
          <x14:colorNegative rgb="FFD00000"/>
          <x14:colorAxis rgb="FF000000"/>
          <x14:colorMarkers rgb="FFD00000"/>
          <x14:colorFirst rgb="FFD00000"/>
          <x14:colorLast rgb="FFD00000"/>
          <x14:colorHigh rgb="FFD00000"/>
          <x14:colorLow rgb="FFD00000"/>
          <x14:sparklines>
            <x14:sparkline>
              <xm:f>Inputs!G17:Q17</xm:f>
              <xm:sqref>F17</xm:sqref>
            </x14:sparkline>
          </x14:sparklines>
        </x14:sparklineGroup>
        <x14:sparklineGroup displayEmptyCellsAs="gap" xr2:uid="{00000000-0003-0000-0800-000025000000}">
          <x14:colorSeries rgb="FF7B1314"/>
          <x14:colorNegative rgb="FFD00000"/>
          <x14:colorAxis rgb="FF000000"/>
          <x14:colorMarkers rgb="FFD00000"/>
          <x14:colorFirst rgb="FFD00000"/>
          <x14:colorLast rgb="FFD00000"/>
          <x14:colorHigh rgb="FFD00000"/>
          <x14:colorLow rgb="FFD00000"/>
          <x14:sparklines>
            <x14:sparkline>
              <xm:f>Inputs!G18:Q18</xm:f>
              <xm:sqref>F18</xm:sqref>
            </x14:sparkline>
          </x14:sparklines>
        </x14:sparklineGroup>
        <x14:sparklineGroup displayEmptyCellsAs="gap" xr2:uid="{00000000-0003-0000-0800-000026000000}">
          <x14:colorSeries rgb="FF7B1314"/>
          <x14:colorNegative rgb="FFD00000"/>
          <x14:colorAxis rgb="FF000000"/>
          <x14:colorMarkers rgb="FFD00000"/>
          <x14:colorFirst rgb="FFD00000"/>
          <x14:colorLast rgb="FFD00000"/>
          <x14:colorHigh rgb="FFD00000"/>
          <x14:colorLow rgb="FFD00000"/>
          <x14:sparklines>
            <x14:sparkline>
              <xm:f>Inputs!G23:Q23</xm:f>
              <xm:sqref>F23</xm:sqref>
            </x14:sparkline>
          </x14:sparklines>
        </x14:sparklineGroup>
        <x14:sparklineGroup displayEmptyCellsAs="gap" xr2:uid="{00000000-0003-0000-0800-000027000000}">
          <x14:colorSeries rgb="FF7B1314"/>
          <x14:colorNegative rgb="FFD00000"/>
          <x14:colorAxis rgb="FF000000"/>
          <x14:colorMarkers rgb="FFD00000"/>
          <x14:colorFirst rgb="FFD00000"/>
          <x14:colorLast rgb="FFD00000"/>
          <x14:colorHigh rgb="FFD00000"/>
          <x14:colorLow rgb="FFD00000"/>
          <x14:sparklines>
            <x14:sparkline>
              <xm:f>Inputs!G24:Q24</xm:f>
              <xm:sqref>F24</xm:sqref>
            </x14:sparkline>
          </x14:sparklines>
        </x14:sparklineGroup>
        <x14:sparklineGroup displayEmptyCellsAs="gap" xr2:uid="{00000000-0003-0000-0800-000028000000}">
          <x14:colorSeries rgb="FF7B1314"/>
          <x14:colorNegative rgb="FFD00000"/>
          <x14:colorAxis rgb="FF000000"/>
          <x14:colorMarkers rgb="FFD00000"/>
          <x14:colorFirst rgb="FFD00000"/>
          <x14:colorLast rgb="FFD00000"/>
          <x14:colorHigh rgb="FFD00000"/>
          <x14:colorLow rgb="FFD00000"/>
          <x14:sparklines>
            <x14:sparkline>
              <xm:f>Inputs!G25:Q25</xm:f>
              <xm:sqref>F25</xm:sqref>
            </x14:sparkline>
          </x14:sparklines>
        </x14:sparklineGroup>
        <x14:sparklineGroup displayEmptyCellsAs="gap" xr2:uid="{00000000-0003-0000-0800-000029000000}">
          <x14:colorSeries rgb="FF7B1314"/>
          <x14:colorNegative rgb="FFD00000"/>
          <x14:colorAxis rgb="FF000000"/>
          <x14:colorMarkers rgb="FFD00000"/>
          <x14:colorFirst rgb="FFD00000"/>
          <x14:colorLast rgb="FFD00000"/>
          <x14:colorHigh rgb="FFD00000"/>
          <x14:colorLow rgb="FFD00000"/>
          <x14:sparklines>
            <x14:sparkline>
              <xm:f>Inputs!G26:Q26</xm:f>
              <xm:sqref>F26</xm:sqref>
            </x14:sparkline>
          </x14:sparklines>
        </x14:sparklineGroup>
        <x14:sparklineGroup displayEmptyCellsAs="gap" xr2:uid="{00000000-0003-0000-0800-00002A000000}">
          <x14:colorSeries rgb="FF7B1314"/>
          <x14:colorNegative rgb="FFD00000"/>
          <x14:colorAxis rgb="FF000000"/>
          <x14:colorMarkers rgb="FFD00000"/>
          <x14:colorFirst rgb="FFD00000"/>
          <x14:colorLast rgb="FFD00000"/>
          <x14:colorHigh rgb="FFD00000"/>
          <x14:colorLow rgb="FFD00000"/>
          <x14:sparklines>
            <x14:sparkline>
              <xm:f>Inputs!G27:Q27</xm:f>
              <xm:sqref>F27</xm:sqref>
            </x14:sparkline>
          </x14:sparklines>
        </x14:sparklineGroup>
        <x14:sparklineGroup displayEmptyCellsAs="gap" xr2:uid="{00000000-0003-0000-0800-00002B000000}">
          <x14:colorSeries rgb="FF7B1314"/>
          <x14:colorNegative rgb="FFD00000"/>
          <x14:colorAxis rgb="FF000000"/>
          <x14:colorMarkers rgb="FFD00000"/>
          <x14:colorFirst rgb="FFD00000"/>
          <x14:colorLast rgb="FFD00000"/>
          <x14:colorHigh rgb="FFD00000"/>
          <x14:colorLow rgb="FFD00000"/>
          <x14:sparklines>
            <x14:sparkline>
              <xm:f>Inputs!G29:Q29</xm:f>
              <xm:sqref>F29</xm:sqref>
            </x14:sparkline>
          </x14:sparklines>
        </x14:sparklineGroup>
        <x14:sparklineGroup displayEmptyCellsAs="gap" xr2:uid="{00000000-0003-0000-0800-00002C000000}">
          <x14:colorSeries rgb="FF7B1314"/>
          <x14:colorNegative rgb="FFD00000"/>
          <x14:colorAxis rgb="FF000000"/>
          <x14:colorMarkers rgb="FFD00000"/>
          <x14:colorFirst rgb="FFD00000"/>
          <x14:colorLast rgb="FFD00000"/>
          <x14:colorHigh rgb="FFD00000"/>
          <x14:colorLow rgb="FFD00000"/>
          <x14:sparklines>
            <x14:sparkline>
              <xm:f>Inputs!G32:Q32</xm:f>
              <xm:sqref>F32</xm:sqref>
            </x14:sparkline>
          </x14:sparklines>
        </x14:sparklineGroup>
        <x14:sparklineGroup displayEmptyCellsAs="gap" xr2:uid="{00000000-0003-0000-0800-00002D000000}">
          <x14:colorSeries rgb="FF7B1314"/>
          <x14:colorNegative rgb="FFD00000"/>
          <x14:colorAxis rgb="FF000000"/>
          <x14:colorMarkers rgb="FFD00000"/>
          <x14:colorFirst rgb="FFD00000"/>
          <x14:colorLast rgb="FFD00000"/>
          <x14:colorHigh rgb="FFD00000"/>
          <x14:colorLow rgb="FFD00000"/>
          <x14:sparklines>
            <x14:sparkline>
              <xm:f>Inputs!G35:Q35</xm:f>
              <xm:sqref>F35</xm:sqref>
            </x14:sparkline>
          </x14:sparklines>
        </x14:sparklineGroup>
        <x14:sparklineGroup displayEmptyCellsAs="gap" xr2:uid="{00000000-0003-0000-0800-00002E000000}">
          <x14:colorSeries rgb="FF7B1314"/>
          <x14:colorNegative rgb="FFD00000"/>
          <x14:colorAxis rgb="FF000000"/>
          <x14:colorMarkers rgb="FFD00000"/>
          <x14:colorFirst rgb="FFD00000"/>
          <x14:colorLast rgb="FFD00000"/>
          <x14:colorHigh rgb="FFD00000"/>
          <x14:colorLow rgb="FFD00000"/>
          <x14:sparklines>
            <x14:sparkline>
              <xm:f>Inputs!G36:Q36</xm:f>
              <xm:sqref>F36</xm:sqref>
            </x14:sparkline>
          </x14:sparklines>
        </x14:sparklineGroup>
        <x14:sparklineGroup displayEmptyCellsAs="gap" xr2:uid="{00000000-0003-0000-0800-00002F000000}">
          <x14:colorSeries rgb="FF7B1314"/>
          <x14:colorNegative rgb="FFD00000"/>
          <x14:colorAxis rgb="FF000000"/>
          <x14:colorMarkers rgb="FFD00000"/>
          <x14:colorFirst rgb="FFD00000"/>
          <x14:colorLast rgb="FFD00000"/>
          <x14:colorHigh rgb="FFD00000"/>
          <x14:colorLow rgb="FFD00000"/>
          <x14:sparklines>
            <x14:sparkline>
              <xm:f>Inputs!G37:Q37</xm:f>
              <xm:sqref>F37</xm:sqref>
            </x14:sparkline>
          </x14:sparklines>
        </x14:sparklineGroup>
        <x14:sparklineGroup displayEmptyCellsAs="gap" xr2:uid="{00000000-0003-0000-0800-000030000000}">
          <x14:colorSeries rgb="FF7B1314"/>
          <x14:colorNegative rgb="FFD00000"/>
          <x14:colorAxis rgb="FF000000"/>
          <x14:colorMarkers rgb="FFD00000"/>
          <x14:colorFirst rgb="FFD00000"/>
          <x14:colorLast rgb="FFD00000"/>
          <x14:colorHigh rgb="FFD00000"/>
          <x14:colorLow rgb="FFD00000"/>
          <x14:sparklines>
            <x14:sparkline>
              <xm:f>Inputs!G38:Q38</xm:f>
              <xm:sqref>F38</xm:sqref>
            </x14:sparkline>
          </x14:sparklines>
        </x14:sparklineGroup>
        <x14:sparklineGroup displayEmptyCellsAs="gap" xr2:uid="{00000000-0003-0000-0800-000031000000}">
          <x14:colorSeries rgb="FF7B1314"/>
          <x14:colorNegative rgb="FFD00000"/>
          <x14:colorAxis rgb="FF000000"/>
          <x14:colorMarkers rgb="FFD00000"/>
          <x14:colorFirst rgb="FFD00000"/>
          <x14:colorLast rgb="FFD00000"/>
          <x14:colorHigh rgb="FFD00000"/>
          <x14:colorLow rgb="FFD00000"/>
          <x14:sparklines>
            <x14:sparkline>
              <xm:f>Inputs!G39:Q39</xm:f>
              <xm:sqref>F39</xm:sqref>
            </x14:sparkline>
          </x14:sparklines>
        </x14:sparklineGroup>
        <x14:sparklineGroup displayEmptyCellsAs="gap" xr2:uid="{00000000-0003-0000-0800-000032000000}">
          <x14:colorSeries rgb="FF7B1314"/>
          <x14:colorNegative rgb="FFD00000"/>
          <x14:colorAxis rgb="FF000000"/>
          <x14:colorMarkers rgb="FFD00000"/>
          <x14:colorFirst rgb="FFD00000"/>
          <x14:colorLast rgb="FFD00000"/>
          <x14:colorHigh rgb="FFD00000"/>
          <x14:colorLow rgb="FFD00000"/>
          <x14:sparklines>
            <x14:sparkline>
              <xm:f>Inputs!G40:Q40</xm:f>
              <xm:sqref>F40</xm:sqref>
            </x14:sparkline>
          </x14:sparklines>
        </x14:sparklineGroup>
        <x14:sparklineGroup displayEmptyCellsAs="gap" xr2:uid="{00000000-0003-0000-0800-000033000000}">
          <x14:colorSeries rgb="FF7B1314"/>
          <x14:colorNegative rgb="FFD00000"/>
          <x14:colorAxis rgb="FF000000"/>
          <x14:colorMarkers rgb="FFD00000"/>
          <x14:colorFirst rgb="FFD00000"/>
          <x14:colorLast rgb="FFD00000"/>
          <x14:colorHigh rgb="FFD00000"/>
          <x14:colorLow rgb="FFD00000"/>
          <x14:sparklines>
            <x14:sparkline>
              <xm:f>Inputs!G41:Q41</xm:f>
              <xm:sqref>F41</xm:sqref>
            </x14:sparkline>
          </x14:sparklines>
        </x14:sparklineGroup>
        <x14:sparklineGroup displayEmptyCellsAs="gap" xr2:uid="{00000000-0003-0000-0800-000034000000}">
          <x14:colorSeries rgb="FF7B1314"/>
          <x14:colorNegative rgb="FFD00000"/>
          <x14:colorAxis rgb="FF000000"/>
          <x14:colorMarkers rgb="FFD00000"/>
          <x14:colorFirst rgb="FFD00000"/>
          <x14:colorLast rgb="FFD00000"/>
          <x14:colorHigh rgb="FFD00000"/>
          <x14:colorLow rgb="FFD00000"/>
          <x14:sparklines>
            <x14:sparkline>
              <xm:f>Inputs!G42:Q42</xm:f>
              <xm:sqref>F42</xm:sqref>
            </x14:sparkline>
          </x14:sparklines>
        </x14:sparklineGroup>
        <x14:sparklineGroup displayEmptyCellsAs="gap" xr2:uid="{00000000-0003-0000-0800-000035000000}">
          <x14:colorSeries rgb="FF7B1314"/>
          <x14:colorNegative rgb="FFD00000"/>
          <x14:colorAxis rgb="FF000000"/>
          <x14:colorMarkers rgb="FFD00000"/>
          <x14:colorFirst rgb="FFD00000"/>
          <x14:colorLast rgb="FFD00000"/>
          <x14:colorHigh rgb="FFD00000"/>
          <x14:colorLow rgb="FFD00000"/>
          <x14:sparklines>
            <x14:sparkline>
              <xm:f>Inputs!G46:Q46</xm:f>
              <xm:sqref>F46</xm:sqref>
            </x14:sparkline>
          </x14:sparklines>
        </x14:sparklineGroup>
        <x14:sparklineGroup displayEmptyCellsAs="gap" xr2:uid="{00000000-0003-0000-0800-000036000000}">
          <x14:colorSeries rgb="FF7B1314"/>
          <x14:colorNegative rgb="FFD00000"/>
          <x14:colorAxis rgb="FF000000"/>
          <x14:colorMarkers rgb="FFD00000"/>
          <x14:colorFirst rgb="FFD00000"/>
          <x14:colorLast rgb="FFD00000"/>
          <x14:colorHigh rgb="FFD00000"/>
          <x14:colorLow rgb="FFD00000"/>
          <x14:sparklines>
            <x14:sparkline>
              <xm:f>Inputs!G47:Q47</xm:f>
              <xm:sqref>F47</xm:sqref>
            </x14:sparkline>
          </x14:sparklines>
        </x14:sparklineGroup>
        <x14:sparklineGroup displayEmptyCellsAs="gap" xr2:uid="{00000000-0003-0000-0800-000037000000}">
          <x14:colorSeries rgb="FF7B1314"/>
          <x14:colorNegative rgb="FFD00000"/>
          <x14:colorAxis rgb="FF000000"/>
          <x14:colorMarkers rgb="FFD00000"/>
          <x14:colorFirst rgb="FFD00000"/>
          <x14:colorLast rgb="FFD00000"/>
          <x14:colorHigh rgb="FFD00000"/>
          <x14:colorLow rgb="FFD00000"/>
          <x14:sparklines>
            <x14:sparkline>
              <xm:f>Inputs!G48:Q48</xm:f>
              <xm:sqref>F48</xm:sqref>
            </x14:sparkline>
          </x14:sparklines>
        </x14:sparklineGroup>
        <x14:sparklineGroup displayEmptyCellsAs="gap" xr2:uid="{00000000-0003-0000-0800-000038000000}">
          <x14:colorSeries rgb="FF7B1314"/>
          <x14:colorNegative rgb="FFD00000"/>
          <x14:colorAxis rgb="FF000000"/>
          <x14:colorMarkers rgb="FFD00000"/>
          <x14:colorFirst rgb="FFD00000"/>
          <x14:colorLast rgb="FFD00000"/>
          <x14:colorHigh rgb="FFD00000"/>
          <x14:colorLow rgb="FFD00000"/>
          <x14:sparklines>
            <x14:sparkline>
              <xm:f>Inputs!G49:Q49</xm:f>
              <xm:sqref>F49</xm:sqref>
            </x14:sparkline>
          </x14:sparklines>
        </x14:sparklineGroup>
        <x14:sparklineGroup displayEmptyCellsAs="gap" xr2:uid="{00000000-0003-0000-0800-000039000000}">
          <x14:colorSeries rgb="FF7B1314"/>
          <x14:colorNegative rgb="FFD00000"/>
          <x14:colorAxis rgb="FF000000"/>
          <x14:colorMarkers rgb="FFD00000"/>
          <x14:colorFirst rgb="FFD00000"/>
          <x14:colorLast rgb="FFD00000"/>
          <x14:colorHigh rgb="FFD00000"/>
          <x14:colorLow rgb="FFD00000"/>
          <x14:sparklines>
            <x14:sparkline>
              <xm:f>Inputs!G50:Q50</xm:f>
              <xm:sqref>F50</xm:sqref>
            </x14:sparkline>
          </x14:sparklines>
        </x14:sparklineGroup>
        <x14:sparklineGroup displayEmptyCellsAs="gap" xr2:uid="{00000000-0003-0000-0800-00003A000000}">
          <x14:colorSeries rgb="FF7B1314"/>
          <x14:colorNegative rgb="FFD00000"/>
          <x14:colorAxis rgb="FF000000"/>
          <x14:colorMarkers rgb="FFD00000"/>
          <x14:colorFirst rgb="FFD00000"/>
          <x14:colorLast rgb="FFD00000"/>
          <x14:colorHigh rgb="FFD00000"/>
          <x14:colorLow rgb="FFD00000"/>
          <x14:sparklines>
            <x14:sparkline>
              <xm:f>Inputs!G51:Q51</xm:f>
              <xm:sqref>F51</xm:sqref>
            </x14:sparkline>
          </x14:sparklines>
        </x14:sparklineGroup>
        <x14:sparklineGroup displayEmptyCellsAs="gap" xr2:uid="{00000000-0003-0000-0800-00003B000000}">
          <x14:colorSeries rgb="FF7B1314"/>
          <x14:colorNegative rgb="FFD00000"/>
          <x14:colorAxis rgb="FF000000"/>
          <x14:colorMarkers rgb="FFD00000"/>
          <x14:colorFirst rgb="FFD00000"/>
          <x14:colorLast rgb="FFD00000"/>
          <x14:colorHigh rgb="FFD00000"/>
          <x14:colorLow rgb="FFD00000"/>
          <x14:sparklines>
            <x14:sparkline>
              <xm:f>Inputs!G52:Q52</xm:f>
              <xm:sqref>F52</xm:sqref>
            </x14:sparkline>
          </x14:sparklines>
        </x14:sparklineGroup>
        <x14:sparklineGroup displayEmptyCellsAs="gap" xr2:uid="{00000000-0003-0000-0800-00003C000000}">
          <x14:colorSeries rgb="FF7B1314"/>
          <x14:colorNegative rgb="FFD00000"/>
          <x14:colorAxis rgb="FF000000"/>
          <x14:colorMarkers rgb="FFD00000"/>
          <x14:colorFirst rgb="FFD00000"/>
          <x14:colorLast rgb="FFD00000"/>
          <x14:colorHigh rgb="FFD00000"/>
          <x14:colorLow rgb="FFD00000"/>
          <x14:sparklines>
            <x14:sparkline>
              <xm:f>Inputs!G53:Q53</xm:f>
              <xm:sqref>F53</xm:sqref>
            </x14:sparkline>
          </x14:sparklines>
        </x14:sparklineGroup>
        <x14:sparklineGroup displayEmptyCellsAs="gap" xr2:uid="{00000000-0003-0000-0800-00003D000000}">
          <x14:colorSeries rgb="FF7B1314"/>
          <x14:colorNegative rgb="FFD00000"/>
          <x14:colorAxis rgb="FF000000"/>
          <x14:colorMarkers rgb="FFD00000"/>
          <x14:colorFirst rgb="FFD00000"/>
          <x14:colorLast rgb="FFD00000"/>
          <x14:colorHigh rgb="FFD00000"/>
          <x14:colorLow rgb="FFD00000"/>
          <x14:sparklines>
            <x14:sparkline>
              <xm:f>Inputs!G54:Q54</xm:f>
              <xm:sqref>F54</xm:sqref>
            </x14:sparkline>
          </x14:sparklines>
        </x14:sparklineGroup>
        <x14:sparklineGroup displayEmptyCellsAs="gap" xr2:uid="{00000000-0003-0000-0800-00003E000000}">
          <x14:colorSeries rgb="FF7B1314"/>
          <x14:colorNegative rgb="FFD00000"/>
          <x14:colorAxis rgb="FF000000"/>
          <x14:colorMarkers rgb="FFD00000"/>
          <x14:colorFirst rgb="FFD00000"/>
          <x14:colorLast rgb="FFD00000"/>
          <x14:colorHigh rgb="FFD00000"/>
          <x14:colorLow rgb="FFD00000"/>
          <x14:sparklines>
            <x14:sparkline>
              <xm:f>Inputs!G55:Q55</xm:f>
              <xm:sqref>F55</xm:sqref>
            </x14:sparkline>
          </x14:sparklines>
        </x14:sparklineGroup>
        <x14:sparklineGroup displayEmptyCellsAs="gap" xr2:uid="{00000000-0003-0000-0800-00003F000000}">
          <x14:colorSeries rgb="FF7B1314"/>
          <x14:colorNegative rgb="FFD00000"/>
          <x14:colorAxis rgb="FF000000"/>
          <x14:colorMarkers rgb="FFD00000"/>
          <x14:colorFirst rgb="FFD00000"/>
          <x14:colorLast rgb="FFD00000"/>
          <x14:colorHigh rgb="FFD00000"/>
          <x14:colorLow rgb="FFD00000"/>
          <x14:sparklines>
            <x14:sparkline>
              <xm:f>Inputs!G56:Q56</xm:f>
              <xm:sqref>F56</xm:sqref>
            </x14:sparkline>
          </x14:sparklines>
        </x14:sparklineGroup>
        <x14:sparklineGroup displayEmptyCellsAs="gap" xr2:uid="{00000000-0003-0000-0800-000040000000}">
          <x14:colorSeries rgb="FF7B1314"/>
          <x14:colorNegative rgb="FFD00000"/>
          <x14:colorAxis rgb="FF000000"/>
          <x14:colorMarkers rgb="FFD00000"/>
          <x14:colorFirst rgb="FFD00000"/>
          <x14:colorLast rgb="FFD00000"/>
          <x14:colorHigh rgb="FFD00000"/>
          <x14:colorLow rgb="FFD00000"/>
          <x14:sparklines>
            <x14:sparkline>
              <xm:f>Inputs!G57:Q57</xm:f>
              <xm:sqref>F57</xm:sqref>
            </x14:sparkline>
          </x14:sparklines>
        </x14:sparklineGroup>
        <x14:sparklineGroup displayEmptyCellsAs="gap" xr2:uid="{00000000-0003-0000-0800-000041000000}">
          <x14:colorSeries rgb="FF7B1314"/>
          <x14:colorNegative rgb="FFD00000"/>
          <x14:colorAxis rgb="FF000000"/>
          <x14:colorMarkers rgb="FFD00000"/>
          <x14:colorFirst rgb="FFD00000"/>
          <x14:colorLast rgb="FFD00000"/>
          <x14:colorHigh rgb="FFD00000"/>
          <x14:colorLow rgb="FFD00000"/>
          <x14:sparklines>
            <x14:sparkline>
              <xm:f>Inputs!G58:Q58</xm:f>
              <xm:sqref>F58</xm:sqref>
            </x14:sparkline>
          </x14:sparklines>
        </x14:sparklineGroup>
        <x14:sparklineGroup displayEmptyCellsAs="gap" xr2:uid="{00000000-0003-0000-0800-000042000000}">
          <x14:colorSeries rgb="FF7B1314"/>
          <x14:colorNegative rgb="FFD00000"/>
          <x14:colorAxis rgb="FF000000"/>
          <x14:colorMarkers rgb="FFD00000"/>
          <x14:colorFirst rgb="FFD00000"/>
          <x14:colorLast rgb="FFD00000"/>
          <x14:colorHigh rgb="FFD00000"/>
          <x14:colorLow rgb="FFD00000"/>
          <x14:sparklines>
            <x14:sparkline>
              <xm:f>Inputs!G59:Q59</xm:f>
              <xm:sqref>F59</xm:sqref>
            </x14:sparkline>
          </x14:sparklines>
        </x14:sparklineGroup>
        <x14:sparklineGroup displayEmptyCellsAs="gap" xr2:uid="{00000000-0003-0000-0800-000043000000}">
          <x14:colorSeries rgb="FF7B1314"/>
          <x14:colorNegative rgb="FFD00000"/>
          <x14:colorAxis rgb="FF000000"/>
          <x14:colorMarkers rgb="FFD00000"/>
          <x14:colorFirst rgb="FFD00000"/>
          <x14:colorLast rgb="FFD00000"/>
          <x14:colorHigh rgb="FFD00000"/>
          <x14:colorLow rgb="FFD00000"/>
          <x14:sparklines>
            <x14:sparkline>
              <xm:f>Inputs!G60:Q60</xm:f>
              <xm:sqref>F60</xm:sqref>
            </x14:sparkline>
          </x14:sparklines>
        </x14:sparklineGroup>
        <x14:sparklineGroup displayEmptyCellsAs="gap" xr2:uid="{00000000-0003-0000-0800-000044000000}">
          <x14:colorSeries rgb="FF7B1314"/>
          <x14:colorNegative rgb="FFD00000"/>
          <x14:colorAxis rgb="FF000000"/>
          <x14:colorMarkers rgb="FFD00000"/>
          <x14:colorFirst rgb="FFD00000"/>
          <x14:colorLast rgb="FFD00000"/>
          <x14:colorHigh rgb="FFD00000"/>
          <x14:colorLow rgb="FFD00000"/>
          <x14:sparklines>
            <x14:sparkline>
              <xm:f>Inputs!G78:Q78</xm:f>
              <xm:sqref>F78</xm:sqref>
            </x14:sparkline>
          </x14:sparklines>
        </x14:sparklineGroup>
        <x14:sparklineGroup displayEmptyCellsAs="gap" xr2:uid="{00000000-0003-0000-0800-000045000000}">
          <x14:colorSeries rgb="FF7B1314"/>
          <x14:colorNegative rgb="FFD00000"/>
          <x14:colorAxis rgb="FF000000"/>
          <x14:colorMarkers rgb="FFD00000"/>
          <x14:colorFirst rgb="FFD00000"/>
          <x14:colorLast rgb="FFD00000"/>
          <x14:colorHigh rgb="FFD00000"/>
          <x14:colorLow rgb="FFD00000"/>
          <x14:sparklines>
            <x14:sparkline>
              <xm:f>Inputs!G77:Q77</xm:f>
              <xm:sqref>F77</xm:sqref>
            </x14:sparkline>
          </x14:sparklines>
        </x14:sparklineGroup>
        <x14:sparklineGroup displayEmptyCellsAs="gap" xr2:uid="{00000000-0003-0000-0800-000046000000}">
          <x14:colorSeries rgb="FF7B1314"/>
          <x14:colorNegative rgb="FFD00000"/>
          <x14:colorAxis rgb="FF000000"/>
          <x14:colorMarkers rgb="FFD00000"/>
          <x14:colorFirst rgb="FFD00000"/>
          <x14:colorLast rgb="FFD00000"/>
          <x14:colorHigh rgb="FFD00000"/>
          <x14:colorLow rgb="FFD00000"/>
          <x14:sparklines>
            <x14:sparkline>
              <xm:f>Inputs!G76:Q76</xm:f>
              <xm:sqref>F76</xm:sqref>
            </x14:sparkline>
          </x14:sparklines>
        </x14:sparklineGroup>
        <x14:sparklineGroup displayEmptyCellsAs="gap" xr2:uid="{00000000-0003-0000-0800-000047000000}">
          <x14:colorSeries rgb="FF7B1314"/>
          <x14:colorNegative rgb="FFD00000"/>
          <x14:colorAxis rgb="FF000000"/>
          <x14:colorMarkers rgb="FFD00000"/>
          <x14:colorFirst rgb="FFD00000"/>
          <x14:colorLast rgb="FFD00000"/>
          <x14:colorHigh rgb="FFD00000"/>
          <x14:colorLow rgb="FFD00000"/>
          <x14:sparklines>
            <x14:sparkline>
              <xm:f>Inputs!G75:Q75</xm:f>
              <xm:sqref>F75</xm:sqref>
            </x14:sparkline>
          </x14:sparklines>
        </x14:sparklineGroup>
        <x14:sparklineGroup displayEmptyCellsAs="gap" xr2:uid="{00000000-0003-0000-0800-000048000000}">
          <x14:colorSeries rgb="FF7B1314"/>
          <x14:colorNegative rgb="FFD00000"/>
          <x14:colorAxis rgb="FF000000"/>
          <x14:colorMarkers rgb="FFD00000"/>
          <x14:colorFirst rgb="FFD00000"/>
          <x14:colorLast rgb="FFD00000"/>
          <x14:colorHigh rgb="FFD00000"/>
          <x14:colorLow rgb="FFD00000"/>
          <x14:sparklines>
            <x14:sparkline>
              <xm:f>Inputs!G74:Q74</xm:f>
              <xm:sqref>F74</xm:sqref>
            </x14:sparkline>
          </x14:sparklines>
        </x14:sparklineGroup>
        <x14:sparklineGroup displayEmptyCellsAs="gap" xr2:uid="{00000000-0003-0000-0800-000049000000}">
          <x14:colorSeries rgb="FF7B1314"/>
          <x14:colorNegative rgb="FFD00000"/>
          <x14:colorAxis rgb="FF000000"/>
          <x14:colorMarkers rgb="FFD00000"/>
          <x14:colorFirst rgb="FFD00000"/>
          <x14:colorLast rgb="FFD00000"/>
          <x14:colorHigh rgb="FFD00000"/>
          <x14:colorLow rgb="FFD00000"/>
          <x14:sparklines>
            <x14:sparkline>
              <xm:f>Inputs!G73:Q73</xm:f>
              <xm:sqref>F73</xm:sqref>
            </x14:sparkline>
          </x14:sparklines>
        </x14:sparklineGroup>
        <x14:sparklineGroup displayEmptyCellsAs="gap" xr2:uid="{00000000-0003-0000-0800-00004A000000}">
          <x14:colorSeries rgb="FF7B1314"/>
          <x14:colorNegative rgb="FFD00000"/>
          <x14:colorAxis rgb="FF000000"/>
          <x14:colorMarkers rgb="FFD00000"/>
          <x14:colorFirst rgb="FFD00000"/>
          <x14:colorLast rgb="FFD00000"/>
          <x14:colorHigh rgb="FFD00000"/>
          <x14:colorLow rgb="FFD00000"/>
          <x14:sparklines>
            <x14:sparkline>
              <xm:f>Inputs!G72:Q72</xm:f>
              <xm:sqref>F72</xm:sqref>
            </x14:sparkline>
          </x14:sparklines>
        </x14:sparklineGroup>
        <x14:sparklineGroup displayEmptyCellsAs="gap" xr2:uid="{00000000-0003-0000-0800-00004B000000}">
          <x14:colorSeries rgb="FF7B1314"/>
          <x14:colorNegative rgb="FFD00000"/>
          <x14:colorAxis rgb="FF000000"/>
          <x14:colorMarkers rgb="FFD00000"/>
          <x14:colorFirst rgb="FFD00000"/>
          <x14:colorLast rgb="FFD00000"/>
          <x14:colorHigh rgb="FFD00000"/>
          <x14:colorLow rgb="FFD00000"/>
          <x14:sparklines>
            <x14:sparkline>
              <xm:f>Inputs!G71:Q71</xm:f>
              <xm:sqref>F71</xm:sqref>
            </x14:sparkline>
          </x14:sparklines>
        </x14:sparklineGroup>
        <x14:sparklineGroup displayEmptyCellsAs="gap" xr2:uid="{00000000-0003-0000-0800-00004C000000}">
          <x14:colorSeries rgb="FF7B1314"/>
          <x14:colorNegative rgb="FFD00000"/>
          <x14:colorAxis rgb="FF000000"/>
          <x14:colorMarkers rgb="FFD00000"/>
          <x14:colorFirst rgb="FFD00000"/>
          <x14:colorLast rgb="FFD00000"/>
          <x14:colorHigh rgb="FFD00000"/>
          <x14:colorLow rgb="FFD00000"/>
          <x14:sparklines>
            <x14:sparkline>
              <xm:f>Inputs!G70:Q70</xm:f>
              <xm:sqref>F70</xm:sqref>
            </x14:sparkline>
          </x14:sparklines>
        </x14:sparklineGroup>
        <x14:sparklineGroup displayEmptyCellsAs="gap" xr2:uid="{00000000-0003-0000-0800-00004D000000}">
          <x14:colorSeries rgb="FF7B1314"/>
          <x14:colorNegative rgb="FFD00000"/>
          <x14:colorAxis rgb="FF000000"/>
          <x14:colorMarkers rgb="FFD00000"/>
          <x14:colorFirst rgb="FFD00000"/>
          <x14:colorLast rgb="FFD00000"/>
          <x14:colorHigh rgb="FFD00000"/>
          <x14:colorLow rgb="FFD00000"/>
          <x14:sparklines>
            <x14:sparkline>
              <xm:f>Inputs!G69:Q69</xm:f>
              <xm:sqref>F69</xm:sqref>
            </x14:sparkline>
          </x14:sparklines>
        </x14:sparklineGroup>
        <x14:sparklineGroup displayEmptyCellsAs="gap" xr2:uid="{00000000-0003-0000-0800-00004E000000}">
          <x14:colorSeries rgb="FF7B1314"/>
          <x14:colorNegative rgb="FFD00000"/>
          <x14:colorAxis rgb="FF000000"/>
          <x14:colorMarkers rgb="FFD00000"/>
          <x14:colorFirst rgb="FFD00000"/>
          <x14:colorLast rgb="FFD00000"/>
          <x14:colorHigh rgb="FFD00000"/>
          <x14:colorLow rgb="FFD00000"/>
          <x14:sparklines>
            <x14:sparkline>
              <xm:f>Inputs!G68:Q68</xm:f>
              <xm:sqref>F68</xm:sqref>
            </x14:sparkline>
          </x14:sparklines>
        </x14:sparklineGroup>
        <x14:sparklineGroup displayEmptyCellsAs="gap" xr2:uid="{00000000-0003-0000-0800-00004F000000}">
          <x14:colorSeries rgb="FF7B1314"/>
          <x14:colorNegative rgb="FFD00000"/>
          <x14:colorAxis rgb="FF000000"/>
          <x14:colorMarkers rgb="FFD00000"/>
          <x14:colorFirst rgb="FFD00000"/>
          <x14:colorLast rgb="FFD00000"/>
          <x14:colorHigh rgb="FFD00000"/>
          <x14:colorLow rgb="FFD00000"/>
          <x14:sparklines>
            <x14:sparkline>
              <xm:f>Inputs!G67:Q67</xm:f>
              <xm:sqref>F67</xm:sqref>
            </x14:sparkline>
          </x14:sparklines>
        </x14:sparklineGroup>
        <x14:sparklineGroup displayEmptyCellsAs="gap" xr2:uid="{00000000-0003-0000-0800-000050000000}">
          <x14:colorSeries rgb="FF7B1314"/>
          <x14:colorNegative rgb="FFD00000"/>
          <x14:colorAxis rgb="FF000000"/>
          <x14:colorMarkers rgb="FFD00000"/>
          <x14:colorFirst rgb="FFD00000"/>
          <x14:colorLast rgb="FFD00000"/>
          <x14:colorHigh rgb="FFD00000"/>
          <x14:colorLow rgb="FFD00000"/>
          <x14:sparklines>
            <x14:sparkline>
              <xm:f>Inputs!G66:Q66</xm:f>
              <xm:sqref>F66</xm:sqref>
            </x14:sparkline>
          </x14:sparklines>
        </x14:sparklineGroup>
        <x14:sparklineGroup displayEmptyCellsAs="gap" xr2:uid="{00000000-0003-0000-0800-000051000000}">
          <x14:colorSeries rgb="FF7B1314"/>
          <x14:colorNegative rgb="FFD00000"/>
          <x14:colorAxis rgb="FF000000"/>
          <x14:colorMarkers rgb="FFD00000"/>
          <x14:colorFirst rgb="FFD00000"/>
          <x14:colorLast rgb="FFD00000"/>
          <x14:colorHigh rgb="FFD00000"/>
          <x14:colorLow rgb="FFD00000"/>
          <x14:sparklines>
            <x14:sparkline>
              <xm:f>Inputs!G79:Q79</xm:f>
              <xm:sqref>F79</xm:sqref>
            </x14:sparkline>
          </x14:sparklines>
        </x14:sparklineGroup>
        <x14:sparklineGroup displayEmptyCellsAs="gap" xr2:uid="{00000000-0003-0000-0800-000052000000}">
          <x14:colorSeries rgb="FF7B1314"/>
          <x14:colorNegative rgb="FFD00000"/>
          <x14:colorAxis rgb="FF000000"/>
          <x14:colorMarkers rgb="FFD00000"/>
          <x14:colorFirst rgb="FFD00000"/>
          <x14:colorLast rgb="FFD00000"/>
          <x14:colorHigh rgb="FFD00000"/>
          <x14:colorLow rgb="FFD00000"/>
          <x14:sparklines>
            <x14:sparkline>
              <xm:f>Inputs!G80:Q80</xm:f>
              <xm:sqref>F80</xm:sqref>
            </x14:sparkline>
          </x14:sparklines>
        </x14:sparklineGroup>
        <x14:sparklineGroup displayEmptyCellsAs="gap" xr2:uid="{00000000-0003-0000-0800-000053000000}">
          <x14:colorSeries rgb="FF7B1314"/>
          <x14:colorNegative rgb="FFD00000"/>
          <x14:colorAxis rgb="FF000000"/>
          <x14:colorMarkers rgb="FFD00000"/>
          <x14:colorFirst rgb="FFD00000"/>
          <x14:colorLast rgb="FFD00000"/>
          <x14:colorHigh rgb="FFD00000"/>
          <x14:colorLow rgb="FFD00000"/>
          <x14:sparklines>
            <x14:sparkline>
              <xm:f>Inputs!G81:Q81</xm:f>
              <xm:sqref>F81</xm:sqref>
            </x14:sparkline>
          </x14:sparklines>
        </x14:sparklineGroup>
        <x14:sparklineGroup displayEmptyCellsAs="gap" xr2:uid="{00000000-0003-0000-0800-000054000000}">
          <x14:colorSeries rgb="FF7B1314"/>
          <x14:colorNegative rgb="FFD00000"/>
          <x14:colorAxis rgb="FF000000"/>
          <x14:colorMarkers rgb="FFD00000"/>
          <x14:colorFirst rgb="FFD00000"/>
          <x14:colorLast rgb="FFD00000"/>
          <x14:colorHigh rgb="FFD00000"/>
          <x14:colorLow rgb="FFD00000"/>
          <x14:sparklines>
            <x14:sparkline>
              <xm:f>Inputs!G82:Q82</xm:f>
              <xm:sqref>F82</xm:sqref>
            </x14:sparkline>
          </x14:sparklines>
        </x14:sparklineGroup>
        <x14:sparklineGroup displayEmptyCellsAs="gap" xr2:uid="{00000000-0003-0000-0800-000055000000}">
          <x14:colorSeries rgb="FF7B1314"/>
          <x14:colorNegative rgb="FFD00000"/>
          <x14:colorAxis rgb="FF000000"/>
          <x14:colorMarkers rgb="FFD00000"/>
          <x14:colorFirst rgb="FFD00000"/>
          <x14:colorLast rgb="FFD00000"/>
          <x14:colorHigh rgb="FFD00000"/>
          <x14:colorLow rgb="FFD00000"/>
          <x14:sparklines>
            <x14:sparkline>
              <xm:f>Inputs!G83:Q83</xm:f>
              <xm:sqref>F83</xm:sqref>
            </x14:sparkline>
          </x14:sparklines>
        </x14:sparklineGroup>
        <x14:sparklineGroup displayEmptyCellsAs="gap" xr2:uid="{00000000-0003-0000-0800-000056000000}">
          <x14:colorSeries rgb="FF7B1314"/>
          <x14:colorNegative rgb="FFD00000"/>
          <x14:colorAxis rgb="FF000000"/>
          <x14:colorMarkers rgb="FFD00000"/>
          <x14:colorFirst rgb="FFD00000"/>
          <x14:colorLast rgb="FFD00000"/>
          <x14:colorHigh rgb="FFD00000"/>
          <x14:colorLow rgb="FFD00000"/>
          <x14:sparklines>
            <x14:sparkline>
              <xm:f>Inputs!G84:Q84</xm:f>
              <xm:sqref>F84</xm:sqref>
            </x14:sparkline>
          </x14:sparklines>
        </x14:sparklineGroup>
        <x14:sparklineGroup displayEmptyCellsAs="gap" xr2:uid="{00000000-0003-0000-0800-000057000000}">
          <x14:colorSeries rgb="FF7B1314"/>
          <x14:colorNegative rgb="FFD00000"/>
          <x14:colorAxis rgb="FF000000"/>
          <x14:colorMarkers rgb="FFD00000"/>
          <x14:colorFirst rgb="FFD00000"/>
          <x14:colorLast rgb="FFD00000"/>
          <x14:colorHigh rgb="FFD00000"/>
          <x14:colorLow rgb="FFD00000"/>
          <x14:sparklines>
            <x14:sparkline>
              <xm:f>Inputs!G85:Q85</xm:f>
              <xm:sqref>F85</xm:sqref>
            </x14:sparkline>
          </x14:sparklines>
        </x14:sparklineGroup>
        <x14:sparklineGroup displayEmptyCellsAs="gap" xr2:uid="{00000000-0003-0000-0800-000058000000}">
          <x14:colorSeries rgb="FF7B1314"/>
          <x14:colorNegative rgb="FFD00000"/>
          <x14:colorAxis rgb="FF000000"/>
          <x14:colorMarkers rgb="FFD00000"/>
          <x14:colorFirst rgb="FFD00000"/>
          <x14:colorLast rgb="FFD00000"/>
          <x14:colorHigh rgb="FFD00000"/>
          <x14:colorLow rgb="FFD00000"/>
          <x14:sparklines>
            <x14:sparkline>
              <xm:f>Inputs!G86:Q86</xm:f>
              <xm:sqref>F86</xm:sqref>
            </x14:sparkline>
          </x14:sparklines>
        </x14:sparklineGroup>
        <x14:sparklineGroup displayEmptyCellsAs="gap" xr2:uid="{00000000-0003-0000-0800-000059000000}">
          <x14:colorSeries rgb="FF7B1314"/>
          <x14:colorNegative rgb="FFD00000"/>
          <x14:colorAxis rgb="FF000000"/>
          <x14:colorMarkers rgb="FFD00000"/>
          <x14:colorFirst rgb="FFD00000"/>
          <x14:colorLast rgb="FFD00000"/>
          <x14:colorHigh rgb="FFD00000"/>
          <x14:colorLow rgb="FFD00000"/>
          <x14:sparklines>
            <x14:sparkline>
              <xm:f>Inputs!G87:Q87</xm:f>
              <xm:sqref>F87</xm:sqref>
            </x14:sparkline>
          </x14:sparklines>
        </x14:sparklineGroup>
        <x14:sparklineGroup displayEmptyCellsAs="gap" xr2:uid="{00000000-0003-0000-0800-00005A000000}">
          <x14:colorSeries rgb="FF7B1314"/>
          <x14:colorNegative rgb="FFD00000"/>
          <x14:colorAxis rgb="FF000000"/>
          <x14:colorMarkers rgb="FFD00000"/>
          <x14:colorFirst rgb="FFD00000"/>
          <x14:colorLast rgb="FFD00000"/>
          <x14:colorHigh rgb="FFD00000"/>
          <x14:colorLow rgb="FFD00000"/>
          <x14:sparklines>
            <x14:sparkline>
              <xm:f>Inputs!G88:Q88</xm:f>
              <xm:sqref>F88</xm:sqref>
            </x14:sparkline>
          </x14:sparklines>
        </x14:sparklineGroup>
        <x14:sparklineGroup displayEmptyCellsAs="gap" xr2:uid="{00000000-0003-0000-0800-00005B000000}">
          <x14:colorSeries rgb="FF7B1314"/>
          <x14:colorNegative rgb="FFD00000"/>
          <x14:colorAxis rgb="FF000000"/>
          <x14:colorMarkers rgb="FFD00000"/>
          <x14:colorFirst rgb="FFD00000"/>
          <x14:colorLast rgb="FFD00000"/>
          <x14:colorHigh rgb="FFD00000"/>
          <x14:colorLow rgb="FFD00000"/>
          <x14:sparklines>
            <x14:sparkline>
              <xm:f>Inputs!G89:Q89</xm:f>
              <xm:sqref>F89</xm:sqref>
            </x14:sparkline>
          </x14:sparklines>
        </x14:sparklineGroup>
        <x14:sparklineGroup displayEmptyCellsAs="gap" xr2:uid="{00000000-0003-0000-0800-00005C000000}">
          <x14:colorSeries rgb="FF7B1314"/>
          <x14:colorNegative rgb="FFD00000"/>
          <x14:colorAxis rgb="FF000000"/>
          <x14:colorMarkers rgb="FFD00000"/>
          <x14:colorFirst rgb="FFD00000"/>
          <x14:colorLast rgb="FFD00000"/>
          <x14:colorHigh rgb="FFD00000"/>
          <x14:colorLow rgb="FFD00000"/>
          <x14:sparklines>
            <x14:sparkline>
              <xm:f>Inputs!G90:Q90</xm:f>
              <xm:sqref>F90</xm:sqref>
            </x14:sparkline>
          </x14:sparklines>
        </x14:sparklineGroup>
        <x14:sparklineGroup displayEmptyCellsAs="gap" xr2:uid="{00000000-0003-0000-0800-00005D000000}">
          <x14:colorSeries rgb="FF7B1314"/>
          <x14:colorNegative rgb="FFD00000"/>
          <x14:colorAxis rgb="FF000000"/>
          <x14:colorMarkers rgb="FFD00000"/>
          <x14:colorFirst rgb="FFD00000"/>
          <x14:colorLast rgb="FFD00000"/>
          <x14:colorHigh rgb="FFD00000"/>
          <x14:colorLow rgb="FFD00000"/>
          <x14:sparklines>
            <x14:sparkline>
              <xm:f>Inputs!G91:Q91</xm:f>
              <xm:sqref>F91</xm:sqref>
            </x14:sparkline>
          </x14:sparklines>
        </x14:sparklineGroup>
        <x14:sparklineGroup displayEmptyCellsAs="gap" xr2:uid="{00000000-0003-0000-0800-00005E000000}">
          <x14:colorSeries rgb="FF7B1314"/>
          <x14:colorNegative rgb="FFD00000"/>
          <x14:colorAxis rgb="FF000000"/>
          <x14:colorMarkers rgb="FFD00000"/>
          <x14:colorFirst rgb="FFD00000"/>
          <x14:colorLast rgb="FFD00000"/>
          <x14:colorHigh rgb="FFD00000"/>
          <x14:colorLow rgb="FFD00000"/>
          <x14:sparklines>
            <x14:sparkline>
              <xm:f>Inputs!G92:Q92</xm:f>
              <xm:sqref>F92</xm:sqref>
            </x14:sparkline>
          </x14:sparklines>
        </x14:sparklineGroup>
        <x14:sparklineGroup displayEmptyCellsAs="gap" xr2:uid="{00000000-0003-0000-0800-00005F000000}">
          <x14:colorSeries rgb="FF7B1314"/>
          <x14:colorNegative rgb="FFD00000"/>
          <x14:colorAxis rgb="FF000000"/>
          <x14:colorMarkers rgb="FFD00000"/>
          <x14:colorFirst rgb="FFD00000"/>
          <x14:colorLast rgb="FFD00000"/>
          <x14:colorHigh rgb="FFD00000"/>
          <x14:colorLow rgb="FFD00000"/>
          <x14:sparklines>
            <x14:sparkline>
              <xm:f>Inputs!G93:Q93</xm:f>
              <xm:sqref>F93</xm:sqref>
            </x14:sparkline>
          </x14:sparklines>
        </x14:sparklineGroup>
        <x14:sparklineGroup displayEmptyCellsAs="gap" xr2:uid="{00000000-0003-0000-0800-000060000000}">
          <x14:colorSeries rgb="FF7B1314"/>
          <x14:colorNegative rgb="FFD00000"/>
          <x14:colorAxis rgb="FF000000"/>
          <x14:colorMarkers rgb="FFD00000"/>
          <x14:colorFirst rgb="FFD00000"/>
          <x14:colorLast rgb="FFD00000"/>
          <x14:colorHigh rgb="FFD00000"/>
          <x14:colorLow rgb="FFD00000"/>
          <x14:sparklines>
            <x14:sparkline>
              <xm:f>Inputs!G95:Q95</xm:f>
              <xm:sqref>F95</xm:sqref>
            </x14:sparkline>
          </x14:sparklines>
        </x14:sparklineGroup>
      </x14:sparklineGroup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pageSetUpPr autoPageBreaks="0"/>
  </sheetPr>
  <dimension ref="B2:N26"/>
  <sheetViews>
    <sheetView showGridLines="0" zoomScaleNormal="100" workbookViewId="0">
      <selection activeCell="G26" sqref="G26"/>
    </sheetView>
  </sheetViews>
  <sheetFormatPr defaultColWidth="8.58203125" defaultRowHeight="14" x14ac:dyDescent="0.3"/>
  <cols>
    <col min="1" max="1" width="2.08203125" customWidth="1"/>
    <col min="2" max="2" width="13.5" bestFit="1" customWidth="1"/>
    <col min="6" max="6" width="8.08203125" customWidth="1"/>
    <col min="7" max="7" width="12.5" bestFit="1" customWidth="1"/>
    <col min="9" max="9" width="15.08203125" customWidth="1"/>
    <col min="10" max="10" width="7.5" customWidth="1"/>
    <col min="13" max="13" width="33" customWidth="1"/>
    <col min="14" max="14" width="14" customWidth="1"/>
    <col min="16" max="16" width="26.58203125" bestFit="1" customWidth="1"/>
    <col min="17" max="17" width="10.08203125" bestFit="1" customWidth="1"/>
    <col min="18" max="18" width="12.08203125" bestFit="1" customWidth="1"/>
  </cols>
  <sheetData>
    <row r="2" spans="2:14" s="37" customFormat="1" ht="20" x14ac:dyDescent="0.4">
      <c r="B2" s="40" t="s">
        <v>453</v>
      </c>
    </row>
    <row r="4" spans="2:14" x14ac:dyDescent="0.3">
      <c r="B4" t="s">
        <v>634</v>
      </c>
    </row>
    <row r="5" spans="2:14" x14ac:dyDescent="0.3">
      <c r="B5" t="s">
        <v>635</v>
      </c>
    </row>
    <row r="7" spans="2:14" x14ac:dyDescent="0.3">
      <c r="B7" s="2" t="s">
        <v>453</v>
      </c>
      <c r="C7" s="3"/>
      <c r="D7" s="3"/>
      <c r="E7" s="3"/>
      <c r="F7" s="3"/>
      <c r="G7" s="112"/>
      <c r="I7" s="2" t="s">
        <v>636</v>
      </c>
      <c r="J7" s="113" t="s">
        <v>103</v>
      </c>
      <c r="K7" s="113" t="s">
        <v>637</v>
      </c>
      <c r="M7" s="666" t="s">
        <v>198</v>
      </c>
      <c r="N7" s="667" t="s">
        <v>638</v>
      </c>
    </row>
    <row r="8" spans="2:14" ht="4.4000000000000004" customHeight="1" x14ac:dyDescent="0.3">
      <c r="B8" s="114"/>
      <c r="C8" s="115"/>
      <c r="D8" s="115"/>
      <c r="E8" s="115"/>
      <c r="F8" s="115"/>
      <c r="G8" s="116"/>
      <c r="I8" s="115"/>
      <c r="J8" s="117"/>
      <c r="K8" s="118"/>
      <c r="M8" s="668" t="s">
        <v>639</v>
      </c>
      <c r="N8" s="668"/>
    </row>
    <row r="9" spans="2:14" x14ac:dyDescent="0.3">
      <c r="B9" s="119" t="s">
        <v>640</v>
      </c>
      <c r="G9" s="120" cm="1">
        <f t="array" aca="1" ref="G9" ca="1">+_FV(DCF!R4,"Market cap",TRUE)/1000000</f>
        <v>8447.8520100000005</v>
      </c>
      <c r="I9" t="str">
        <f>Segments!B6</f>
        <v>United States</v>
      </c>
      <c r="J9" s="121">
        <f>Segments!D6</f>
        <v>0.24368415090064574</v>
      </c>
      <c r="K9" s="122">
        <v>4.3299999999999998E-2</v>
      </c>
      <c r="M9" s="119" t="str">
        <f>+Peers!B8</f>
        <v>IONQ INC.</v>
      </c>
      <c r="N9" s="670">
        <f ca="1">+Peers!E75</f>
        <v>2.4885882852215802</v>
      </c>
    </row>
    <row r="10" spans="2:14" x14ac:dyDescent="0.3">
      <c r="B10" t="s">
        <v>641</v>
      </c>
      <c r="G10" s="17">
        <f ca="1">IFERROR(G9/G23,"")</f>
        <v>0.9954777322230195</v>
      </c>
      <c r="I10" t="str">
        <f>Segments!B7</f>
        <v>Germany</v>
      </c>
      <c r="J10" s="121">
        <f>Segments!D7</f>
        <v>0.21456893621842074</v>
      </c>
      <c r="K10" s="122">
        <v>4.3299999999999998E-2</v>
      </c>
      <c r="M10" s="119" t="str">
        <f>+Peers!B9</f>
        <v>RIGETTI COMPUTING INC.</v>
      </c>
      <c r="N10" s="670">
        <f ca="1">+Peers!F75</f>
        <v>1.4785188287083884</v>
      </c>
    </row>
    <row r="11" spans="2:14" x14ac:dyDescent="0.3">
      <c r="B11" t="s">
        <v>642</v>
      </c>
      <c r="G11" s="32">
        <f>IFERROR(G12+G14*G15,"")</f>
        <v>7.3209157131528257E-2</v>
      </c>
      <c r="I11" t="str">
        <f>Segments!B8</f>
        <v>Japan</v>
      </c>
      <c r="J11" s="121">
        <f>Segments!D8</f>
        <v>0.12835617990257164</v>
      </c>
      <c r="K11" s="122">
        <v>5.2699999999999997E-2</v>
      </c>
      <c r="M11" s="119" t="str">
        <f>+Peers!B10</f>
        <v>QUANTUM COMPUTING INC.</v>
      </c>
      <c r="N11" s="670">
        <f ca="1">+Peers!G75</f>
        <v>3.8235113323745256</v>
      </c>
    </row>
    <row r="12" spans="2:14" x14ac:dyDescent="0.3">
      <c r="B12" t="s">
        <v>643</v>
      </c>
      <c r="G12" s="123">
        <v>3.2599999999999997E-2</v>
      </c>
      <c r="I12" t="str">
        <f>Segments!B9</f>
        <v>Canada</v>
      </c>
      <c r="J12" s="121">
        <f>Segments!D9</f>
        <v>0.12473093916392886</v>
      </c>
      <c r="K12" s="122">
        <v>4.3299999999999998E-2</v>
      </c>
      <c r="M12" s="119" t="str">
        <f>+Peers!B11</f>
        <v/>
      </c>
      <c r="N12" s="670" t="str">
        <f>+Peers!H75</f>
        <v/>
      </c>
    </row>
    <row r="13" spans="2:14" x14ac:dyDescent="0.3">
      <c r="B13" t="s">
        <v>644</v>
      </c>
      <c r="G13" s="124">
        <f ca="1">+N19</f>
        <v>2.5968728154348315</v>
      </c>
      <c r="J13" s="121"/>
      <c r="K13" s="122"/>
      <c r="M13" s="119" t="str">
        <f>+Peers!B12</f>
        <v/>
      </c>
      <c r="N13" s="670" t="str">
        <f>+Peers!I75</f>
        <v/>
      </c>
    </row>
    <row r="14" spans="2:14" x14ac:dyDescent="0.3">
      <c r="B14" t="s">
        <v>32</v>
      </c>
      <c r="G14" s="725">
        <f>0.86</f>
        <v>0.86</v>
      </c>
      <c r="I14" t="s">
        <v>160</v>
      </c>
      <c r="J14" s="32">
        <f>1-SUM(J9:J13)</f>
        <v>0.28865979381443307</v>
      </c>
      <c r="K14" s="32">
        <f>MAX(K9:K13)</f>
        <v>5.2699999999999997E-2</v>
      </c>
      <c r="M14" s="119" t="str">
        <f>+Peers!B13</f>
        <v/>
      </c>
      <c r="N14" s="670" t="str">
        <f>+Peers!J75</f>
        <v/>
      </c>
    </row>
    <row r="15" spans="2:14" x14ac:dyDescent="0.3">
      <c r="B15" t="s">
        <v>645</v>
      </c>
      <c r="G15" s="372">
        <f>SUMPRODUCT(J9:J14,K9:K14)</f>
        <v>4.7219950152939845E-2</v>
      </c>
      <c r="J15" s="32"/>
      <c r="K15" s="32"/>
      <c r="M15" s="119" t="str">
        <f>+Peers!B14</f>
        <v/>
      </c>
      <c r="N15" s="670" t="str">
        <f>+Peers!K75</f>
        <v/>
      </c>
    </row>
    <row r="16" spans="2:14" x14ac:dyDescent="0.3">
      <c r="B16" s="1" t="s">
        <v>642</v>
      </c>
      <c r="G16" s="32">
        <f>IFERROR(+G12+G14*G15,"")</f>
        <v>7.3209157131528257E-2</v>
      </c>
      <c r="J16" s="32"/>
      <c r="K16" s="32"/>
      <c r="M16" s="119" t="str">
        <f>+Peers!B15</f>
        <v/>
      </c>
      <c r="N16" s="670" t="str">
        <f>+Peers!L75</f>
        <v/>
      </c>
    </row>
    <row r="17" spans="2:14" x14ac:dyDescent="0.3">
      <c r="M17" s="119" t="str">
        <f>+Peers!B16</f>
        <v/>
      </c>
      <c r="N17" s="670" t="str">
        <f>+Peers!M75</f>
        <v/>
      </c>
    </row>
    <row r="18" spans="2:14" x14ac:dyDescent="0.3">
      <c r="B18" s="119" t="s">
        <v>646</v>
      </c>
      <c r="G18" s="125">
        <f>Inputs!Q113</f>
        <v>38.377000000000002</v>
      </c>
      <c r="M18" s="119" t="str">
        <f>+Peers!B17</f>
        <v/>
      </c>
      <c r="N18" s="670" t="str">
        <f>+Peers!N75</f>
        <v/>
      </c>
    </row>
    <row r="19" spans="2:14" x14ac:dyDescent="0.3">
      <c r="B19" t="s">
        <v>499</v>
      </c>
      <c r="G19" s="17">
        <f ca="1">IFERROR(G18/G23,"")</f>
        <v>4.5222677769804842E-3</v>
      </c>
      <c r="M19" s="669" t="s">
        <v>203</v>
      </c>
      <c r="N19" s="671">
        <f ca="1">IFERROR(+AVERAGEIF(N9:N18,"&gt;0"),"")</f>
        <v>2.5968728154348315</v>
      </c>
    </row>
    <row r="20" spans="2:14" x14ac:dyDescent="0.3">
      <c r="B20" t="s">
        <v>647</v>
      </c>
      <c r="G20" s="123">
        <v>5.0110000000000002E-2</v>
      </c>
    </row>
    <row r="21" spans="2:14" x14ac:dyDescent="0.3">
      <c r="B21" t="s">
        <v>648</v>
      </c>
      <c r="G21" s="123">
        <f>+DCF!H77</f>
        <v>0</v>
      </c>
    </row>
    <row r="23" spans="2:14" x14ac:dyDescent="0.3">
      <c r="B23" t="s">
        <v>111</v>
      </c>
      <c r="G23" s="27">
        <f ca="1">+G9+G18</f>
        <v>8486.2290100000009</v>
      </c>
    </row>
    <row r="25" spans="2:14" x14ac:dyDescent="0.3">
      <c r="B25" s="1" t="s">
        <v>453</v>
      </c>
      <c r="G25" s="126">
        <f ca="1">IFERROR(G10*G11+G19*G20,"")</f>
        <v>7.3104696557556942E-2</v>
      </c>
    </row>
    <row r="26" spans="2:14" x14ac:dyDescent="0.3">
      <c r="B26" s="1" t="s">
        <v>457</v>
      </c>
      <c r="G26" s="928">
        <f ca="1">IFERROR(G10*G11+G19*G20*(1-G21),"")</f>
        <v>7.3104696557556942E-2</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8" tint="0.39997558519241921"/>
  </sheetPr>
  <dimension ref="B1:T76"/>
  <sheetViews>
    <sheetView showGridLines="0" topLeftCell="C1" zoomScaleNormal="58" workbookViewId="0">
      <selection activeCell="Q9" sqref="Q9"/>
    </sheetView>
  </sheetViews>
  <sheetFormatPr defaultColWidth="8.58203125" defaultRowHeight="14" x14ac:dyDescent="0.3"/>
  <cols>
    <col min="1" max="1" width="1.58203125" customWidth="1"/>
    <col min="2" max="2" width="15.58203125" style="8" customWidth="1"/>
    <col min="4" max="4" width="16.08203125" customWidth="1"/>
    <col min="5" max="13" width="13.08203125" customWidth="1"/>
    <col min="14" max="17" width="12.58203125" style="26" customWidth="1"/>
    <col min="18" max="18" width="12.58203125" customWidth="1"/>
  </cols>
  <sheetData>
    <row r="1" spans="2:19" x14ac:dyDescent="0.3">
      <c r="R1" s="26"/>
    </row>
    <row r="2" spans="2:19" s="231" customFormat="1" ht="20.149999999999999" customHeight="1" x14ac:dyDescent="0.4">
      <c r="B2" s="230" t="s">
        <v>649</v>
      </c>
      <c r="C2" s="467"/>
      <c r="D2" s="467"/>
      <c r="E2" s="467"/>
      <c r="F2" s="467"/>
      <c r="G2" s="467"/>
      <c r="H2" s="467"/>
      <c r="I2" s="467"/>
      <c r="J2" s="467"/>
      <c r="K2" s="467"/>
      <c r="L2" s="467"/>
      <c r="M2" s="467"/>
      <c r="N2" s="468"/>
      <c r="O2" s="468"/>
      <c r="P2" s="468"/>
      <c r="Q2" s="232"/>
      <c r="R2" s="232"/>
      <c r="S2" s="467"/>
    </row>
    <row r="3" spans="2:19" x14ac:dyDescent="0.3">
      <c r="R3" s="26"/>
    </row>
    <row r="4" spans="2:19" ht="15.5" x14ac:dyDescent="0.35">
      <c r="B4" s="7" t="s">
        <v>650</v>
      </c>
      <c r="C4" s="53"/>
      <c r="D4" s="55"/>
      <c r="E4" s="55"/>
      <c r="F4" s="349">
        <v>2014</v>
      </c>
      <c r="G4" s="349">
        <f t="shared" ref="G4:J4" si="0">+F4+1</f>
        <v>2015</v>
      </c>
      <c r="H4" s="349">
        <f t="shared" si="0"/>
        <v>2016</v>
      </c>
      <c r="I4" s="349">
        <f t="shared" si="0"/>
        <v>2017</v>
      </c>
      <c r="J4" s="349">
        <f t="shared" si="0"/>
        <v>2018</v>
      </c>
      <c r="K4" s="349">
        <f t="shared" ref="K4" si="1">+J4+1</f>
        <v>2019</v>
      </c>
      <c r="L4" s="349">
        <f t="shared" ref="L4" si="2">+K4+1</f>
        <v>2020</v>
      </c>
      <c r="M4" s="349">
        <f t="shared" ref="M4" si="3">+L4+1</f>
        <v>2021</v>
      </c>
      <c r="N4" s="349">
        <v>2022</v>
      </c>
      <c r="O4" s="349">
        <f t="shared" ref="O4" si="4">+N4+1</f>
        <v>2023</v>
      </c>
      <c r="P4" s="350">
        <f>+O4+1</f>
        <v>2024</v>
      </c>
      <c r="Q4" s="348">
        <f>+P4+1</f>
        <v>2025</v>
      </c>
      <c r="R4" s="348">
        <f>+Q4+1</f>
        <v>2026</v>
      </c>
    </row>
    <row r="5" spans="2:19" ht="4.4000000000000004" customHeight="1" x14ac:dyDescent="0.35">
      <c r="B5" s="233"/>
      <c r="C5" s="50"/>
      <c r="D5" s="57"/>
      <c r="E5" s="57"/>
      <c r="F5" s="57"/>
      <c r="G5" s="57"/>
      <c r="H5" s="57"/>
      <c r="I5" s="57"/>
      <c r="J5" s="57"/>
      <c r="K5" s="57"/>
      <c r="L5" s="57"/>
      <c r="M5" s="57"/>
      <c r="N5" s="220"/>
      <c r="O5" s="220"/>
      <c r="P5" s="330"/>
      <c r="Q5" s="220"/>
      <c r="R5" s="220"/>
    </row>
    <row r="6" spans="2:19" ht="15.5" x14ac:dyDescent="0.35">
      <c r="B6" s="15" t="s">
        <v>9</v>
      </c>
      <c r="F6" s="16" t="str">
        <f>IFERROR(_xlfn.XLOOKUP("Enterprise Value",Inputs!$B:$B,Inputs!G:G)/_xlfn.XLOOKUP("Revenue (Sales)",Inputs!$B:$B,Inputs!G:G),"")</f>
        <v/>
      </c>
      <c r="G6" s="16" t="str">
        <f>IFERROR(_xlfn.XLOOKUP("Enterprise Value",Inputs!$B:$B,Inputs!H:H)/_xlfn.XLOOKUP("Revenue (Sales)",Inputs!$B:$B,Inputs!H:H),"")</f>
        <v/>
      </c>
      <c r="H6" s="16" t="str">
        <f>IFERROR(_xlfn.XLOOKUP("Enterprise Value",Inputs!$B:$B,Inputs!I:I)/_xlfn.XLOOKUP("Revenue (Sales)",Inputs!$B:$B,Inputs!I:I),"")</f>
        <v/>
      </c>
      <c r="I6" s="16" t="str">
        <f>IFERROR(_xlfn.XLOOKUP("Enterprise Value",Inputs!$B:$B,Inputs!J:J)/_xlfn.XLOOKUP("Revenue (Sales)",Inputs!$B:$B,Inputs!J:J),"")</f>
        <v/>
      </c>
      <c r="J6" s="16" t="str">
        <f>IFERROR(_xlfn.XLOOKUP("Enterprise Value",Inputs!$B:$B,Inputs!K:K)/_xlfn.XLOOKUP("Revenue (Sales)",Inputs!$B:$B,Inputs!K:K),"")</f>
        <v/>
      </c>
      <c r="K6" s="16" t="str">
        <f>IFERROR(_xlfn.XLOOKUP("Enterprise Value",Inputs!$B:$B,Inputs!L:L)/_xlfn.XLOOKUP("Revenue (Sales)",Inputs!$B:$B,Inputs!L:L),"")</f>
        <v/>
      </c>
      <c r="L6" s="16" t="str">
        <f>IFERROR(_xlfn.XLOOKUP("Enterprise Value",Inputs!$B:$B,Inputs!M:M)/_xlfn.XLOOKUP("Revenue (Sales)",Inputs!$B:$B,Inputs!M:M),"")</f>
        <v/>
      </c>
      <c r="M6" s="16">
        <f ca="1">IFERROR(_xlfn.XLOOKUP("Enterprise Value",Inputs!$B:$B,Inputs!N:N)/_xlfn.XLOOKUP("Revenue (Sales)",Inputs!$B:$B,Inputs!N:N),"")</f>
        <v>284.92376174550088</v>
      </c>
      <c r="N6" s="16">
        <f ca="1">IFERROR(_xlfn.XLOOKUP("Enterprise Value",Inputs!$B:$B,Inputs!O:O)/_xlfn.XLOOKUP("Revenue (Sales)",Inputs!$B:$B,Inputs!O:O),"")</f>
        <v>24.922219433988566</v>
      </c>
      <c r="O6" s="16">
        <f ca="1">IFERROR(_xlfn.XLOOKUP("Enterprise Value",Inputs!$B:$B,Inputs!P:P)/_xlfn.XLOOKUP("Revenue (Sales)",Inputs!$B:$B,Inputs!P:P),"")</f>
        <v>10.296131468371774</v>
      </c>
      <c r="P6" s="328">
        <f ca="1">IFERROR(_xlfn.XLOOKUP("Enterprise Value",Inputs!$B:$B,Inputs!Q:Q)/_xlfn.XLOOKUP("Revenue (Sales)",Inputs!$B:$B,Inputs!Q:Q),"")</f>
        <v>167.01944035346096</v>
      </c>
      <c r="Q6" s="335">
        <f ca="1">IFERROR(_xlfn.XLOOKUP("Enterprise Value",DCF!$B:$B,DCF!R:R)/_xlfn.XLOOKUP("Revenue (Sales)",DCF!$B:$B,DCF!H:H),"")</f>
        <v>816.67187252061444</v>
      </c>
      <c r="R6" s="335">
        <f ca="1">IFERROR(_xlfn.XLOOKUP("Enterprise Value",DCF!$B:$B,DCF!S:S)/_xlfn.XLOOKUP("Revenue (Sales)",DCF!$B:$B,DCF!I:I),"")</f>
        <v>1811.9274014407144</v>
      </c>
    </row>
    <row r="7" spans="2:19" ht="15.5" x14ac:dyDescent="0.35">
      <c r="B7" s="18" t="s">
        <v>11</v>
      </c>
      <c r="F7" s="16" t="str">
        <f>IFERROR(_xlfn.XLOOKUP("Market Capitalization",Inputs!$B:$B,Inputs!G:G)/_xlfn.XLOOKUP("Revenue (Sales)",Inputs!$B:$B,Inputs!G:G),"")</f>
        <v/>
      </c>
      <c r="G7" s="16" t="str">
        <f>IFERROR(_xlfn.XLOOKUP("Market Capitalization",Inputs!$B:$B,Inputs!H:H)/_xlfn.XLOOKUP("Revenue (Sales)",Inputs!$B:$B,Inputs!H:H),"")</f>
        <v/>
      </c>
      <c r="H7" s="16" t="str">
        <f>IFERROR(_xlfn.XLOOKUP("Market Capitalization",Inputs!$B:$B,Inputs!I:I)/_xlfn.XLOOKUP("Revenue (Sales)",Inputs!$B:$B,Inputs!I:I),"")</f>
        <v/>
      </c>
      <c r="I7" s="16" t="str">
        <f>IFERROR(_xlfn.XLOOKUP("Market Capitalization",Inputs!$B:$B,Inputs!J:J)/_xlfn.XLOOKUP("Revenue (Sales)",Inputs!$B:$B,Inputs!J:J),"")</f>
        <v/>
      </c>
      <c r="J7" s="16" t="str">
        <f>IFERROR(_xlfn.XLOOKUP("Market Capitalization",Inputs!$B:$B,Inputs!K:K)/_xlfn.XLOOKUP("Revenue (Sales)",Inputs!$B:$B,Inputs!K:K),"")</f>
        <v/>
      </c>
      <c r="K7" s="16" t="str">
        <f>IFERROR(_xlfn.XLOOKUP("Market Capitalization",Inputs!$B:$B,Inputs!L:L)/_xlfn.XLOOKUP("Revenue (Sales)",Inputs!$B:$B,Inputs!L:L),"")</f>
        <v/>
      </c>
      <c r="L7" s="16" t="str">
        <f>IFERROR(_xlfn.XLOOKUP("Market Capitalization",Inputs!$B:$B,Inputs!M:M)/_xlfn.XLOOKUP("Revenue (Sales)",Inputs!$B:$B,Inputs!M:M),"")</f>
        <v/>
      </c>
      <c r="M7" s="16">
        <f ca="1">IFERROR(_xlfn.XLOOKUP("Market Capitalization",Inputs!$B:$B,Inputs!N:N)/_xlfn.XLOOKUP("Revenue (Sales)",Inputs!$B:$B,Inputs!N:N),"")</f>
        <v>285.05212613473486</v>
      </c>
      <c r="N7" s="16">
        <f ca="1">IFERROR(_xlfn.XLOOKUP("Market Capitalization",Inputs!$B:$B,Inputs!O:O)/_xlfn.XLOOKUP("Revenue (Sales)",Inputs!$B:$B,Inputs!O:O),"")</f>
        <v>24.353280356893908</v>
      </c>
      <c r="O7" s="16">
        <f ca="1">IFERROR(_xlfn.XLOOKUP("Market Capitalization",Inputs!$B:$B,Inputs!P:P)/_xlfn.XLOOKUP("Revenue (Sales)",Inputs!$B:$B,Inputs!P:P),"")</f>
        <v>13.867152249372003</v>
      </c>
      <c r="P7" s="328">
        <f ca="1">IFERROR(_xlfn.XLOOKUP("Market Capitalization",Inputs!$B:$B,Inputs!Q:Q)/_xlfn.XLOOKUP("Revenue (Sales)",Inputs!$B:$B,Inputs!Q:Q),"")</f>
        <v>182.83489294210943</v>
      </c>
      <c r="Q7" s="335">
        <f>IFERROR(_xlfn.XLOOKUP("Equity Value",DCF!$B:$B,DCF!R:R)/_xlfn.XLOOKUP("Revenue (Sales)",DCF!$B:$B,DCF!H:H),"")</f>
        <v>0</v>
      </c>
      <c r="R7" s="335">
        <f>IFERROR(_xlfn.XLOOKUP("Equity Value",DCF!$B:$B,DCF!S:S)/_xlfn.XLOOKUP("Revenue (Sales)",DCF!$B:$B,DCF!I:I),"")</f>
        <v>0</v>
      </c>
    </row>
    <row r="8" spans="2:19" ht="15.5" x14ac:dyDescent="0.35">
      <c r="B8" s="234" t="s">
        <v>13</v>
      </c>
      <c r="F8" s="16" t="str">
        <f>IFERROR(_xlfn.XLOOKUP("Enterprise Value",Inputs!$B:$B,Inputs!G:G)/_xlfn.XLOOKUP("EBITDA",Inputs!$B:$B,Inputs!G:G),"")</f>
        <v/>
      </c>
      <c r="G8" s="16" t="str">
        <f>IFERROR(_xlfn.XLOOKUP("Enterprise Value",Inputs!$B:$B,Inputs!H:H)/_xlfn.XLOOKUP("EBITDA",Inputs!$B:$B,Inputs!H:H),"")</f>
        <v/>
      </c>
      <c r="H8" s="16" t="str">
        <f>IFERROR(_xlfn.XLOOKUP("Enterprise Value",Inputs!$B:$B,Inputs!I:I)/_xlfn.XLOOKUP("EBITDA",Inputs!$B:$B,Inputs!I:I),"")</f>
        <v/>
      </c>
      <c r="I8" s="16" t="str">
        <f>IFERROR(_xlfn.XLOOKUP("Enterprise Value",Inputs!$B:$B,Inputs!J:J)/_xlfn.XLOOKUP("EBITDA",Inputs!$B:$B,Inputs!J:J),"")</f>
        <v/>
      </c>
      <c r="J8" s="16" t="str">
        <f>IFERROR(_xlfn.XLOOKUP("Enterprise Value",Inputs!$B:$B,Inputs!K:K)/_xlfn.XLOOKUP("EBITDA",Inputs!$B:$B,Inputs!K:K),"")</f>
        <v/>
      </c>
      <c r="K8" s="16" t="str">
        <f>IFERROR(_xlfn.XLOOKUP("Enterprise Value",Inputs!$B:$B,Inputs!L:L)/_xlfn.XLOOKUP("EBITDA",Inputs!$B:$B,Inputs!L:L),"")</f>
        <v/>
      </c>
      <c r="L8" s="16" t="str">
        <f>IFERROR(_xlfn.XLOOKUP("Enterprise Value",Inputs!$B:$B,Inputs!M:M)/_xlfn.XLOOKUP("EBITDA",Inputs!$B:$B,Inputs!M:M),"")</f>
        <v/>
      </c>
      <c r="M8" s="16">
        <f ca="1">IFERROR(_xlfn.XLOOKUP("Enterprise Value",Inputs!$B:$B,Inputs!N:N)/_xlfn.XLOOKUP("EBITDA",Inputs!$B:$B,Inputs!N:N),"")</f>
        <v>-49.222371099983498</v>
      </c>
      <c r="N8" s="16">
        <f ca="1">IFERROR(_xlfn.XLOOKUP("Enterprise Value",Inputs!$B:$B,Inputs!O:O)/_xlfn.XLOOKUP("EBITDA",Inputs!$B:$B,Inputs!O:O),"")</f>
        <v>-3.129401838074398</v>
      </c>
      <c r="O8" s="16">
        <f ca="1">IFERROR(_xlfn.XLOOKUP("Enterprise Value",Inputs!$B:$B,Inputs!P:P)/_xlfn.XLOOKUP("EBITDA",Inputs!$B:$B,Inputs!P:P),"")</f>
        <v>-1.1955705739628493</v>
      </c>
      <c r="P8" s="328">
        <f ca="1">IFERROR(_xlfn.XLOOKUP("Enterprise Value",Inputs!$B:$B,Inputs!Q:Q)/_xlfn.XLOOKUP("EBITDA",Inputs!$B:$B,Inputs!Q:Q),"")</f>
        <v>-21.275732386642421</v>
      </c>
      <c r="Q8" s="335">
        <f ca="1">IFERROR(_xlfn.XLOOKUP("Enterprise Value",DCF!$B:$B,DCF!R:R)/_xlfn.XLOOKUP("EBITDA",DCF!$B:$B,DCF!H:H),"")</f>
        <v>-139.41591823021881</v>
      </c>
      <c r="R8" s="335">
        <f ca="1">IFERROR(_xlfn.XLOOKUP("Enterprise Value",DCF!$B:$B,DCF!S:S)/_xlfn.XLOOKUP("EBITDA",DCF!$B:$B,DCF!I:I),"")</f>
        <v>-390.86999991870312</v>
      </c>
    </row>
    <row r="9" spans="2:19" ht="15.5" x14ac:dyDescent="0.35">
      <c r="B9" s="234" t="s">
        <v>15</v>
      </c>
      <c r="F9" s="16" t="str">
        <f>IFERROR(_xlfn.XLOOKUP("Enterprise Value",Inputs!$B:$B,Inputs!G:G)/_xlfn.XLOOKUP("Operating Income (EBIT)",Inputs!$B:$B,Inputs!G:G),"")</f>
        <v/>
      </c>
      <c r="G9" s="16" t="str">
        <f>IFERROR(_xlfn.XLOOKUP("Enterprise Value",Inputs!$B:$B,Inputs!H:H)/_xlfn.XLOOKUP("Operating Income (EBIT)",Inputs!$B:$B,Inputs!H:H),"")</f>
        <v/>
      </c>
      <c r="H9" s="16" t="str">
        <f>IFERROR(_xlfn.XLOOKUP("Enterprise Value",Inputs!$B:$B,Inputs!I:I)/_xlfn.XLOOKUP("Operating Income (EBIT)",Inputs!$B:$B,Inputs!I:I),"")</f>
        <v/>
      </c>
      <c r="I9" s="16" t="str">
        <f>IFERROR(_xlfn.XLOOKUP("Enterprise Value",Inputs!$B:$B,Inputs!J:J)/_xlfn.XLOOKUP("Operating Income (EBIT)",Inputs!$B:$B,Inputs!J:J),"")</f>
        <v/>
      </c>
      <c r="J9" s="16" t="str">
        <f>IFERROR(_xlfn.XLOOKUP("Enterprise Value",Inputs!$B:$B,Inputs!K:K)/_xlfn.XLOOKUP("Operating Income (EBIT)",Inputs!$B:$B,Inputs!K:K),"")</f>
        <v/>
      </c>
      <c r="K9" s="16" t="str">
        <f>IFERROR(_xlfn.XLOOKUP("Enterprise Value",Inputs!$B:$B,Inputs!L:L)/_xlfn.XLOOKUP("Operating Income (EBIT)",Inputs!$B:$B,Inputs!L:L),"")</f>
        <v/>
      </c>
      <c r="L9" s="16" t="str">
        <f>IFERROR(_xlfn.XLOOKUP("Enterprise Value",Inputs!$B:$B,Inputs!M:M)/_xlfn.XLOOKUP("Operating Income (EBIT)",Inputs!$B:$B,Inputs!M:M),"")</f>
        <v/>
      </c>
      <c r="M9" s="16">
        <f ca="1">IFERROR(_xlfn.XLOOKUP("Enterprise Value",Inputs!$B:$B,Inputs!N:N)/_xlfn.XLOOKUP("Operating Income (EBIT)",Inputs!$B:$B,Inputs!N:N),"")</f>
        <v>-45.933970935606446</v>
      </c>
      <c r="N9" s="16">
        <f ca="1">IFERROR(_xlfn.XLOOKUP("Enterprise Value",Inputs!$B:$B,Inputs!O:O)/_xlfn.XLOOKUP("Operating Income (EBIT)",Inputs!$B:$B,Inputs!O:O),"")</f>
        <v>22.345884999999999</v>
      </c>
      <c r="O9" s="16">
        <f ca="1">IFERROR(_xlfn.XLOOKUP("Enterprise Value",Inputs!$B:$B,Inputs!P:P)/_xlfn.XLOOKUP("Operating Income (EBIT)",Inputs!$B:$B,Inputs!P:P),"")</f>
        <v>-1.1670228218667493</v>
      </c>
      <c r="P9" s="328">
        <f ca="1">IFERROR(_xlfn.XLOOKUP("Enterprise Value",Inputs!$B:$B,Inputs!Q:Q)/_xlfn.XLOOKUP("Operating Income (EBIT)",Inputs!$B:$B,Inputs!Q:Q),"")</f>
        <v>-20.255002335613987</v>
      </c>
      <c r="Q9" s="335">
        <f ca="1">IFERROR(_xlfn.XLOOKUP("Enterprise Value",DCF!$B:$B,DCF!R:R)/_xlfn.XLOOKUP("Operating Income (EBIT)",DCF!$B:$B,DCF!H:H),"")</f>
        <v>-139.41591823021881</v>
      </c>
      <c r="R9" s="335">
        <f ca="1">IFERROR(_xlfn.XLOOKUP("Enterprise Value",DCF!$B:$B,DCF!S:S)/_xlfn.XLOOKUP("Operating Income (EBIT)",DCF!$B:$B,DCF!I:I),"")</f>
        <v>-390.86999991870312</v>
      </c>
    </row>
    <row r="10" spans="2:19" ht="15.5" x14ac:dyDescent="0.35">
      <c r="B10" s="18" t="s">
        <v>16</v>
      </c>
      <c r="F10" s="16" t="str">
        <f>IFERROR(_xlfn.XLOOKUP("Market Capitalization",Inputs!$B:$B,Inputs!G:G)/_xlfn.XLOOKUP("Net Income",Inputs!$B:$B,Inputs!G:G),"")</f>
        <v/>
      </c>
      <c r="G10" s="16" t="str">
        <f>IFERROR(_xlfn.XLOOKUP("Market Capitalization",Inputs!$B:$B,Inputs!H:H)/_xlfn.XLOOKUP("Net Income",Inputs!$B:$B,Inputs!H:H),"")</f>
        <v/>
      </c>
      <c r="H10" s="16" t="str">
        <f>IFERROR(_xlfn.XLOOKUP("Market Capitalization",Inputs!$B:$B,Inputs!I:I)/_xlfn.XLOOKUP("Net Income",Inputs!$B:$B,Inputs!I:I),"")</f>
        <v/>
      </c>
      <c r="I10" s="16" t="str">
        <f>IFERROR(_xlfn.XLOOKUP("Market Capitalization",Inputs!$B:$B,Inputs!J:J)/_xlfn.XLOOKUP("Net Income",Inputs!$B:$B,Inputs!J:J),"")</f>
        <v/>
      </c>
      <c r="J10" s="16" t="str">
        <f>IFERROR(_xlfn.XLOOKUP("Market Capitalization",Inputs!$B:$B,Inputs!K:K)/_xlfn.XLOOKUP("Net Income",Inputs!$B:$B,Inputs!K:K),"")</f>
        <v/>
      </c>
      <c r="K10" s="16" t="str">
        <f>IFERROR(_xlfn.XLOOKUP("Market Capitalization",Inputs!$B:$B,Inputs!L:L)/_xlfn.XLOOKUP("Net Income",Inputs!$B:$B,Inputs!L:L),"")</f>
        <v/>
      </c>
      <c r="L10" s="16" t="str">
        <f>IFERROR(_xlfn.XLOOKUP("Market Capitalization",Inputs!$B:$B,Inputs!M:M)/_xlfn.XLOOKUP("Net Income",Inputs!$B:$B,Inputs!M:M),"")</f>
        <v/>
      </c>
      <c r="M10" s="16">
        <f ca="1">IFERROR(_xlfn.XLOOKUP("Market Capitalization",Inputs!$B:$B,Inputs!N:N)/_xlfn.XLOOKUP("Net Income",Inputs!$B:$B,Inputs!N:N),"")</f>
        <v>-56.739334284355678</v>
      </c>
      <c r="N10" s="16">
        <f ca="1">IFERROR(_xlfn.XLOOKUP("Market Capitalization",Inputs!$B:$B,Inputs!O:O)/_xlfn.XLOOKUP("Net Income",Inputs!$B:$B,Inputs!O:O),"")</f>
        <v>-3.2528784775241149</v>
      </c>
      <c r="O10" s="16">
        <f ca="1">IFERROR(_xlfn.XLOOKUP("Market Capitalization",Inputs!$B:$B,Inputs!P:P)/_xlfn.XLOOKUP("Net Income",Inputs!$B:$B,Inputs!P:P),"")</f>
        <v>-1.4682768470047753</v>
      </c>
      <c r="P10" s="328">
        <f ca="1">IFERROR(_xlfn.XLOOKUP("Market Capitalization",Inputs!$B:$B,Inputs!Q:Q)/_xlfn.XLOOKUP("Net Income",Inputs!$B:$B,Inputs!Q:Q),"")</f>
        <v>-11.216950354117001</v>
      </c>
      <c r="Q10" s="335">
        <f>IFERROR(_xlfn.XLOOKUP("Equity Value",DCF!$B:$B,DCF!R:R)/_xlfn.XLOOKUP("Net Income",DCF!$B:$B,DCF!H:H),"")</f>
        <v>0</v>
      </c>
      <c r="R10" s="335">
        <f>IFERROR(_xlfn.XLOOKUP("Equity Value",DCF!$B:$B,DCF!S:S)/_xlfn.XLOOKUP("Net Income",DCF!$B:$B,DCF!I:I),"")</f>
        <v>0</v>
      </c>
    </row>
    <row r="11" spans="2:19" ht="15.5" x14ac:dyDescent="0.35">
      <c r="B11" s="234" t="s">
        <v>17</v>
      </c>
      <c r="F11" s="16" t="str">
        <f>IFERROR(_xlfn.XLOOKUP("Market Capitalization",Inputs!$B:$B,Inputs!G:G)/_xlfn.XLOOKUP("Shareholder's Equity",Inputs!$B:$B,Inputs!G:G),"")</f>
        <v/>
      </c>
      <c r="G11" s="16" t="str">
        <f>IFERROR(_xlfn.XLOOKUP("Market Capitalization",Inputs!$B:$B,Inputs!H:H)/_xlfn.XLOOKUP("Shareholder's Equity",Inputs!$B:$B,Inputs!H:H),"")</f>
        <v/>
      </c>
      <c r="H11" s="16" t="str">
        <f>IFERROR(_xlfn.XLOOKUP("Market Capitalization",Inputs!$B:$B,Inputs!I:I)/_xlfn.XLOOKUP("Shareholder's Equity",Inputs!$B:$B,Inputs!I:I),"")</f>
        <v/>
      </c>
      <c r="I11" s="16" t="str">
        <f>IFERROR(_xlfn.XLOOKUP("Market Capitalization",Inputs!$B:$B,Inputs!J:J)/_xlfn.XLOOKUP("Shareholder's Equity",Inputs!$B:$B,Inputs!J:J),"")</f>
        <v/>
      </c>
      <c r="J11" s="16" t="str">
        <f>IFERROR(_xlfn.XLOOKUP("Market Capitalization",Inputs!$B:$B,Inputs!K:K)/_xlfn.XLOOKUP("Shareholder's Equity",Inputs!$B:$B,Inputs!K:K),"")</f>
        <v/>
      </c>
      <c r="K11" s="16" t="str">
        <f>IFERROR(_xlfn.XLOOKUP("Market Capitalization",Inputs!$B:$B,Inputs!L:L)/_xlfn.XLOOKUP("Shareholder's Equity",Inputs!$B:$B,Inputs!L:L),"")</f>
        <v/>
      </c>
      <c r="L11" s="16" t="str">
        <f>IFERROR(_xlfn.XLOOKUP("Market Capitalization",Inputs!$B:$B,Inputs!M:M)/_xlfn.XLOOKUP("Shareholder's Equity",Inputs!$B:$B,Inputs!M:M),"")</f>
        <v/>
      </c>
      <c r="M11" s="16">
        <f ca="1">IFERROR(_xlfn.XLOOKUP("Market Capitalization",Inputs!$B:$B,Inputs!N:N)/_xlfn.XLOOKUP("Shareholder's Equity",Inputs!$B:$B,Inputs!N:N),"")</f>
        <v>592.66301324503308</v>
      </c>
      <c r="N11" s="16">
        <f ca="1">IFERROR(_xlfn.XLOOKUP("Market Capitalization",Inputs!$B:$B,Inputs!O:O)/_xlfn.XLOOKUP("Shareholder's Equity",Inputs!$B:$B,Inputs!O:O),"")</f>
        <v>-5.9289984047788753</v>
      </c>
      <c r="O11" s="16">
        <f ca="1">IFERROR(_xlfn.XLOOKUP("Market Capitalization",Inputs!$B:$B,Inputs!P:P)/_xlfn.XLOOKUP("Shareholder's Equity",Inputs!$B:$B,Inputs!P:P),"")</f>
        <v>-4.960929676075323</v>
      </c>
      <c r="P11" s="328">
        <f ca="1">IFERROR(_xlfn.XLOOKUP("Market Capitalization",Inputs!$B:$B,Inputs!Q:Q)/_xlfn.XLOOKUP("Shareholder's Equity",Inputs!$B:$B,Inputs!Q:Q),"")</f>
        <v>25.761957666890144</v>
      </c>
      <c r="Q11" s="335">
        <f>IFERROR(+_xlfn.XLOOKUP("Equity Value",DCF!$B:$B,DCF!R:R)/(_xlfn.XLOOKUP("Shareholder's Equity",Inputs!$B:$B,Inputs!$Q:$Q)+_xlfn.XLOOKUP("Net Income",DCF!$B:$B,DCF!H:H)+_xlfn.XLOOKUP("Total Payout",DCF!$B:$B,DCF!H:H)),"")</f>
        <v>0</v>
      </c>
      <c r="R11" s="335">
        <f>IFERROR(+_xlfn.XLOOKUP("Equity Value",DCF!$B:$B,DCF!S:S)/(_xlfn.XLOOKUP("Shareholder's Equity",Inputs!$B:$B,Inputs!$Q:$Q)+_xlfn.XLOOKUP("Net Income",DCF!$B:$B,DCF!I:I)+_xlfn.XLOOKUP("Total Payout",DCF!$B:$B,DCF!I:I)),"")</f>
        <v>0</v>
      </c>
    </row>
    <row r="12" spans="2:19" ht="8.15" customHeight="1" x14ac:dyDescent="0.35">
      <c r="B12" s="235"/>
      <c r="N12" s="236"/>
      <c r="O12" s="236"/>
      <c r="P12" s="331"/>
      <c r="Q12" s="336"/>
      <c r="R12" s="336"/>
    </row>
    <row r="13" spans="2:19" ht="15.5" x14ac:dyDescent="0.35">
      <c r="B13" s="7" t="s">
        <v>222</v>
      </c>
      <c r="C13" s="53"/>
      <c r="D13" s="55"/>
      <c r="E13" s="55"/>
      <c r="F13" s="349">
        <v>2014</v>
      </c>
      <c r="G13" s="349">
        <f t="shared" ref="G13" si="5">+F13+1</f>
        <v>2015</v>
      </c>
      <c r="H13" s="349">
        <f t="shared" ref="H13" si="6">+G13+1</f>
        <v>2016</v>
      </c>
      <c r="I13" s="349">
        <f t="shared" ref="I13" si="7">+H13+1</f>
        <v>2017</v>
      </c>
      <c r="J13" s="349">
        <f t="shared" ref="J13" si="8">+I13+1</f>
        <v>2018</v>
      </c>
      <c r="K13" s="349">
        <f t="shared" ref="K13" si="9">+J13+1</f>
        <v>2019</v>
      </c>
      <c r="L13" s="349">
        <f t="shared" ref="L13" si="10">+K13+1</f>
        <v>2020</v>
      </c>
      <c r="M13" s="349">
        <f t="shared" ref="M13" si="11">+L13+1</f>
        <v>2021</v>
      </c>
      <c r="N13" s="349">
        <v>2022</v>
      </c>
      <c r="O13" s="349">
        <f t="shared" ref="O13" si="12">+N13+1</f>
        <v>2023</v>
      </c>
      <c r="P13" s="350">
        <f>+O13+1</f>
        <v>2024</v>
      </c>
      <c r="Q13" s="348">
        <f>+P13+1</f>
        <v>2025</v>
      </c>
      <c r="R13" s="348">
        <f>+Q13+1</f>
        <v>2026</v>
      </c>
    </row>
    <row r="14" spans="2:19" ht="4.4000000000000004" customHeight="1" x14ac:dyDescent="0.35">
      <c r="B14" s="233"/>
      <c r="C14" s="50"/>
      <c r="D14" s="57"/>
      <c r="E14" s="57"/>
      <c r="F14" s="57"/>
      <c r="G14" s="57"/>
      <c r="H14" s="57"/>
      <c r="I14" s="57"/>
      <c r="J14" s="57"/>
      <c r="K14" s="57"/>
      <c r="L14" s="57"/>
      <c r="M14" s="57"/>
      <c r="N14" s="220"/>
      <c r="O14" s="220"/>
      <c r="P14" s="330"/>
      <c r="Q14" s="220"/>
      <c r="R14" s="220"/>
    </row>
    <row r="15" spans="2:19" ht="15.5" x14ac:dyDescent="0.35">
      <c r="B15" s="234" t="s">
        <v>25</v>
      </c>
      <c r="F15" s="238" t="str">
        <f>+IFERROR(_xlfn.XLOOKUP("Net Income",Inputs!$B:$B,Inputs!G:G)/_xlfn.XLOOKUP("Total Assets",Inputs!$B:$B,Inputs!G:G),"")</f>
        <v/>
      </c>
      <c r="G15" s="238" t="str">
        <f>+IFERROR(_xlfn.XLOOKUP("Net Income",Inputs!$B:$B,Inputs!H:H)/_xlfn.XLOOKUP("Total Assets",Inputs!$B:$B,Inputs!H:H),"")</f>
        <v/>
      </c>
      <c r="H15" s="238" t="str">
        <f>+IFERROR(_xlfn.XLOOKUP("Net Income",Inputs!$B:$B,Inputs!I:I)/_xlfn.XLOOKUP("Total Assets",Inputs!$B:$B,Inputs!I:I),"")</f>
        <v/>
      </c>
      <c r="I15" s="238" t="str">
        <f>+IFERROR(_xlfn.XLOOKUP("Net Income",Inputs!$B:$B,Inputs!J:J)/_xlfn.XLOOKUP("Total Assets",Inputs!$B:$B,Inputs!J:J),"")</f>
        <v/>
      </c>
      <c r="J15" s="238" t="str">
        <f>+IFERROR(_xlfn.XLOOKUP("Net Income",Inputs!$B:$B,Inputs!K:K)/_xlfn.XLOOKUP("Total Assets",Inputs!$B:$B,Inputs!K:K),"")</f>
        <v/>
      </c>
      <c r="K15" s="238" t="str">
        <f>+IFERROR(_xlfn.XLOOKUP("Net Income",Inputs!$B:$B,Inputs!L:L)/_xlfn.XLOOKUP("Total Assets",Inputs!$B:$B,Inputs!L:L),"")</f>
        <v/>
      </c>
      <c r="L15" s="238" t="str">
        <f>+IFERROR(_xlfn.XLOOKUP("Net Income",Inputs!$B:$B,Inputs!M:M)/_xlfn.XLOOKUP("Total Assets",Inputs!$B:$B,Inputs!M:M),"")</f>
        <v/>
      </c>
      <c r="M15" s="238">
        <f>+IFERROR(_xlfn.XLOOKUP("Net Income",Inputs!$B:$B,Inputs!N:N)/_xlfn.XLOOKUP("Total Assets",Inputs!$B:$B,Inputs!N:N),"")</f>
        <v>-0.96734130634774618</v>
      </c>
      <c r="N15" s="238">
        <f>+IFERROR(_xlfn.XLOOKUP("Net Income",Inputs!$B:$B,Inputs!O:O)/_xlfn.XLOOKUP("Total Assets",Inputs!$B:$B,Inputs!O:O),"")</f>
        <v>-1.9928749025865589</v>
      </c>
      <c r="O15" s="238">
        <f>+IFERROR(_xlfn.XLOOKUP("Net Income",Inputs!$B:$B,Inputs!P:P)/_xlfn.XLOOKUP("Total Assets",Inputs!$B:$B,Inputs!P:P),"")</f>
        <v>-1.3935406698564594</v>
      </c>
      <c r="P15" s="332">
        <f>+IFERROR(_xlfn.XLOOKUP("Net Income",Inputs!$B:$B,Inputs!Q:Q)/_xlfn.XLOOKUP("Total Assets",Inputs!$B:$B,Inputs!Q:Q),"")</f>
        <v>-0.7199241442460208</v>
      </c>
      <c r="Q15" s="337">
        <f>IFERROR(_xlfn.XLOOKUP("Net Income",DCF!$B:$B,DCF!H:H)/_xlfn.XLOOKUP("Total assets",DCF!$6:$6,DCF!10:10),"")</f>
        <v>-0.49141907087121417</v>
      </c>
      <c r="R15" s="337">
        <f>IFERROR(_xlfn.XLOOKUP("Net Income",DCF!$B:$B,DCF!I:I)/_xlfn.XLOOKUP("Total assets",DCF!$6:$6,DCF!10:10),"")</f>
        <v>-0.68204231969812112</v>
      </c>
      <c r="S15" s="22"/>
    </row>
    <row r="16" spans="2:19" ht="15.5" x14ac:dyDescent="0.35">
      <c r="B16" s="234" t="s">
        <v>27</v>
      </c>
      <c r="F16" s="238" t="str">
        <f>IFERROR(_xlfn.XLOOKUP("Net Income",Inputs!$B:$B,Inputs!G:G)/_xlfn.XLOOKUP("Shareholder's Equity",Inputs!$B:$B,Inputs!G:G),"")</f>
        <v/>
      </c>
      <c r="G16" s="238" t="str">
        <f>IFERROR(_xlfn.XLOOKUP("Net Income",Inputs!$B:$B,Inputs!H:H)/_xlfn.XLOOKUP("Shareholder's Equity",Inputs!$B:$B,Inputs!H:H),"")</f>
        <v/>
      </c>
      <c r="H16" s="238" t="str">
        <f>IFERROR(_xlfn.XLOOKUP("Net Income",Inputs!$B:$B,Inputs!I:I)/_xlfn.XLOOKUP("Shareholder's Equity",Inputs!$B:$B,Inputs!I:I),"")</f>
        <v/>
      </c>
      <c r="I16" s="238" t="str">
        <f>IFERROR(_xlfn.XLOOKUP("Net Income",Inputs!$B:$B,Inputs!J:J)/_xlfn.XLOOKUP("Shareholder's Equity",Inputs!$B:$B,Inputs!J:J),"")</f>
        <v/>
      </c>
      <c r="J16" s="238" t="str">
        <f>IFERROR(_xlfn.XLOOKUP("Net Income",Inputs!$B:$B,Inputs!K:K)/_xlfn.XLOOKUP("Shareholder's Equity",Inputs!$B:$B,Inputs!K:K),"")</f>
        <v/>
      </c>
      <c r="K16" s="238" t="str">
        <f>IFERROR(_xlfn.XLOOKUP("Net Income",Inputs!$B:$B,Inputs!L:L)/_xlfn.XLOOKUP("Shareholder's Equity",Inputs!$B:$B,Inputs!L:L),"")</f>
        <v/>
      </c>
      <c r="L16" s="238" t="str">
        <f>IFERROR(_xlfn.XLOOKUP("Net Income",Inputs!$B:$B,Inputs!M:M)/_xlfn.XLOOKUP("Shareholder's Equity",Inputs!$B:$B,Inputs!M:M),"")</f>
        <v/>
      </c>
      <c r="M16" s="238">
        <f>IFERROR(_xlfn.XLOOKUP("Net Income",Inputs!$B:$B,Inputs!N:N)/_xlfn.XLOOKUP("Shareholder's Equity",Inputs!$B:$B,Inputs!N:N),"")</f>
        <v>-10.445364238410596</v>
      </c>
      <c r="N16" s="238">
        <f>IFERROR(_xlfn.XLOOKUP("Net Income",Inputs!$B:$B,Inputs!O:O)/_xlfn.XLOOKUP("Shareholder's Equity",Inputs!$B:$B,Inputs!O:O),"")</f>
        <v>1.8226928690221633</v>
      </c>
      <c r="O16" s="238">
        <f>IFERROR(_xlfn.XLOOKUP("Net Income",Inputs!$B:$B,Inputs!P:P)/_xlfn.XLOOKUP("Shareholder's Equity",Inputs!$B:$B,Inputs!P:P),"")</f>
        <v>3.378742698419182</v>
      </c>
      <c r="P16" s="332">
        <f>IFERROR(_xlfn.XLOOKUP("Net Income",Inputs!$B:$B,Inputs!Q:Q)/_xlfn.XLOOKUP("Shareholder's Equity",Inputs!$B:$B,Inputs!Q:Q),"")</f>
        <v>-2.2966989113431024</v>
      </c>
      <c r="Q16" s="337">
        <f>IFERROR(_xlfn.XLOOKUP("Net Income",DCF!$B:$B,DCF!H:H)/_xlfn.XLOOKUP("Shareholder's Equity",DCF!$6:$6,DCF!10:10),"")</f>
        <v>1.1408474681846402E-2</v>
      </c>
      <c r="R16" s="337">
        <f>IFERROR(_xlfn.XLOOKUP("Net Income",DCF!$B:$B,DCF!I:I)/_xlfn.XLOOKUP("Shareholder's Equity",DCF!$6:$6,DCF!10:10),"")</f>
        <v>1.5833863595137075E-2</v>
      </c>
      <c r="S16" s="22"/>
    </row>
    <row r="17" spans="2:19" ht="15.5" x14ac:dyDescent="0.35">
      <c r="B17" s="234" t="s">
        <v>28</v>
      </c>
      <c r="F17" s="238" t="str">
        <f>IFERROR(_xlfn.XLOOKUP("NOPAT",Inputs!$B:$B,Inputs!G:G)/(_xlfn.XLOOKUP("Shareholder's Equity",Inputs!$B:$B,Inputs!G:G)+_xlfn.XLOOKUP("Total Debt",Inputs!$B:$B,Inputs!G:G,,,-1)),"")</f>
        <v/>
      </c>
      <c r="G17" s="238" t="str">
        <f>IFERROR(_xlfn.XLOOKUP("NOPAT",Inputs!$B:$B,Inputs!H:H)/(_xlfn.XLOOKUP("Shareholder's Equity",Inputs!$B:$B,Inputs!H:H)+_xlfn.XLOOKUP("Total Debt",Inputs!$B:$B,Inputs!H:H,,,-1)),"")</f>
        <v/>
      </c>
      <c r="H17" s="238" t="str">
        <f>IFERROR(_xlfn.XLOOKUP("NOPAT",Inputs!$B:$B,Inputs!I:I)/(_xlfn.XLOOKUP("Shareholder's Equity",Inputs!$B:$B,Inputs!I:I)+_xlfn.XLOOKUP("Total Debt",Inputs!$B:$B,Inputs!I:I,,,-1)),"")</f>
        <v/>
      </c>
      <c r="I17" s="238" t="str">
        <f>IFERROR(_xlfn.XLOOKUP("NOPAT",Inputs!$B:$B,Inputs!J:J)/(_xlfn.XLOOKUP("Shareholder's Equity",Inputs!$B:$B,Inputs!J:J)+_xlfn.XLOOKUP("Total Debt",Inputs!$B:$B,Inputs!J:J,,,-1)),"")</f>
        <v/>
      </c>
      <c r="J17" s="238" t="str">
        <f>IFERROR(_xlfn.XLOOKUP("NOPAT",Inputs!$B:$B,Inputs!K:K)/(_xlfn.XLOOKUP("Shareholder's Equity",Inputs!$B:$B,Inputs!K:K)+_xlfn.XLOOKUP("Total Debt",Inputs!$B:$B,Inputs!K:K,,,-1)),"")</f>
        <v/>
      </c>
      <c r="K17" s="238" t="str">
        <f>IFERROR(_xlfn.XLOOKUP("NOPAT",Inputs!$B:$B,Inputs!L:L)/(_xlfn.XLOOKUP("Shareholder's Equity",Inputs!$B:$B,Inputs!L:L)+_xlfn.XLOOKUP("Total Debt",Inputs!$B:$B,Inputs!L:L,,,-1)),"")</f>
        <v/>
      </c>
      <c r="L17" s="238" t="str">
        <f>IFERROR(_xlfn.XLOOKUP("NOPAT",Inputs!$B:$B,Inputs!M:M)/(_xlfn.XLOOKUP("Shareholder's Equity",Inputs!$B:$B,Inputs!M:M)+_xlfn.XLOOKUP("Total Debt",Inputs!$B:$B,Inputs!M:M,,,-1)),"")</f>
        <v/>
      </c>
      <c r="M17" s="238">
        <f>IFERROR(_xlfn.XLOOKUP("NOPAT",Inputs!$B:$B,Inputs!N:N)/(_xlfn.XLOOKUP("Shareholder's Equity",Inputs!$B:$B,Inputs!N:N)+_xlfn.XLOOKUP("Total Debt",Inputs!$B:$B,Inputs!N:N,,,-1)),"")</f>
        <v>-3.329742669060443</v>
      </c>
      <c r="N17" s="238">
        <f>IFERROR(_xlfn.XLOOKUP("NOPAT",Inputs!$B:$B,Inputs!O:O)/(_xlfn.XLOOKUP("Shareholder's Equity",Inputs!$B:$B,Inputs!O:O)+_xlfn.XLOOKUP("Total Debt",Inputs!$B:$B,Inputs!O:O,,,-1)),"")</f>
        <v>-0.43675274335316916</v>
      </c>
      <c r="O17" s="238">
        <f>IFERROR(_xlfn.XLOOKUP("NOPAT",Inputs!$B:$B,Inputs!P:P)/(_xlfn.XLOOKUP("Shareholder's Equity",Inputs!$B:$B,Inputs!P:P)+_xlfn.XLOOKUP("Total Debt",Inputs!$B:$B,Inputs!P:P,,,-1)),"")</f>
        <v>5.3476365146376903</v>
      </c>
      <c r="P17" s="332">
        <f>IFERROR(_xlfn.XLOOKUP("NOPAT",Inputs!$B:$B,Inputs!Q:Q)/(_xlfn.XLOOKUP("Shareholder's Equity",Inputs!$B:$B,Inputs!Q:Q)+_xlfn.XLOOKUP("Total Debt",Inputs!$B:$B,Inputs!Q:Q,,,-1)),"")</f>
        <v>-0.72048939350444952</v>
      </c>
      <c r="Q17" s="337">
        <f ca="1">+IFERROR(_xlfn.XLOOKUP("NOPAT",DCF!$B:$B,DCF!H:H)/(_xlfn.XLOOKUP("Shareholder's Equity",DCF!$6:$6,DCF!10:10)+_xlfn.XLOOKUP("Total Borrowings",DCF!$B:$B,DCF!H:H)+_xlfn.XLOOKUP("Total Leases",DCF!$B:$B,DCF!H:H)),"")</f>
        <v>8.7592763557151152E-3</v>
      </c>
      <c r="R17" s="337">
        <f ca="1">+IFERROR(_xlfn.XLOOKUP("NOPAT",DCF!$B:$B,DCF!I:I)/(_xlfn.XLOOKUP("Shareholder's Equity",DCF!$6:$6,DCF!10:10)+_xlfn.XLOOKUP("Total Borrowings",DCF!$B:$B,DCF!I:I)+_xlfn.XLOOKUP("Total Leases",DCF!$B:$B,DCF!I:I)),"")</f>
        <v>1.1116744845188759E-2</v>
      </c>
      <c r="S17" s="127"/>
    </row>
    <row r="18" spans="2:19" ht="15.5" x14ac:dyDescent="0.35">
      <c r="B18" s="237" t="s">
        <v>29</v>
      </c>
      <c r="F18" s="238" t="str">
        <f>+IFERROR(_xlfn.XLOOKUP("EBITDA",Inputs!$B:$B,Inputs!G:G)/_xlfn.XLOOKUP("Revenue (Sales)",Inputs!$B:$B,Inputs!G:G),"")</f>
        <v/>
      </c>
      <c r="G18" s="238" t="str">
        <f>+IFERROR(_xlfn.XLOOKUP("EBITDA",Inputs!$B:$B,Inputs!H:H)/_xlfn.XLOOKUP("Revenue (Sales)",Inputs!$B:$B,Inputs!H:H),"")</f>
        <v/>
      </c>
      <c r="H18" s="238" t="str">
        <f>+IFERROR(_xlfn.XLOOKUP("EBITDA",Inputs!$B:$B,Inputs!I:I)/_xlfn.XLOOKUP("Revenue (Sales)",Inputs!$B:$B,Inputs!I:I),"")</f>
        <v/>
      </c>
      <c r="I18" s="238" t="str">
        <f>+IFERROR(_xlfn.XLOOKUP("EBITDA",Inputs!$B:$B,Inputs!J:J)/_xlfn.XLOOKUP("Revenue (Sales)",Inputs!$B:$B,Inputs!J:J),"")</f>
        <v/>
      </c>
      <c r="J18" s="238" t="str">
        <f>+IFERROR(_xlfn.XLOOKUP("EBITDA",Inputs!$B:$B,Inputs!K:K)/_xlfn.XLOOKUP("Revenue (Sales)",Inputs!$B:$B,Inputs!K:K),"")</f>
        <v/>
      </c>
      <c r="K18" s="238" t="str">
        <f>+IFERROR(_xlfn.XLOOKUP("EBITDA",Inputs!$B:$B,Inputs!L:L)/_xlfn.XLOOKUP("Revenue (Sales)",Inputs!$B:$B,Inputs!L:L),"")</f>
        <v/>
      </c>
      <c r="L18" s="238" t="str">
        <f>+IFERROR(_xlfn.XLOOKUP("EBITDA",Inputs!$B:$B,Inputs!M:M)/_xlfn.XLOOKUP("Revenue (Sales)",Inputs!$B:$B,Inputs!M:M),"")</f>
        <v/>
      </c>
      <c r="M18" s="238">
        <f>+IFERROR(_xlfn.XLOOKUP("EBITDA",Inputs!$B:$B,Inputs!N:N)/_xlfn.XLOOKUP("Revenue (Sales)",Inputs!$B:$B,Inputs!N:N),"")</f>
        <v>-5.7885013537187442</v>
      </c>
      <c r="N18" s="238">
        <f>+IFERROR(_xlfn.XLOOKUP("EBITDA",Inputs!$B:$B,Inputs!O:O)/_xlfn.XLOOKUP("Revenue (Sales)",Inputs!$B:$B,Inputs!O:O),"")</f>
        <v>-7.963892374180956</v>
      </c>
      <c r="O18" s="238">
        <f>+IFERROR(_xlfn.XLOOKUP("EBITDA",Inputs!$B:$B,Inputs!P:P)/_xlfn.XLOOKUP("Revenue (Sales)",Inputs!$B:$B,Inputs!P:P),"")</f>
        <v>-8.6118976935373386</v>
      </c>
      <c r="P18" s="332">
        <f>+IFERROR(_xlfn.XLOOKUP("EBITDA",Inputs!$B:$B,Inputs!Q:Q)/_xlfn.XLOOKUP("Revenue (Sales)",Inputs!$B:$B,Inputs!Q:Q),"")</f>
        <v>-7.8502322419848189</v>
      </c>
      <c r="Q18" s="337">
        <f>+_xlfn.XLOOKUP("EBITDA Margin",DCF!$B:$B,DCF!H:H)</f>
        <v>-5.857809372757826</v>
      </c>
      <c r="R18" s="337">
        <f>+_xlfn.XLOOKUP("EBITDA Margin",DCF!$B:$B,DCF!I:I)</f>
        <v>-4.6356266835970432</v>
      </c>
      <c r="S18" s="31"/>
    </row>
    <row r="19" spans="2:19" ht="15.5" x14ac:dyDescent="0.35">
      <c r="B19" s="18" t="s">
        <v>21</v>
      </c>
      <c r="F19" s="238" t="str">
        <f>IFERROR(_xlfn.XLOOKUP("Operating Income (EBIT)",Inputs!$B:$B,Inputs!G:G)/_xlfn.XLOOKUP("Revenue (Sales)",Inputs!$B:$B,Inputs!G:G),"")</f>
        <v/>
      </c>
      <c r="G19" s="238" t="str">
        <f>IFERROR(_xlfn.XLOOKUP("Operating Income (EBIT)",Inputs!$B:$B,Inputs!H:H)/_xlfn.XLOOKUP("Revenue (Sales)",Inputs!$B:$B,Inputs!H:H),"")</f>
        <v/>
      </c>
      <c r="H19" s="238" t="str">
        <f>IFERROR(_xlfn.XLOOKUP("Operating Income (EBIT)",Inputs!$B:$B,Inputs!I:I)/_xlfn.XLOOKUP("Revenue (Sales)",Inputs!$B:$B,Inputs!I:I),"")</f>
        <v/>
      </c>
      <c r="I19" s="238" t="str">
        <f>IFERROR(_xlfn.XLOOKUP("Operating Income (EBIT)",Inputs!$B:$B,Inputs!J:J)/_xlfn.XLOOKUP("Revenue (Sales)",Inputs!$B:$B,Inputs!J:J),"")</f>
        <v/>
      </c>
      <c r="J19" s="238" t="str">
        <f>IFERROR(_xlfn.XLOOKUP("Operating Income (EBIT)",Inputs!$B:$B,Inputs!K:K)/_xlfn.XLOOKUP("Revenue (Sales)",Inputs!$B:$B,Inputs!K:K),"")</f>
        <v/>
      </c>
      <c r="K19" s="238" t="str">
        <f>IFERROR(_xlfn.XLOOKUP("Operating Income (EBIT)",Inputs!$B:$B,Inputs!L:L)/_xlfn.XLOOKUP("Revenue (Sales)",Inputs!$B:$B,Inputs!L:L),"")</f>
        <v/>
      </c>
      <c r="L19" s="238" t="str">
        <f>IFERROR(_xlfn.XLOOKUP("Operating Income (EBIT)",Inputs!$B:$B,Inputs!M:M)/_xlfn.XLOOKUP("Revenue (Sales)",Inputs!$B:$B,Inputs!M:M),"")</f>
        <v/>
      </c>
      <c r="M19" s="238">
        <f>IFERROR(_xlfn.XLOOKUP("Operating Income (EBIT)",Inputs!$B:$B,Inputs!N:N)/_xlfn.XLOOKUP("Revenue (Sales)",Inputs!$B:$B,Inputs!N:N),"")</f>
        <v>-6.2028985507246377</v>
      </c>
      <c r="N19" s="238">
        <f>IFERROR(_xlfn.XLOOKUP("Operating Income (EBIT)",Inputs!$B:$B,Inputs!O:O)/_xlfn.XLOOKUP("Revenue (Sales)",Inputs!$B:$B,Inputs!O:O),"")</f>
        <v>1.1152934615920813</v>
      </c>
      <c r="O19" s="238">
        <f>IFERROR(_xlfn.XLOOKUP("Operating Income (EBIT)",Inputs!$B:$B,Inputs!P:P)/_xlfn.XLOOKUP("Revenue (Sales)",Inputs!$B:$B,Inputs!P:P),"")</f>
        <v>-8.8225622288193666</v>
      </c>
      <c r="P19" s="332">
        <f>IFERROR(_xlfn.XLOOKUP("Operating Income (EBIT)",Inputs!$B:$B,Inputs!Q:Q)/_xlfn.XLOOKUP("Revenue (Sales)",Inputs!$B:$B,Inputs!Q:Q),"")</f>
        <v>-8.2458366375892158</v>
      </c>
      <c r="Q19" s="337">
        <f>+_xlfn.XLOOKUP("Operating Margin",DCF!$B:$B,DCF!H:H)</f>
        <v>-5.857809372757826</v>
      </c>
      <c r="R19" s="337">
        <f>+_xlfn.XLOOKUP("Operating Margin",DCF!$B:$B,DCF!I:I)</f>
        <v>-4.6356266835970432</v>
      </c>
      <c r="S19" s="18"/>
    </row>
    <row r="20" spans="2:19" ht="15.5" x14ac:dyDescent="0.35">
      <c r="B20" s="18" t="s">
        <v>651</v>
      </c>
      <c r="F20" s="238" t="str">
        <f>IFERROR(_xlfn.XLOOKUP("Pre-Tax Income (EBT)",Inputs!$B:$B,Inputs!G:G)/_xlfn.XLOOKUP("Revenue (Sales)",Inputs!$B:$B,Inputs!G:G),"")</f>
        <v/>
      </c>
      <c r="G20" s="238" t="str">
        <f>IFERROR(_xlfn.XLOOKUP("Pre-Tax Income (EBT)",Inputs!$B:$B,Inputs!H:H)/_xlfn.XLOOKUP("Revenue (Sales)",Inputs!$B:$B,Inputs!H:H),"")</f>
        <v/>
      </c>
      <c r="H20" s="238" t="str">
        <f>IFERROR(_xlfn.XLOOKUP("Pre-Tax Income (EBT)",Inputs!$B:$B,Inputs!I:I)/_xlfn.XLOOKUP("Revenue (Sales)",Inputs!$B:$B,Inputs!I:I),"")</f>
        <v/>
      </c>
      <c r="I20" s="238" t="str">
        <f>IFERROR(_xlfn.XLOOKUP("Pre-Tax Income (EBT)",Inputs!$B:$B,Inputs!J:J)/_xlfn.XLOOKUP("Revenue (Sales)",Inputs!$B:$B,Inputs!J:J),"")</f>
        <v/>
      </c>
      <c r="J20" s="238" t="str">
        <f>IFERROR(_xlfn.XLOOKUP("Pre-Tax Income (EBT)",Inputs!$B:$B,Inputs!K:K)/_xlfn.XLOOKUP("Revenue (Sales)",Inputs!$B:$B,Inputs!K:K),"")</f>
        <v/>
      </c>
      <c r="K20" s="238" t="str">
        <f>IFERROR(_xlfn.XLOOKUP("Pre-Tax Income (EBT)",Inputs!$B:$B,Inputs!L:L)/_xlfn.XLOOKUP("Revenue (Sales)",Inputs!$B:$B,Inputs!L:L),"")</f>
        <v/>
      </c>
      <c r="L20" s="238" t="str">
        <f>IFERROR(_xlfn.XLOOKUP("Pre-Tax Income (EBT)",Inputs!$B:$B,Inputs!M:M)/_xlfn.XLOOKUP("Revenue (Sales)",Inputs!$B:$B,Inputs!M:M),"")</f>
        <v/>
      </c>
      <c r="M20" s="238">
        <f>IFERROR(_xlfn.XLOOKUP("Pre-Tax Income (EBT)",Inputs!$B:$B,Inputs!N:N)/_xlfn.XLOOKUP("Revenue (Sales)",Inputs!$B:$B,Inputs!N:N),"")</f>
        <v>-5.0238891543239372</v>
      </c>
      <c r="N20" s="238">
        <f>IFERROR(_xlfn.XLOOKUP("Pre-Tax Income (EBT)",Inputs!$B:$B,Inputs!O:O)/_xlfn.XLOOKUP("Revenue (Sales)",Inputs!$B:$B,Inputs!O:O),"")</f>
        <v>-7.4866861843022443</v>
      </c>
      <c r="O20" s="238">
        <f>IFERROR(_xlfn.XLOOKUP("Pre-Tax Income (EBT)",Inputs!$B:$B,Inputs!P:P)/_xlfn.XLOOKUP("Revenue (Sales)",Inputs!$B:$B,Inputs!P:P),"")</f>
        <v>-9.444507878511077</v>
      </c>
      <c r="P20" s="332">
        <f>IFERROR(_xlfn.XLOOKUP("Pre-Tax Income (EBT)",Inputs!$B:$B,Inputs!Q:Q)/_xlfn.XLOOKUP("Revenue (Sales)",Inputs!$B:$B,Inputs!Q:Q),"")</f>
        <v>-16.299875382349608</v>
      </c>
      <c r="Q20" s="337">
        <f>IFERROR(_xlfn.XLOOKUP("Pre-Tax Income (EBT)",DCF!$B:$B,DCF!H:H)/_xlfn.XLOOKUP("Revenue (Sales)",DCF!$B:$B,DCF!H:H),"")</f>
        <v>-7.7556771836411018</v>
      </c>
      <c r="R20" s="337">
        <f>IFERROR(_xlfn.XLOOKUP("Pre-Tax Income (EBT)",DCF!$B:$B,DCF!I:I)/_xlfn.XLOOKUP("Revenue (Sales)",DCF!$B:$B,DCF!I:I),"")</f>
        <v>-6.7275828955194283</v>
      </c>
      <c r="S20" s="18"/>
    </row>
    <row r="21" spans="2:19" ht="15.5" x14ac:dyDescent="0.35">
      <c r="B21" s="18" t="s">
        <v>31</v>
      </c>
      <c r="F21" s="238" t="str">
        <f>IFERROR(_xlfn.XLOOKUP("Gross Profit",Inputs!$B:$B,Inputs!G:G)/_xlfn.XLOOKUP("Revenue (Sales)",Inputs!$B:$B,Inputs!G:G),"")</f>
        <v/>
      </c>
      <c r="G21" s="238" t="str">
        <f>IFERROR(_xlfn.XLOOKUP("Gross Profit",Inputs!$B:$B,Inputs!H:H)/_xlfn.XLOOKUP("Revenue (Sales)",Inputs!$B:$B,Inputs!H:H),"")</f>
        <v/>
      </c>
      <c r="H21" s="238" t="str">
        <f>IFERROR(_xlfn.XLOOKUP("Gross Profit",Inputs!$B:$B,Inputs!I:I)/_xlfn.XLOOKUP("Revenue (Sales)",Inputs!$B:$B,Inputs!I:I),"")</f>
        <v/>
      </c>
      <c r="I21" s="238" t="str">
        <f>IFERROR(_xlfn.XLOOKUP("Gross Profit",Inputs!$B:$B,Inputs!J:J)/_xlfn.XLOOKUP("Revenue (Sales)",Inputs!$B:$B,Inputs!J:J),"")</f>
        <v/>
      </c>
      <c r="J21" s="238" t="str">
        <f>IFERROR(_xlfn.XLOOKUP("Gross Profit",Inputs!$B:$B,Inputs!K:K)/_xlfn.XLOOKUP("Revenue (Sales)",Inputs!$B:$B,Inputs!K:K),"")</f>
        <v/>
      </c>
      <c r="K21" s="238" t="str">
        <f>IFERROR(_xlfn.XLOOKUP("Gross Profit",Inputs!$B:$B,Inputs!L:L)/_xlfn.XLOOKUP("Revenue (Sales)",Inputs!$B:$B,Inputs!L:L),"")</f>
        <v/>
      </c>
      <c r="L21" s="238" t="str">
        <f>IFERROR(_xlfn.XLOOKUP("Gross Profit",Inputs!$B:$B,Inputs!M:M)/_xlfn.XLOOKUP("Revenue (Sales)",Inputs!$B:$B,Inputs!M:M),"")</f>
        <v/>
      </c>
      <c r="M21" s="238">
        <f>IFERROR(_xlfn.XLOOKUP("Gross Profit",Inputs!$B:$B,Inputs!N:N)/_xlfn.XLOOKUP("Revenue (Sales)",Inputs!$B:$B,Inputs!N:N),"")</f>
        <v>0.72129319955406912</v>
      </c>
      <c r="N21" s="238">
        <f>IFERROR(_xlfn.XLOOKUP("Gross Profit",Inputs!$B:$B,Inputs!O:O)/_xlfn.XLOOKUP("Revenue (Sales)",Inputs!$B:$B,Inputs!O:O),"")</f>
        <v>0.5924996514707932</v>
      </c>
      <c r="O21" s="238">
        <f>IFERROR(_xlfn.XLOOKUP("Gross Profit",Inputs!$B:$B,Inputs!P:P)/_xlfn.XLOOKUP("Revenue (Sales)",Inputs!$B:$B,Inputs!P:P),"")</f>
        <v>0.52774606074446229</v>
      </c>
      <c r="P21" s="332">
        <f>IFERROR(_xlfn.XLOOKUP("Gross Profit",Inputs!$B:$B,Inputs!Q:Q)/_xlfn.XLOOKUP("Revenue (Sales)",Inputs!$B:$B,Inputs!Q:Q),"")</f>
        <v>0.63022544465843433</v>
      </c>
      <c r="Q21" s="337">
        <f>+_xlfn.XLOOKUP("Gross Profit Margin",DCF!$B:$B,DCF!H:H)</f>
        <v>0.6</v>
      </c>
      <c r="R21" s="337">
        <f>+_xlfn.XLOOKUP("Gross Profit Margin",DCF!$B:$B,DCF!I:I)</f>
        <v>0.6</v>
      </c>
      <c r="S21" s="18"/>
    </row>
    <row r="22" spans="2:19" ht="15.5" x14ac:dyDescent="0.35">
      <c r="B22" s="18" t="s">
        <v>33</v>
      </c>
      <c r="F22" s="238" t="str">
        <f>IFERROR(+_xlfn.XLOOKUP("SG&amp;A (Selling, General &amp; Administrative)",Inputs!$B:$B,Inputs!G:G)/_xlfn.XLOOKUP("Revenue (Sales)",Inputs!$B:$B,Inputs!G:G),"")</f>
        <v/>
      </c>
      <c r="G22" s="238" t="str">
        <f>IFERROR(+_xlfn.XLOOKUP("SG&amp;A (Selling, General &amp; Administrative)",Inputs!$B:$B,Inputs!H:H)/_xlfn.XLOOKUP("Revenue (Sales)",Inputs!$B:$B,Inputs!H:H),"")</f>
        <v/>
      </c>
      <c r="H22" s="238" t="str">
        <f>IFERROR(+_xlfn.XLOOKUP("SG&amp;A (Selling, General &amp; Administrative)",Inputs!$B:$B,Inputs!I:I)/_xlfn.XLOOKUP("Revenue (Sales)",Inputs!$B:$B,Inputs!I:I),"")</f>
        <v/>
      </c>
      <c r="I22" s="238" t="str">
        <f>IFERROR(+_xlfn.XLOOKUP("SG&amp;A (Selling, General &amp; Administrative)",Inputs!$B:$B,Inputs!J:J)/_xlfn.XLOOKUP("Revenue (Sales)",Inputs!$B:$B,Inputs!J:J),"")</f>
        <v/>
      </c>
      <c r="J22" s="238" t="str">
        <f>IFERROR(+_xlfn.XLOOKUP("SG&amp;A (Selling, General &amp; Administrative)",Inputs!$B:$B,Inputs!K:K)/_xlfn.XLOOKUP("Revenue (Sales)",Inputs!$B:$B,Inputs!K:K),"")</f>
        <v/>
      </c>
      <c r="K22" s="238" t="str">
        <f>IFERROR(+_xlfn.XLOOKUP("SG&amp;A (Selling, General &amp; Administrative)",Inputs!$B:$B,Inputs!L:L)/_xlfn.XLOOKUP("Revenue (Sales)",Inputs!$B:$B,Inputs!L:L),"")</f>
        <v/>
      </c>
      <c r="L22" s="238" t="str">
        <f>IFERROR(+_xlfn.XLOOKUP("SG&amp;A (Selling, General &amp; Administrative)",Inputs!$B:$B,Inputs!M:M)/_xlfn.XLOOKUP("Revenue (Sales)",Inputs!$B:$B,Inputs!M:M),"")</f>
        <v/>
      </c>
      <c r="M22" s="238">
        <f>IFERROR(+_xlfn.XLOOKUP("SG&amp;A (Selling, General &amp; Administrative)",Inputs!$B:$B,Inputs!N:N)/_xlfn.XLOOKUP("Revenue (Sales)",Inputs!$B:$B,Inputs!N:N),"")</f>
        <v>2.8788023570632268</v>
      </c>
      <c r="N22" s="238">
        <f>IFERROR(+_xlfn.XLOOKUP("SG&amp;A (Selling, General &amp; Administrative)",Inputs!$B:$B,Inputs!O:O)/_xlfn.XLOOKUP("Revenue (Sales)",Inputs!$B:$B,Inputs!O:O),"")</f>
        <v>4.4063850550676147</v>
      </c>
      <c r="O22" s="238">
        <f>IFERROR(+_xlfn.XLOOKUP("SG&amp;A (Selling, General &amp; Administrative)",Inputs!$B:$B,Inputs!P:P)/_xlfn.XLOOKUP("Revenue (Sales)",Inputs!$B:$B,Inputs!P:P),"")</f>
        <v>5.3996346197762053</v>
      </c>
      <c r="P22" s="332">
        <f>IFERROR(+_xlfn.XLOOKUP("SG&amp;A (Selling, General &amp; Administrative)",Inputs!$B:$B,Inputs!Q:Q)/_xlfn.XLOOKUP("Revenue (Sales)",Inputs!$B:$B,Inputs!Q:Q),"")</f>
        <v>5.3796306785997503</v>
      </c>
      <c r="Q22" s="337">
        <f>+_xlfn.XLOOKUP("SG&amp;A Margin",DCF!$B:$B,DCF!H:H)</f>
        <v>3</v>
      </c>
      <c r="R22" s="337">
        <f>+_xlfn.XLOOKUP("SG&amp;A Margin",DCF!$B:$B,DCF!I:I)</f>
        <v>2</v>
      </c>
    </row>
    <row r="23" spans="2:19" ht="15.5" x14ac:dyDescent="0.35">
      <c r="B23" s="18" t="s">
        <v>35</v>
      </c>
      <c r="F23" s="238" t="str">
        <f>IFERROR(_xlfn.XLOOKUP("Net Income",Inputs!$B:$B,Inputs!G:G)/_xlfn.XLOOKUP("Revenue (Sales)",Inputs!$B:$B,Inputs!G:G),"")</f>
        <v/>
      </c>
      <c r="G23" s="238" t="str">
        <f>IFERROR(_xlfn.XLOOKUP("Net Income",Inputs!$B:$B,Inputs!H:H)/_xlfn.XLOOKUP("Revenue (Sales)",Inputs!$B:$B,Inputs!H:H),"")</f>
        <v/>
      </c>
      <c r="H23" s="238" t="str">
        <f>IFERROR(_xlfn.XLOOKUP("Net Income",Inputs!$B:$B,Inputs!I:I)/_xlfn.XLOOKUP("Revenue (Sales)",Inputs!$B:$B,Inputs!I:I),"")</f>
        <v/>
      </c>
      <c r="I23" s="238" t="str">
        <f>IFERROR(_xlfn.XLOOKUP("Net Income",Inputs!$B:$B,Inputs!J:J)/_xlfn.XLOOKUP("Revenue (Sales)",Inputs!$B:$B,Inputs!J:J),"")</f>
        <v/>
      </c>
      <c r="J23" s="238" t="str">
        <f>IFERROR(_xlfn.XLOOKUP("Net Income",Inputs!$B:$B,Inputs!K:K)/_xlfn.XLOOKUP("Revenue (Sales)",Inputs!$B:$B,Inputs!K:K),"")</f>
        <v/>
      </c>
      <c r="K23" s="238" t="str">
        <f>IFERROR(_xlfn.XLOOKUP("Net Income",Inputs!$B:$B,Inputs!L:L)/_xlfn.XLOOKUP("Revenue (Sales)",Inputs!$B:$B,Inputs!L:L),"")</f>
        <v/>
      </c>
      <c r="L23" s="238" t="str">
        <f>IFERROR(_xlfn.XLOOKUP("Net Income",Inputs!$B:$B,Inputs!M:M)/_xlfn.XLOOKUP("Revenue (Sales)",Inputs!$B:$B,Inputs!M:M),"")</f>
        <v/>
      </c>
      <c r="M23" s="238">
        <f>IFERROR(_xlfn.XLOOKUP("Net Income",Inputs!$B:$B,Inputs!N:N)/_xlfn.XLOOKUP("Revenue (Sales)",Inputs!$B:$B,Inputs!N:N),"")</f>
        <v>-5.0238891543239372</v>
      </c>
      <c r="N23" s="238">
        <f>IFERROR(_xlfn.XLOOKUP("Net Income",Inputs!$B:$B,Inputs!O:O)/_xlfn.XLOOKUP("Revenue (Sales)",Inputs!$B:$B,Inputs!O:O),"")</f>
        <v>-7.4866861843022443</v>
      </c>
      <c r="O23" s="238">
        <f>IFERROR(_xlfn.XLOOKUP("Net Income",Inputs!$B:$B,Inputs!P:P)/_xlfn.XLOOKUP("Revenue (Sales)",Inputs!$B:$B,Inputs!P:P),"")</f>
        <v>-9.444507878511077</v>
      </c>
      <c r="P23" s="332">
        <f>IFERROR(_xlfn.XLOOKUP("Net Income",Inputs!$B:$B,Inputs!Q:Q)/_xlfn.XLOOKUP("Revenue (Sales)",Inputs!$B:$B,Inputs!Q:Q),"")</f>
        <v>-16.299875382349608</v>
      </c>
      <c r="Q23" s="337">
        <f>+_xlfn.XLOOKUP("Net Income Margin",DCF!$B:$B,DCF!H:H)</f>
        <v>-7.7556771836411018</v>
      </c>
      <c r="R23" s="337">
        <f>+_xlfn.XLOOKUP("Net Income Margin",DCF!$B:$B,DCF!I:I)</f>
        <v>-6.7275828955194283</v>
      </c>
    </row>
    <row r="24" spans="2:19" ht="8.15" customHeight="1" x14ac:dyDescent="0.35">
      <c r="N24" s="239"/>
      <c r="O24" s="239"/>
      <c r="P24" s="333"/>
      <c r="Q24" s="338"/>
      <c r="R24" s="338"/>
    </row>
    <row r="25" spans="2:19" ht="15.5" x14ac:dyDescent="0.35">
      <c r="B25" s="7" t="s">
        <v>233</v>
      </c>
      <c r="C25" s="53"/>
      <c r="D25" s="55"/>
      <c r="E25" s="55"/>
      <c r="F25" s="349">
        <v>2014</v>
      </c>
      <c r="G25" s="349">
        <f t="shared" ref="G25" si="13">+F25+1</f>
        <v>2015</v>
      </c>
      <c r="H25" s="349">
        <f t="shared" ref="H25" si="14">+G25+1</f>
        <v>2016</v>
      </c>
      <c r="I25" s="349">
        <f t="shared" ref="I25" si="15">+H25+1</f>
        <v>2017</v>
      </c>
      <c r="J25" s="349">
        <f t="shared" ref="J25" si="16">+I25+1</f>
        <v>2018</v>
      </c>
      <c r="K25" s="349">
        <f t="shared" ref="K25" si="17">+J25+1</f>
        <v>2019</v>
      </c>
      <c r="L25" s="349">
        <f t="shared" ref="L25" si="18">+K25+1</f>
        <v>2020</v>
      </c>
      <c r="M25" s="349">
        <f t="shared" ref="M25" si="19">+L25+1</f>
        <v>2021</v>
      </c>
      <c r="N25" s="349">
        <v>2022</v>
      </c>
      <c r="O25" s="349">
        <f t="shared" ref="O25" si="20">+N25+1</f>
        <v>2023</v>
      </c>
      <c r="P25" s="350">
        <f>+O25+1</f>
        <v>2024</v>
      </c>
      <c r="Q25" s="348">
        <f>+P25+1</f>
        <v>2025</v>
      </c>
      <c r="R25" s="348">
        <f>+Q25+1</f>
        <v>2026</v>
      </c>
    </row>
    <row r="26" spans="2:19" ht="4.4000000000000004" customHeight="1" x14ac:dyDescent="0.35">
      <c r="B26" s="233"/>
      <c r="C26" s="50"/>
      <c r="D26" s="57"/>
      <c r="E26" s="57"/>
      <c r="F26" s="57"/>
      <c r="G26" s="57"/>
      <c r="H26" s="57"/>
      <c r="I26" s="57"/>
      <c r="J26" s="57"/>
      <c r="K26" s="57"/>
      <c r="L26" s="57"/>
      <c r="M26" s="57"/>
      <c r="N26" s="220"/>
      <c r="O26" s="220"/>
      <c r="P26" s="330"/>
      <c r="Q26" s="220"/>
      <c r="R26" s="220"/>
    </row>
    <row r="27" spans="2:19" ht="15" customHeight="1" x14ac:dyDescent="0.35">
      <c r="B27" s="33" t="s">
        <v>43</v>
      </c>
      <c r="C27" s="127"/>
      <c r="D27" s="228"/>
      <c r="F27" s="16" t="str">
        <f>+IFERROR(_xlfn.XLOOKUP("Cash &amp; Cash Equivalents",Inputs!$B:$B,Inputs!G:G)/_xlfn.XLOOKUP("Current Liabilities",Inputs!$B:$B,Inputs!G:G),"")</f>
        <v/>
      </c>
      <c r="G27" s="16" t="str">
        <f>+IFERROR(_xlfn.XLOOKUP("Cash &amp; Cash Equivalents",Inputs!$B:$B,Inputs!H:H)/_xlfn.XLOOKUP("Current Liabilities",Inputs!$B:$B,Inputs!H:H),"")</f>
        <v/>
      </c>
      <c r="H27" s="16" t="str">
        <f>+IFERROR(_xlfn.XLOOKUP("Cash &amp; Cash Equivalents",Inputs!$B:$B,Inputs!I:I)/_xlfn.XLOOKUP("Current Liabilities",Inputs!$B:$B,Inputs!I:I),"")</f>
        <v/>
      </c>
      <c r="I27" s="16" t="str">
        <f>+IFERROR(_xlfn.XLOOKUP("Cash &amp; Cash Equivalents",Inputs!$B:$B,Inputs!J:J)/_xlfn.XLOOKUP("Current Liabilities",Inputs!$B:$B,Inputs!J:J),"")</f>
        <v/>
      </c>
      <c r="J27" s="16" t="str">
        <f>+IFERROR(_xlfn.XLOOKUP("Cash &amp; Cash Equivalents",Inputs!$B:$B,Inputs!K:K)/_xlfn.XLOOKUP("Current Liabilities",Inputs!$B:$B,Inputs!K:K),"")</f>
        <v/>
      </c>
      <c r="K27" s="16" t="str">
        <f>+IFERROR(_xlfn.XLOOKUP("Cash &amp; Cash Equivalents",Inputs!$B:$B,Inputs!L:L)/_xlfn.XLOOKUP("Current Liabilities",Inputs!$B:$B,Inputs!L:L),"")</f>
        <v/>
      </c>
      <c r="L27" s="16">
        <f>+IFERROR(_xlfn.XLOOKUP("Cash &amp; Cash Equivalents",Inputs!$B:$B,Inputs!M:M)/_xlfn.XLOOKUP("Current Liabilities",Inputs!$B:$B,Inputs!M:M),"")</f>
        <v>4.0185185185185182</v>
      </c>
      <c r="M27" s="16">
        <f>+IFERROR(_xlfn.XLOOKUP("Cash &amp; Cash Equivalents",Inputs!$B:$B,Inputs!N:N)/_xlfn.XLOOKUP("Current Liabilities",Inputs!$B:$B,Inputs!N:N),"")</f>
        <v>0.92112676056338039</v>
      </c>
      <c r="N27" s="16">
        <f>+IFERROR(_xlfn.XLOOKUP("Cash &amp; Cash Equivalents",Inputs!$B:$B,Inputs!O:O)/_xlfn.XLOOKUP("Current Liabilities",Inputs!$B:$B,Inputs!O:O),"")</f>
        <v>0.44046134663341652</v>
      </c>
      <c r="O27" s="16">
        <f>+IFERROR(_xlfn.XLOOKUP("Cash &amp; Cash Equivalents",Inputs!$B:$B,Inputs!P:P)/_xlfn.XLOOKUP("Current Liabilities",Inputs!$B:$B,Inputs!P:P),"")</f>
        <v>3.6717333333333335</v>
      </c>
      <c r="P27" s="328">
        <f>+IFERROR(_xlfn.XLOOKUP("Cash &amp; Cash Equivalents",Inputs!$B:$B,Inputs!Q:Q)/_xlfn.XLOOKUP("Current Liabilities",Inputs!$B:$B,Inputs!Q:Q),"")</f>
        <v>5.9041300381489465</v>
      </c>
      <c r="Q27" s="335">
        <f>+IFERROR((_xlfn.XLOOKUP("Cash &amp; Cash Equivalents &amp; ST Investments",DCF!$B:$B,DCF!H:H)-_xlfn.XLOOKUP("Short-Term Investments",Inputs!$B:$B,Inputs!$Q:$Q))/_xlfn.XLOOKUP("Current Liabilities",DCF!$6:$6,DCF!10:10),"")</f>
        <v>6.1449260762130251</v>
      </c>
      <c r="R27" s="335">
        <f>+IFERROR((_xlfn.XLOOKUP("Cash &amp; Cash Equivalents &amp; ST Investments",DCF!$B:$B,DCF!I:I)-_xlfn.XLOOKUP("Short-Term Investments",Inputs!$B:$B,Inputs!$Q:$Q))/_xlfn.XLOOKUP("Current Liabilities",DCF!$6:$6,DCF!10:10),"")</f>
        <v>4.2334192379828153</v>
      </c>
    </row>
    <row r="28" spans="2:19" ht="15.5" x14ac:dyDescent="0.35">
      <c r="B28" s="18" t="s">
        <v>46</v>
      </c>
      <c r="F28" s="16" t="str">
        <f>IFERROR((_xlfn.XLOOKUP("Cash &amp; Cash Equivalents &amp; ST Investments",Inputs!$B:$B,Inputs!G:G)+_xlfn.XLOOKUP("Accounts Receivable",Inputs!$B:$B,Inputs!G:G))/_xlfn.XLOOKUP("Current Liabilities",Inputs!$B:$B,Inputs!G:G),"")</f>
        <v/>
      </c>
      <c r="G28" s="16" t="str">
        <f>IFERROR((_xlfn.XLOOKUP("Cash &amp; Cash Equivalents &amp; ST Investments",Inputs!$B:$B,Inputs!H:H)+_xlfn.XLOOKUP("Accounts Receivable",Inputs!$B:$B,Inputs!H:H))/_xlfn.XLOOKUP("Current Liabilities",Inputs!$B:$B,Inputs!H:H),"")</f>
        <v/>
      </c>
      <c r="H28" s="16" t="str">
        <f>IFERROR((_xlfn.XLOOKUP("Cash &amp; Cash Equivalents &amp; ST Investments",Inputs!$B:$B,Inputs!I:I)+_xlfn.XLOOKUP("Accounts Receivable",Inputs!$B:$B,Inputs!I:I))/_xlfn.XLOOKUP("Current Liabilities",Inputs!$B:$B,Inputs!I:I),"")</f>
        <v/>
      </c>
      <c r="I28" s="16" t="str">
        <f>IFERROR((_xlfn.XLOOKUP("Cash &amp; Cash Equivalents &amp; ST Investments",Inputs!$B:$B,Inputs!J:J)+_xlfn.XLOOKUP("Accounts Receivable",Inputs!$B:$B,Inputs!J:J))/_xlfn.XLOOKUP("Current Liabilities",Inputs!$B:$B,Inputs!J:J),"")</f>
        <v/>
      </c>
      <c r="J28" s="16" t="str">
        <f>IFERROR((_xlfn.XLOOKUP("Cash &amp; Cash Equivalents &amp; ST Investments",Inputs!$B:$B,Inputs!K:K)+_xlfn.XLOOKUP("Accounts Receivable",Inputs!$B:$B,Inputs!K:K))/_xlfn.XLOOKUP("Current Liabilities",Inputs!$B:$B,Inputs!K:K),"")</f>
        <v/>
      </c>
      <c r="K28" s="16" t="str">
        <f>IFERROR((_xlfn.XLOOKUP("Cash &amp; Cash Equivalents &amp; ST Investments",Inputs!$B:$B,Inputs!L:L)+_xlfn.XLOOKUP("Accounts Receivable",Inputs!$B:$B,Inputs!L:L))/_xlfn.XLOOKUP("Current Liabilities",Inputs!$B:$B,Inputs!L:L),"")</f>
        <v/>
      </c>
      <c r="L28" s="16">
        <f>IFERROR((_xlfn.XLOOKUP("Cash &amp; Cash Equivalents &amp; ST Investments",Inputs!$B:$B,Inputs!M:M)+_xlfn.XLOOKUP("Accounts Receivable",Inputs!$B:$B,Inputs!M:M))/_xlfn.XLOOKUP("Current Liabilities",Inputs!$B:$B,Inputs!M:M),"")</f>
        <v>4.0185185185185182</v>
      </c>
      <c r="M28" s="16">
        <f>IFERROR((_xlfn.XLOOKUP("Cash &amp; Cash Equivalents &amp; ST Investments",Inputs!$B:$B,Inputs!N:N)+_xlfn.XLOOKUP("Accounts Receivable",Inputs!$B:$B,Inputs!N:N))/_xlfn.XLOOKUP("Current Liabilities",Inputs!$B:$B,Inputs!N:N),"")</f>
        <v>0.96202039825157848</v>
      </c>
      <c r="N28" s="16">
        <f>IFERROR((_xlfn.XLOOKUP("Cash &amp; Cash Equivalents &amp; ST Investments",Inputs!$B:$B,Inputs!O:O)+_xlfn.XLOOKUP("Accounts Receivable",Inputs!$B:$B,Inputs!O:O))/_xlfn.XLOOKUP("Current Liabilities",Inputs!$B:$B,Inputs!O:O),"")</f>
        <v>0.48765586034912722</v>
      </c>
      <c r="O28" s="16">
        <f>IFERROR((_xlfn.XLOOKUP("Cash &amp; Cash Equivalents &amp; ST Investments",Inputs!$B:$B,Inputs!P:P)+_xlfn.XLOOKUP("Accounts Receivable",Inputs!$B:$B,Inputs!P:P))/_xlfn.XLOOKUP("Current Liabilities",Inputs!$B:$B,Inputs!P:P),"")</f>
        <v>3.8185777777777781</v>
      </c>
      <c r="P28" s="328">
        <f>IFERROR((_xlfn.XLOOKUP("Cash &amp; Cash Equivalents &amp; ST Investments",Inputs!$B:$B,Inputs!Q:Q)+_xlfn.XLOOKUP("Accounts Receivable",Inputs!$B:$B,Inputs!Q:Q))/_xlfn.XLOOKUP("Current Liabilities",Inputs!$B:$B,Inputs!Q:Q),"")</f>
        <v>5.9512356941449651</v>
      </c>
      <c r="Q28" s="335">
        <f>+IFERROR((_xlfn.XLOOKUP("Cash &amp; Cash Equivalents &amp; ST Investments",DCF!$B:$B,DCF!H:H)+_xlfn.XLOOKUP("Accounts Receivable",DCF!$B:$B,DCF!H:H))/_xlfn.XLOOKUP("Current Liabilities",DCF!$6:$6,DCF!10:10),"")</f>
        <v>6.2141599834128698</v>
      </c>
      <c r="R28" s="335">
        <f>+IFERROR((_xlfn.XLOOKUP("Cash &amp; Cash Equivalents &amp; ST Investments",DCF!$B:$B,DCF!I:I)+_xlfn.XLOOKUP("Accounts Receivable",DCF!$B:$B,DCF!I:I))/_xlfn.XLOOKUP("Current Liabilities",DCF!$6:$6,DCF!10:10),"")</f>
        <v>4.3554514680188854</v>
      </c>
    </row>
    <row r="29" spans="2:19" ht="15.5" x14ac:dyDescent="0.35">
      <c r="B29" s="18" t="s">
        <v>48</v>
      </c>
      <c r="F29" s="16" t="str">
        <f>IFERROR(_xlfn.XLOOKUP("Current Assets",Inputs!$B:$B,Inputs!G:G)/+_xlfn.XLOOKUP("Current Liabilities",Inputs!$B:$B,Inputs!G:G),"")</f>
        <v/>
      </c>
      <c r="G29" s="16" t="str">
        <f>IFERROR(_xlfn.XLOOKUP("Current Assets",Inputs!$B:$B,Inputs!H:H)/+_xlfn.XLOOKUP("Current Liabilities",Inputs!$B:$B,Inputs!H:H),"")</f>
        <v/>
      </c>
      <c r="H29" s="16" t="str">
        <f>IFERROR(_xlfn.XLOOKUP("Current Assets",Inputs!$B:$B,Inputs!I:I)/+_xlfn.XLOOKUP("Current Liabilities",Inputs!$B:$B,Inputs!I:I),"")</f>
        <v/>
      </c>
      <c r="I29" s="16" t="str">
        <f>IFERROR(_xlfn.XLOOKUP("Current Assets",Inputs!$B:$B,Inputs!J:J)/+_xlfn.XLOOKUP("Current Liabilities",Inputs!$B:$B,Inputs!J:J),"")</f>
        <v/>
      </c>
      <c r="J29" s="16" t="str">
        <f>IFERROR(_xlfn.XLOOKUP("Current Assets",Inputs!$B:$B,Inputs!K:K)/+_xlfn.XLOOKUP("Current Liabilities",Inputs!$B:$B,Inputs!K:K),"")</f>
        <v/>
      </c>
      <c r="K29" s="16" t="str">
        <f>IFERROR(_xlfn.XLOOKUP("Current Assets",Inputs!$B:$B,Inputs!L:L)/+_xlfn.XLOOKUP("Current Liabilities",Inputs!$B:$B,Inputs!L:L),"")</f>
        <v/>
      </c>
      <c r="L29" s="16">
        <f>IFERROR(_xlfn.XLOOKUP("Current Assets",Inputs!$B:$B,Inputs!M:M)/+_xlfn.XLOOKUP("Current Liabilities",Inputs!$B:$B,Inputs!M:M),"")</f>
        <v>5.4592592592592588</v>
      </c>
      <c r="M29" s="16">
        <f>IFERROR(_xlfn.XLOOKUP("Current Assets",Inputs!$B:$B,Inputs!N:N)/+_xlfn.XLOOKUP("Current Liabilities",Inputs!$B:$B,Inputs!N:N),"")</f>
        <v>1.8609033511413309</v>
      </c>
      <c r="N29" s="16">
        <f>IFERROR(_xlfn.XLOOKUP("Current Assets",Inputs!$B:$B,Inputs!O:O)/+_xlfn.XLOOKUP("Current Liabilities",Inputs!$B:$B,Inputs!O:O),"")</f>
        <v>0.86814214463840411</v>
      </c>
      <c r="O29" s="16">
        <f>IFERROR(_xlfn.XLOOKUP("Current Assets",Inputs!$B:$B,Inputs!P:P)/+_xlfn.XLOOKUP("Current Liabilities",Inputs!$B:$B,Inputs!P:P),"")</f>
        <v>4.1818666666666662</v>
      </c>
      <c r="P29" s="328">
        <f>IFERROR(_xlfn.XLOOKUP("Current Assets",Inputs!$B:$B,Inputs!Q:Q)/+_xlfn.XLOOKUP("Current Liabilities",Inputs!$B:$B,Inputs!Q:Q),"")</f>
        <v>6.1383313982418306</v>
      </c>
      <c r="Q29" s="335">
        <f>+IFERROR(_xlfn.XLOOKUP("Current Assets",DCF!$6:$6,DCF!10:10)/_xlfn.XLOOKUP("Current Liabilities",DCF!$6:$6,DCF!10:10),"")</f>
        <v>6.4917592937318158</v>
      </c>
      <c r="R29" s="335">
        <f>+IFERROR(_xlfn.XLOOKUP("Current Assets",DCF!$6:$6,DCF!10:10)/_xlfn.XLOOKUP("Current Liabilities",DCF!$6:$6,DCF!10:10),"")</f>
        <v>6.4917592937318158</v>
      </c>
    </row>
    <row r="30" spans="2:19" ht="8.15" customHeight="1" x14ac:dyDescent="0.3">
      <c r="N30" s="16"/>
      <c r="O30" s="16"/>
      <c r="P30" s="328"/>
      <c r="Q30" s="335"/>
      <c r="R30" s="335"/>
    </row>
    <row r="31" spans="2:19" ht="15.5" x14ac:dyDescent="0.35">
      <c r="B31" s="7" t="s">
        <v>652</v>
      </c>
      <c r="C31" s="53"/>
      <c r="D31" s="55"/>
      <c r="E31" s="55"/>
      <c r="F31" s="349">
        <v>2014</v>
      </c>
      <c r="G31" s="349">
        <f t="shared" ref="G31" si="21">+F31+1</f>
        <v>2015</v>
      </c>
      <c r="H31" s="349">
        <f t="shared" ref="H31" si="22">+G31+1</f>
        <v>2016</v>
      </c>
      <c r="I31" s="349">
        <f t="shared" ref="I31" si="23">+H31+1</f>
        <v>2017</v>
      </c>
      <c r="J31" s="349">
        <f t="shared" ref="J31" si="24">+I31+1</f>
        <v>2018</v>
      </c>
      <c r="K31" s="349">
        <f t="shared" ref="K31" si="25">+J31+1</f>
        <v>2019</v>
      </c>
      <c r="L31" s="349">
        <f t="shared" ref="L31" si="26">+K31+1</f>
        <v>2020</v>
      </c>
      <c r="M31" s="349">
        <f t="shared" ref="M31" si="27">+L31+1</f>
        <v>2021</v>
      </c>
      <c r="N31" s="349">
        <v>2022</v>
      </c>
      <c r="O31" s="349">
        <f t="shared" ref="O31" si="28">+N31+1</f>
        <v>2023</v>
      </c>
      <c r="P31" s="350">
        <f>+O31+1</f>
        <v>2024</v>
      </c>
      <c r="Q31" s="348">
        <f>+P31+1</f>
        <v>2025</v>
      </c>
      <c r="R31" s="348">
        <f>+Q31+1</f>
        <v>2026</v>
      </c>
    </row>
    <row r="32" spans="2:19" ht="4.4000000000000004" customHeight="1" x14ac:dyDescent="0.35">
      <c r="B32" s="233"/>
      <c r="C32" s="50"/>
      <c r="D32" s="57"/>
      <c r="E32" s="57"/>
      <c r="F32" s="57"/>
      <c r="G32" s="57"/>
      <c r="H32" s="57"/>
      <c r="I32" s="57"/>
      <c r="J32" s="57"/>
      <c r="K32" s="57"/>
      <c r="L32" s="57"/>
      <c r="M32" s="57"/>
      <c r="N32" s="220"/>
      <c r="O32" s="220"/>
      <c r="P32" s="330"/>
      <c r="Q32" s="220"/>
      <c r="R32" s="220"/>
    </row>
    <row r="33" spans="2:18" ht="15.5" x14ac:dyDescent="0.35">
      <c r="B33" s="18" t="s">
        <v>653</v>
      </c>
      <c r="F33" s="240" t="str">
        <f>+_xlfn.XLOOKUP("DSO",Inputs!$B:$B,Inputs!G:G)</f>
        <v>N/A</v>
      </c>
      <c r="G33" s="240" t="str">
        <f>+_xlfn.XLOOKUP("DSO",Inputs!$B:$B,Inputs!H:H)</f>
        <v>N/A</v>
      </c>
      <c r="H33" s="240" t="str">
        <f>+_xlfn.XLOOKUP("DSO",Inputs!$B:$B,Inputs!I:I)</f>
        <v>N/A</v>
      </c>
      <c r="I33" s="240" t="str">
        <f>+_xlfn.XLOOKUP("DSO",Inputs!$B:$B,Inputs!J:J)</f>
        <v>N/A</v>
      </c>
      <c r="J33" s="240" t="str">
        <f>+_xlfn.XLOOKUP("DSO",Inputs!$B:$B,Inputs!K:K)</f>
        <v>N/A</v>
      </c>
      <c r="K33" s="240" t="str">
        <f>+_xlfn.XLOOKUP("DSO",Inputs!$B:$B,Inputs!L:L)</f>
        <v>N/A</v>
      </c>
      <c r="L33" s="240" t="str">
        <f>+_xlfn.XLOOKUP("DSO",Inputs!$B:$B,Inputs!M:M)</f>
        <v>N/A</v>
      </c>
      <c r="M33" s="240">
        <f>+_xlfn.XLOOKUP("DSO",Inputs!$B:$B,Inputs!N:N)</f>
        <v>24.472845994585121</v>
      </c>
      <c r="N33" s="240">
        <f>+_xlfn.XLOOKUP("DSO",Inputs!$B:$B,Inputs!O:O)</f>
        <v>38.520144988150008</v>
      </c>
      <c r="O33" s="240">
        <f>+_xlfn.XLOOKUP("DSO",Inputs!$B:$B,Inputs!P:P)</f>
        <v>68.84905229504453</v>
      </c>
      <c r="P33" s="334">
        <f>+_xlfn.XLOOKUP("DSO",Inputs!$B:$B,Inputs!Q:Q)</f>
        <v>58.717571088705107</v>
      </c>
      <c r="Q33" s="339">
        <f>+_xlfn.XLOOKUP("DSO",DCF!$B:$B,DCF!H:H)</f>
        <v>55.415879476558978</v>
      </c>
      <c r="R33" s="339">
        <f>+_xlfn.XLOOKUP("DSO",DCF!$B:$B,DCF!I:I)</f>
        <v>61.047790972695303</v>
      </c>
    </row>
    <row r="34" spans="2:18" ht="15.5" x14ac:dyDescent="0.35">
      <c r="B34" s="234" t="s">
        <v>654</v>
      </c>
      <c r="F34" s="240" t="str">
        <f>+_xlfn.XLOOKUP("DPO",Inputs!$B:$B,Inputs!G:G)</f>
        <v>N/A</v>
      </c>
      <c r="G34" s="240" t="str">
        <f>+_xlfn.XLOOKUP("DPO",Inputs!$B:$B,Inputs!H:H)</f>
        <v>N/A</v>
      </c>
      <c r="H34" s="240" t="str">
        <f>+_xlfn.XLOOKUP("DPO",Inputs!$B:$B,Inputs!I:I)</f>
        <v>N/A</v>
      </c>
      <c r="I34" s="240" t="str">
        <f>+_xlfn.XLOOKUP("DPO",Inputs!$B:$B,Inputs!J:J)</f>
        <v>N/A</v>
      </c>
      <c r="J34" s="240" t="str">
        <f>+_xlfn.XLOOKUP("DPO",Inputs!$B:$B,Inputs!K:K)</f>
        <v>N/A</v>
      </c>
      <c r="K34" s="240" t="str">
        <f>+_xlfn.XLOOKUP("DPO",Inputs!$B:$B,Inputs!L:L)</f>
        <v>N/A</v>
      </c>
      <c r="L34" s="240" t="str">
        <f>+_xlfn.XLOOKUP("DPO",Inputs!$B:$B,Inputs!M:M)</f>
        <v>N/A</v>
      </c>
      <c r="M34" s="240">
        <f>+_xlfn.XLOOKUP("DPO",Inputs!$B:$B,Inputs!N:N)</f>
        <v>122.59675107501195</v>
      </c>
      <c r="N34" s="240">
        <f>+_xlfn.XLOOKUP("DPO",Inputs!$B:$B,Inputs!O:O)</f>
        <v>191.12505227938098</v>
      </c>
      <c r="O34" s="240">
        <f>+_xlfn.XLOOKUP("DPO",Inputs!$B:$B,Inputs!P:P)</f>
        <v>61.055606302808869</v>
      </c>
      <c r="P34" s="334">
        <f>+_xlfn.XLOOKUP("DPO",Inputs!$B:$B,Inputs!Q:Q)</f>
        <v>33.700577772742719</v>
      </c>
      <c r="Q34" s="339">
        <f>+_xlfn.XLOOKUP("DPO",DCF!$B:$B,DCF!H:H)</f>
        <v>229.89718042974633</v>
      </c>
      <c r="R34" s="339">
        <f>+_xlfn.XLOOKUP("DPO",DCF!$B:$B,DCF!I:I)</f>
        <v>150.1901965542929</v>
      </c>
    </row>
    <row r="35" spans="2:18" ht="15.5" x14ac:dyDescent="0.35">
      <c r="B35" s="234" t="s">
        <v>655</v>
      </c>
      <c r="F35" s="240" t="str">
        <f>+_xlfn.XLOOKUP("DIH",Inputs!$B:$B,Inputs!G:G)</f>
        <v>N/A</v>
      </c>
      <c r="G35" s="240" t="str">
        <f>+_xlfn.XLOOKUP("DIH",Inputs!$B:$B,Inputs!H:H)</f>
        <v>N/A</v>
      </c>
      <c r="H35" s="240" t="str">
        <f>+_xlfn.XLOOKUP("DIH",Inputs!$B:$B,Inputs!I:I)</f>
        <v>N/A</v>
      </c>
      <c r="I35" s="240" t="str">
        <f>+_xlfn.XLOOKUP("DIH",Inputs!$B:$B,Inputs!J:J)</f>
        <v>N/A</v>
      </c>
      <c r="J35" s="240" t="str">
        <f>+_xlfn.XLOOKUP("DIH",Inputs!$B:$B,Inputs!K:K)</f>
        <v>N/A</v>
      </c>
      <c r="K35" s="240" t="str">
        <f>+_xlfn.XLOOKUP("DIH",Inputs!$B:$B,Inputs!L:L)</f>
        <v>N/A</v>
      </c>
      <c r="L35" s="240" t="str">
        <f>+_xlfn.XLOOKUP("DIH",Inputs!$B:$B,Inputs!M:M)</f>
        <v>N/A</v>
      </c>
      <c r="M35" s="240">
        <f>+_xlfn.XLOOKUP("DIH",Inputs!$B:$B,Inputs!N:N)</f>
        <v>440.91999999999996</v>
      </c>
      <c r="N35" s="240">
        <f>+_xlfn.XLOOKUP("DIH",Inputs!$B:$B,Inputs!O:O)</f>
        <v>274.21826890181319</v>
      </c>
      <c r="O35" s="240">
        <f>+_xlfn.XLOOKUP("DIH",Inputs!$B:$B,Inputs!P:P)</f>
        <v>183.38249516441002</v>
      </c>
      <c r="P35" s="334">
        <f>+_xlfn.XLOOKUP("DIH",Inputs!$B:$B,Inputs!Q:Q)</f>
        <v>188.53860294117649</v>
      </c>
      <c r="Q35" s="339">
        <f>+_xlfn.XLOOKUP("DIH",DCF!$B:$B,DCF!H:H)</f>
        <v>215.37978900246654</v>
      </c>
      <c r="R35" s="339">
        <f>+_xlfn.XLOOKUP("DIH",DCF!$B:$B,DCF!I:I)</f>
        <v>195.76696236935103</v>
      </c>
    </row>
    <row r="36" spans="2:18" ht="15.5" x14ac:dyDescent="0.35">
      <c r="B36" s="234" t="s">
        <v>57</v>
      </c>
      <c r="F36" s="240" t="str">
        <f>IFERROR(F35+F33-F34,"")</f>
        <v/>
      </c>
      <c r="G36" s="240" t="str">
        <f t="shared" ref="G36:P36" si="29">IFERROR(G35+G33-G34,"")</f>
        <v/>
      </c>
      <c r="H36" s="240" t="str">
        <f t="shared" si="29"/>
        <v/>
      </c>
      <c r="I36" s="240" t="str">
        <f t="shared" si="29"/>
        <v/>
      </c>
      <c r="J36" s="240" t="str">
        <f t="shared" si="29"/>
        <v/>
      </c>
      <c r="K36" s="240" t="str">
        <f t="shared" si="29"/>
        <v/>
      </c>
      <c r="L36" s="240" t="str">
        <f t="shared" si="29"/>
        <v/>
      </c>
      <c r="M36" s="240">
        <f t="shared" si="29"/>
        <v>342.79609491957308</v>
      </c>
      <c r="N36" s="240">
        <f t="shared" si="29"/>
        <v>121.61336161058225</v>
      </c>
      <c r="O36" s="240">
        <f t="shared" si="29"/>
        <v>191.17594115664565</v>
      </c>
      <c r="P36" s="334">
        <f t="shared" si="29"/>
        <v>213.55559625713889</v>
      </c>
      <c r="Q36" s="339">
        <f>IFERROR(Q35+Q33-Q34,"")</f>
        <v>40.898488049279166</v>
      </c>
      <c r="R36" s="339">
        <f t="shared" ref="R36" si="30">IFERROR(R35+R33-R34,"")</f>
        <v>106.62455678775345</v>
      </c>
    </row>
    <row r="37" spans="2:18" ht="8.15" customHeight="1" x14ac:dyDescent="0.35">
      <c r="N37" s="236"/>
      <c r="O37" s="236"/>
      <c r="P37" s="331"/>
      <c r="Q37" s="336"/>
      <c r="R37" s="336"/>
    </row>
    <row r="38" spans="2:18" ht="15.5" x14ac:dyDescent="0.35">
      <c r="B38" s="7" t="s">
        <v>656</v>
      </c>
      <c r="C38" s="53"/>
      <c r="D38" s="55"/>
      <c r="E38" s="55"/>
      <c r="F38" s="349">
        <v>2014</v>
      </c>
      <c r="G38" s="349">
        <f t="shared" ref="G38" si="31">+F38+1</f>
        <v>2015</v>
      </c>
      <c r="H38" s="349">
        <f t="shared" ref="H38" si="32">+G38+1</f>
        <v>2016</v>
      </c>
      <c r="I38" s="349">
        <f t="shared" ref="I38" si="33">+H38+1</f>
        <v>2017</v>
      </c>
      <c r="J38" s="349">
        <f t="shared" ref="J38" si="34">+I38+1</f>
        <v>2018</v>
      </c>
      <c r="K38" s="349">
        <f t="shared" ref="K38" si="35">+J38+1</f>
        <v>2019</v>
      </c>
      <c r="L38" s="349">
        <f t="shared" ref="L38" si="36">+K38+1</f>
        <v>2020</v>
      </c>
      <c r="M38" s="349">
        <f t="shared" ref="M38" si="37">+L38+1</f>
        <v>2021</v>
      </c>
      <c r="N38" s="349">
        <v>2022</v>
      </c>
      <c r="O38" s="349">
        <f t="shared" ref="O38" si="38">+N38+1</f>
        <v>2023</v>
      </c>
      <c r="P38" s="350">
        <f>+O38+1</f>
        <v>2024</v>
      </c>
      <c r="Q38" s="348">
        <f>+P38+1</f>
        <v>2025</v>
      </c>
      <c r="R38" s="348">
        <f>+Q38+1</f>
        <v>2026</v>
      </c>
    </row>
    <row r="39" spans="2:18" ht="4.4000000000000004" customHeight="1" x14ac:dyDescent="0.35">
      <c r="B39" s="233"/>
      <c r="C39" s="50"/>
      <c r="D39" s="57"/>
      <c r="E39" s="57"/>
      <c r="F39" s="57"/>
      <c r="G39" s="57"/>
      <c r="H39" s="57"/>
      <c r="I39" s="57"/>
      <c r="J39" s="57"/>
      <c r="K39" s="57"/>
      <c r="L39" s="57"/>
      <c r="M39" s="57"/>
      <c r="N39" s="220"/>
      <c r="O39" s="220"/>
      <c r="P39" s="330"/>
      <c r="Q39" s="220"/>
      <c r="R39" s="220"/>
    </row>
    <row r="40" spans="2:18" ht="15.5" x14ac:dyDescent="0.35">
      <c r="B40" s="18" t="s">
        <v>68</v>
      </c>
      <c r="F40" s="16" t="str">
        <f>+IFERROR(_xlfn.XLOOKUP("Total Debt",Inputs!$B:$B,Inputs!G:G)*1000/+_xlfn.XLOOKUP("Shareholder's Equity",Inputs!$B:$B,Inputs!G:G),"")</f>
        <v/>
      </c>
      <c r="G40" s="16" t="str">
        <f>+IFERROR(_xlfn.XLOOKUP("Total Debt",Inputs!$B:$B,Inputs!H:H)*1000/+_xlfn.XLOOKUP("Shareholder's Equity",Inputs!$B:$B,Inputs!H:H),"")</f>
        <v/>
      </c>
      <c r="H40" s="16" t="str">
        <f>+IFERROR(_xlfn.XLOOKUP("Total Debt",Inputs!$B:$B,Inputs!I:I)*1000/+_xlfn.XLOOKUP("Shareholder's Equity",Inputs!$B:$B,Inputs!I:I),"")</f>
        <v/>
      </c>
      <c r="I40" s="16" t="str">
        <f>+IFERROR(_xlfn.XLOOKUP("Total Debt",Inputs!$B:$B,Inputs!J:J)*1000/+_xlfn.XLOOKUP("Shareholder's Equity",Inputs!$B:$B,Inputs!J:J),"")</f>
        <v/>
      </c>
      <c r="J40" s="16" t="str">
        <f>+IFERROR(_xlfn.XLOOKUP("Total Debt",Inputs!$B:$B,Inputs!K:K)*1000/+_xlfn.XLOOKUP("Shareholder's Equity",Inputs!$B:$B,Inputs!K:K),"")</f>
        <v/>
      </c>
      <c r="K40" s="16" t="str">
        <f>+IFERROR(_xlfn.XLOOKUP("Total Debt",Inputs!$B:$B,Inputs!L:L)*1000/+_xlfn.XLOOKUP("Shareholder's Equity",Inputs!$B:$B,Inputs!L:L),"")</f>
        <v/>
      </c>
      <c r="L40" s="16" t="str">
        <f>+IFERROR(_xlfn.XLOOKUP("Total Debt",Inputs!$B:$B,Inputs!M:M)*1000/+_xlfn.XLOOKUP("Shareholder's Equity",Inputs!$B:$B,Inputs!M:M),"")</f>
        <v/>
      </c>
      <c r="M40" s="16">
        <f>+IFERROR(_xlfn.XLOOKUP("Total Debt",Inputs!$B:$B,Inputs!N:N)*1000/+_xlfn.XLOOKUP("Shareholder's Equity",Inputs!$B:$B,Inputs!N:N),"")</f>
        <v>2873.1788079470198</v>
      </c>
      <c r="N40" s="16">
        <f>+IFERROR(_xlfn.XLOOKUP("Total Debt",Inputs!$B:$B,Inputs!O:O)*1000/+_xlfn.XLOOKUP("Shareholder's Equity",Inputs!$B:$B,Inputs!O:O),"")</f>
        <v>-378.30499270271179</v>
      </c>
      <c r="O40" s="16">
        <f>+IFERROR(_xlfn.XLOOKUP("Total Debt",Inputs!$B:$B,Inputs!P:P)*1000/+_xlfn.XLOOKUP("Shareholder's Equity",Inputs!$B:$B,Inputs!P:P),"")</f>
        <v>-409.78718189616433</v>
      </c>
      <c r="P40" s="328">
        <f>+IFERROR(_xlfn.XLOOKUP("Total Debt",Inputs!$B:$B,Inputs!Q:Q)*1000/+_xlfn.XLOOKUP("Shareholder's Equity",Inputs!$B:$B,Inputs!Q:Q),"")</f>
        <v>612.6009641477508</v>
      </c>
      <c r="Q40" s="335">
        <f>IFERROR((_xlfn.XLOOKUP("Total Borrowings",DCF!$B:$B,DCF!G:G)+_xlfn.XLOOKUP("Total Leases",DCF!$B:$B,DCF!G:G))/_xlfn.XLOOKUP("Shareholder's Equity",DCF!$6:$6,DCF!10:10),"")</f>
        <v>-7.3442843817404166E-3</v>
      </c>
      <c r="R40" s="335">
        <f>IFERROR((_xlfn.XLOOKUP("Total Borrowings",DCF!$B:$B,DCF!H:H)+_xlfn.XLOOKUP("Total Leases",DCF!$B:$B,DCF!H:H))/_xlfn.XLOOKUP("Shareholder's Equity",DCF!$6:$6,DCF!10:10),"")</f>
        <v>-1.6272380663229832E-2</v>
      </c>
    </row>
    <row r="41" spans="2:18" ht="15.5" x14ac:dyDescent="0.35">
      <c r="B41" s="234" t="s">
        <v>70</v>
      </c>
      <c r="F41" s="16" t="str">
        <f>+IFERROR(_xlfn.XLOOKUP("Total Debt",Inputs!$B:$B,Inputs!G:G)*1000/(+_xlfn.XLOOKUP("Shareholder's Equity",Inputs!$B:$B,Inputs!G:G)+_xlfn.XLOOKUP("Total Debt",Inputs!$B:$B,Inputs!G:G)*1000),"")</f>
        <v/>
      </c>
      <c r="G41" s="16" t="str">
        <f>+IFERROR(_xlfn.XLOOKUP("Total Debt",Inputs!$B:$B,Inputs!H:H)*1000/(+_xlfn.XLOOKUP("Shareholder's Equity",Inputs!$B:$B,Inputs!H:H)+_xlfn.XLOOKUP("Total Debt",Inputs!$B:$B,Inputs!H:H)*1000),"")</f>
        <v/>
      </c>
      <c r="H41" s="16" t="str">
        <f>+IFERROR(_xlfn.XLOOKUP("Total Debt",Inputs!$B:$B,Inputs!I:I)*1000/(+_xlfn.XLOOKUP("Shareholder's Equity",Inputs!$B:$B,Inputs!I:I)+_xlfn.XLOOKUP("Total Debt",Inputs!$B:$B,Inputs!I:I)*1000),"")</f>
        <v/>
      </c>
      <c r="I41" s="16" t="str">
        <f>+IFERROR(_xlfn.XLOOKUP("Total Debt",Inputs!$B:$B,Inputs!J:J)*1000/(+_xlfn.XLOOKUP("Shareholder's Equity",Inputs!$B:$B,Inputs!J:J)+_xlfn.XLOOKUP("Total Debt",Inputs!$B:$B,Inputs!J:J)*1000),"")</f>
        <v/>
      </c>
      <c r="J41" s="16" t="str">
        <f>+IFERROR(_xlfn.XLOOKUP("Total Debt",Inputs!$B:$B,Inputs!K:K)*1000/(+_xlfn.XLOOKUP("Shareholder's Equity",Inputs!$B:$B,Inputs!K:K)+_xlfn.XLOOKUP("Total Debt",Inputs!$B:$B,Inputs!K:K)*1000),"")</f>
        <v/>
      </c>
      <c r="K41" s="16" t="str">
        <f>+IFERROR(_xlfn.XLOOKUP("Total Debt",Inputs!$B:$B,Inputs!L:L)*1000/(+_xlfn.XLOOKUP("Shareholder's Equity",Inputs!$B:$B,Inputs!L:L)+_xlfn.XLOOKUP("Total Debt",Inputs!$B:$B,Inputs!L:L)*1000),"")</f>
        <v/>
      </c>
      <c r="L41" s="16" t="str">
        <f>+IFERROR(_xlfn.XLOOKUP("Total Debt",Inputs!$B:$B,Inputs!M:M)*1000/(+_xlfn.XLOOKUP("Shareholder's Equity",Inputs!$B:$B,Inputs!M:M)+_xlfn.XLOOKUP("Total Debt",Inputs!$B:$B,Inputs!M:M)*1000),"")</f>
        <v/>
      </c>
      <c r="M41" s="16">
        <f>+IFERROR(_xlfn.XLOOKUP("Total Debt",Inputs!$B:$B,Inputs!N:N)*1000/(+_xlfn.XLOOKUP("Shareholder's Equity",Inputs!$B:$B,Inputs!N:N)+_xlfn.XLOOKUP("Total Debt",Inputs!$B:$B,Inputs!N:N)*1000),"")</f>
        <v>0.99965207453439042</v>
      </c>
      <c r="N41" s="16">
        <f>+IFERROR(_xlfn.XLOOKUP("Total Debt",Inputs!$B:$B,Inputs!O:O)*1000/(+_xlfn.XLOOKUP("Shareholder's Equity",Inputs!$B:$B,Inputs!O:O)+_xlfn.XLOOKUP("Total Debt",Inputs!$B:$B,Inputs!O:O)*1000),"")</f>
        <v>1.002650375742014</v>
      </c>
      <c r="O41" s="16">
        <f>+IFERROR(_xlfn.XLOOKUP("Total Debt",Inputs!$B:$B,Inputs!P:P)*1000/(+_xlfn.XLOOKUP("Shareholder's Equity",Inputs!$B:$B,Inputs!P:P)+_xlfn.XLOOKUP("Total Debt",Inputs!$B:$B,Inputs!P:P)*1000),"")</f>
        <v>1.0024462606566122</v>
      </c>
      <c r="P41" s="328">
        <f>+IFERROR(_xlfn.XLOOKUP("Total Debt",Inputs!$B:$B,Inputs!Q:Q)*1000/(+_xlfn.XLOOKUP("Shareholder's Equity",Inputs!$B:$B,Inputs!Q:Q)+_xlfn.XLOOKUP("Total Debt",Inputs!$B:$B,Inputs!Q:Q)*1000),"")</f>
        <v>0.99837027635478226</v>
      </c>
      <c r="Q41" s="335">
        <f>IFERROR((_xlfn.XLOOKUP("Total Borrowings",DCF!$B:$B,DCF!G:G)+_xlfn.XLOOKUP("Total Leases",DCF!$B:$B,DCF!G:G))/(_xlfn.XLOOKUP("Shareholder's Equity",DCF!$6:$6,DCF!10:10)+_xlfn.XLOOKUP("Total Borrowings",DCF!$B:$B,DCF!G:G)+_xlfn.XLOOKUP("Total Leases",DCF!$B:$B,DCF!G:G)),"")</f>
        <v>-7.3986219654879519E-3</v>
      </c>
      <c r="R41" s="335">
        <f>IFERROR((_xlfn.XLOOKUP("Total Borrowings",DCF!$B:$B,DCF!H:H)+_xlfn.XLOOKUP("Total Leases",DCF!$B:$B,DCF!H:H))/(_xlfn.XLOOKUP("Shareholder's Equity",DCF!$6:$6,DCF!10:10)+_xlfn.XLOOKUP("Total Borrowings",DCF!$B:$B,DCF!H:H)+_xlfn.XLOOKUP("Total Leases",DCF!$B:$B,DCF!H:H)),"")</f>
        <v>-1.6541551079150021E-2</v>
      </c>
    </row>
    <row r="42" spans="2:18" ht="15.5" x14ac:dyDescent="0.35">
      <c r="B42" s="234" t="s">
        <v>72</v>
      </c>
      <c r="F42" s="16" t="str">
        <f>IFERROR(_xlfn.XLOOKUP("Total Liabilities",Inputs!$B:$B,Inputs!G:G)/_xlfn.XLOOKUP("Total Assets",Inputs!$B:$B,Inputs!G:G),"")</f>
        <v/>
      </c>
      <c r="G42" s="16" t="str">
        <f>IFERROR(_xlfn.XLOOKUP("Total Liabilities",Inputs!$B:$B,Inputs!H:H)/_xlfn.XLOOKUP("Total Assets",Inputs!$B:$B,Inputs!H:H),"")</f>
        <v/>
      </c>
      <c r="H42" s="16" t="str">
        <f>IFERROR(_xlfn.XLOOKUP("Total Liabilities",Inputs!$B:$B,Inputs!I:I)/_xlfn.XLOOKUP("Total Assets",Inputs!$B:$B,Inputs!I:I),"")</f>
        <v/>
      </c>
      <c r="I42" s="16" t="str">
        <f>IFERROR(_xlfn.XLOOKUP("Total Liabilities",Inputs!$B:$B,Inputs!J:J)/_xlfn.XLOOKUP("Total Assets",Inputs!$B:$B,Inputs!J:J),"")</f>
        <v/>
      </c>
      <c r="J42" s="16" t="str">
        <f>IFERROR(_xlfn.XLOOKUP("Total Liabilities",Inputs!$B:$B,Inputs!K:K)/_xlfn.XLOOKUP("Total Assets",Inputs!$B:$B,Inputs!K:K),"")</f>
        <v/>
      </c>
      <c r="K42" s="16" t="str">
        <f>IFERROR(_xlfn.XLOOKUP("Total Liabilities",Inputs!$B:$B,Inputs!L:L)/_xlfn.XLOOKUP("Total Assets",Inputs!$B:$B,Inputs!L:L),"")</f>
        <v/>
      </c>
      <c r="L42" s="16">
        <f>IFERROR(_xlfn.XLOOKUP("Total Liabilities",Inputs!$B:$B,Inputs!M:M)/_xlfn.XLOOKUP("Total Assets",Inputs!$B:$B,Inputs!M:M),"")</f>
        <v>3.5717602111881991E-2</v>
      </c>
      <c r="M42" s="16">
        <f>IFERROR(_xlfn.XLOOKUP("Total Liabilities",Inputs!$B:$B,Inputs!N:N)/_xlfn.XLOOKUP("Total Assets",Inputs!$B:$B,Inputs!N:N),"")</f>
        <v>0.90739037105182463</v>
      </c>
      <c r="N42" s="16">
        <f>IFERROR(_xlfn.XLOOKUP("Total Liabilities",Inputs!$B:$B,Inputs!O:O)/_xlfn.XLOOKUP("Total Assets",Inputs!$B:$B,Inputs!O:O),"")</f>
        <v>2.0933684640219692</v>
      </c>
      <c r="O42" s="16">
        <f>IFERROR(_xlfn.XLOOKUP("Total Liabilities",Inputs!$B:$B,Inputs!P:P)/_xlfn.XLOOKUP("Total Assets",Inputs!$B:$B,Inputs!P:P),"")</f>
        <v>1.4124435608868522</v>
      </c>
      <c r="P42" s="328">
        <f>IFERROR(_xlfn.XLOOKUP("Total Liabilities",Inputs!$B:$B,Inputs!Q:Q)/_xlfn.XLOOKUP("Total Assets",Inputs!$B:$B,Inputs!Q:Q),"")</f>
        <v>0.68653960661085889</v>
      </c>
      <c r="Q42" s="335">
        <f>IFERROR(+_xlfn.XLOOKUP("Total Liabilities",DCF!$6:$6,DCF!10:10)/_xlfn.XLOOKUP("Total Assets",DCF!$6:$6,DCF!10:10),"")</f>
        <v>44.07491444523945</v>
      </c>
      <c r="R42" s="335">
        <f>IFERROR(+_xlfn.XLOOKUP("Total Liabilities",DCF!$6:$6,DCF!10:10)/_xlfn.XLOOKUP("Total Assets",DCF!$6:$6,DCF!10:10),"")</f>
        <v>44.07491444523945</v>
      </c>
    </row>
    <row r="43" spans="2:18" ht="15.5" x14ac:dyDescent="0.35">
      <c r="B43" s="18" t="s">
        <v>73</v>
      </c>
      <c r="F43" s="16" t="str">
        <f>+IFERROR(_xlfn.XLOOKUP("Total Debt",Inputs!$B:$B,Inputs!G:G,,,-1)/_xlfn.XLOOKUP("EBITDA",Inputs!$B:$B,Inputs!G:G),"")</f>
        <v/>
      </c>
      <c r="G43" s="16" t="str">
        <f>+IFERROR(_xlfn.XLOOKUP("Total Debt",Inputs!$B:$B,Inputs!H:H,,,-1)/_xlfn.XLOOKUP("EBITDA",Inputs!$B:$B,Inputs!H:H),"")</f>
        <v/>
      </c>
      <c r="H43" s="16" t="str">
        <f>+IFERROR(_xlfn.XLOOKUP("Total Debt",Inputs!$B:$B,Inputs!I:I,,,-1)/_xlfn.XLOOKUP("EBITDA",Inputs!$B:$B,Inputs!I:I),"")</f>
        <v/>
      </c>
      <c r="I43" s="16" t="str">
        <f>+IFERROR(_xlfn.XLOOKUP("Total Debt",Inputs!$B:$B,Inputs!J:J,,,-1)/_xlfn.XLOOKUP("EBITDA",Inputs!$B:$B,Inputs!J:J),"")</f>
        <v/>
      </c>
      <c r="J43" s="16" t="str">
        <f>+IFERROR(_xlfn.XLOOKUP("Total Debt",Inputs!$B:$B,Inputs!K:K,,,-1)/_xlfn.XLOOKUP("EBITDA",Inputs!$B:$B,Inputs!K:K),"")</f>
        <v/>
      </c>
      <c r="K43" s="16" t="str">
        <f>+IFERROR(_xlfn.XLOOKUP("Total Debt",Inputs!$B:$B,Inputs!L:L,,,-1)/_xlfn.XLOOKUP("EBITDA",Inputs!$B:$B,Inputs!L:L),"")</f>
        <v/>
      </c>
      <c r="L43" s="16" t="str">
        <f>+IFERROR(_xlfn.XLOOKUP("Total Debt",Inputs!$B:$B,Inputs!M:M,,,-1)/_xlfn.XLOOKUP("EBITDA",Inputs!$B:$B,Inputs!M:M),"")</f>
        <v/>
      </c>
      <c r="M43" s="16">
        <f>+IFERROR(_xlfn.XLOOKUP("Total Debt",Inputs!$B:$B,Inputs!N:N,,,-1)/_xlfn.XLOOKUP("EBITDA",Inputs!$B:$B,Inputs!N:N),"")</f>
        <v>-0.23873328564353713</v>
      </c>
      <c r="N43" s="16">
        <f>+IFERROR(_xlfn.XLOOKUP("Total Debt",Inputs!$B:$B,Inputs!O:O,,,-1)/_xlfn.XLOOKUP("EBITDA",Inputs!$B:$B,Inputs!O:O),"")</f>
        <v>-0.19511597374179429</v>
      </c>
      <c r="O43" s="16">
        <f>+IFERROR(_xlfn.XLOOKUP("Total Debt",Inputs!$B:$B,Inputs!P:P,,,-1)/_xlfn.XLOOKUP("EBITDA",Inputs!$B:$B,Inputs!P:P),"")</f>
        <v>-0.13300982458931626</v>
      </c>
      <c r="P43" s="328">
        <f>+IFERROR(_xlfn.XLOOKUP("Total Debt",Inputs!$B:$B,Inputs!Q:Q,,,-1)/_xlfn.XLOOKUP("EBITDA",Inputs!$B:$B,Inputs!Q:Q),"")</f>
        <v>-0.55382861431004138</v>
      </c>
      <c r="Q43" s="335">
        <f>IFERROR((_xlfn.XLOOKUP("Total Borrowings",DCF!$B:$B,DCF!G:G)+_xlfn.XLOOKUP("Total Leases",DCF!$B:$B,DCF!G:G))/_xlfn.XLOOKUP("EBITDA",DCF!$B:$B,DCF!H:H),"")</f>
        <v>-0.85232728524538803</v>
      </c>
      <c r="R43" s="335">
        <f>IFERROR((_xlfn.XLOOKUP("Total Borrowings",DCF!$B:$B,DCF!H:H)+_xlfn.XLOOKUP("Total Leases",DCF!$B:$B,DCF!H:H))/_xlfn.XLOOKUP("EBITDA",DCF!$B:$B,DCF!I:I),"")</f>
        <v>-1.4914709526125207</v>
      </c>
    </row>
    <row r="44" spans="2:18" ht="15.5" x14ac:dyDescent="0.35">
      <c r="B44" s="18" t="s">
        <v>75</v>
      </c>
      <c r="F44" s="16" t="str">
        <f>IFERROR(_xlfn.XLOOKUP("Total Debt",Inputs!$B:$B,Inputs!G:G,,,-1)/(_xlfn.XLOOKUP("EBITDA",Inputs!$B:$B,Inputs!G:G)+_xlfn.XLOOKUP("Net Capex",Inputs!$B:$B,Inputs!G:G)),"")</f>
        <v/>
      </c>
      <c r="G44" s="16" t="str">
        <f>IFERROR(_xlfn.XLOOKUP("Total Debt",Inputs!$B:$B,Inputs!H:H,,,-1)/(_xlfn.XLOOKUP("EBITDA",Inputs!$B:$B,Inputs!H:H)+_xlfn.XLOOKUP("Net Capex",Inputs!$B:$B,Inputs!H:H)),"")</f>
        <v/>
      </c>
      <c r="H44" s="16" t="str">
        <f>IFERROR(_xlfn.XLOOKUP("Total Debt",Inputs!$B:$B,Inputs!I:I,,,-1)/(_xlfn.XLOOKUP("EBITDA",Inputs!$B:$B,Inputs!I:I)+_xlfn.XLOOKUP("Net Capex",Inputs!$B:$B,Inputs!I:I)),"")</f>
        <v/>
      </c>
      <c r="I44" s="16" t="str">
        <f>IFERROR(_xlfn.XLOOKUP("Total Debt",Inputs!$B:$B,Inputs!J:J,,,-1)/(_xlfn.XLOOKUP("EBITDA",Inputs!$B:$B,Inputs!J:J)+_xlfn.XLOOKUP("Net Capex",Inputs!$B:$B,Inputs!J:J)),"")</f>
        <v/>
      </c>
      <c r="J44" s="16" t="str">
        <f>IFERROR(_xlfn.XLOOKUP("Total Debt",Inputs!$B:$B,Inputs!K:K,,,-1)/(_xlfn.XLOOKUP("EBITDA",Inputs!$B:$B,Inputs!K:K)+_xlfn.XLOOKUP("Net Capex",Inputs!$B:$B,Inputs!K:K)),"")</f>
        <v/>
      </c>
      <c r="K44" s="16" t="str">
        <f>IFERROR(_xlfn.XLOOKUP("Total Debt",Inputs!$B:$B,Inputs!L:L,,,-1)/(_xlfn.XLOOKUP("EBITDA",Inputs!$B:$B,Inputs!L:L)+_xlfn.XLOOKUP("Net Capex",Inputs!$B:$B,Inputs!L:L)),"")</f>
        <v/>
      </c>
      <c r="L44" s="16" t="str">
        <f>IFERROR(_xlfn.XLOOKUP("Total Debt",Inputs!$B:$B,Inputs!M:M,,,-1)/(_xlfn.XLOOKUP("EBITDA",Inputs!$B:$B,Inputs!M:M)+_xlfn.XLOOKUP("Net Capex",Inputs!$B:$B,Inputs!M:M)),"")</f>
        <v/>
      </c>
      <c r="M44" s="16">
        <f>IFERROR(_xlfn.XLOOKUP("Total Debt",Inputs!$B:$B,Inputs!N:N,,,-1)/(_xlfn.XLOOKUP("EBITDA",Inputs!$B:$B,Inputs!N:N)+_xlfn.XLOOKUP("Net Capex",Inputs!$B:$B,Inputs!N:N)),"")</f>
        <v>-0.2276232948583421</v>
      </c>
      <c r="N44" s="16">
        <f>IFERROR(_xlfn.XLOOKUP("Total Debt",Inputs!$B:$B,Inputs!O:O,,,-1)/(_xlfn.XLOOKUP("EBITDA",Inputs!$B:$B,Inputs!O:O)+_xlfn.XLOOKUP("Net Capex",Inputs!$B:$B,Inputs!O:O)),"")</f>
        <v>-0.19368179606589281</v>
      </c>
      <c r="O44" s="16">
        <f>IFERROR(_xlfn.XLOOKUP("Total Debt",Inputs!$B:$B,Inputs!P:P,,,-1)/(_xlfn.XLOOKUP("EBITDA",Inputs!$B:$B,Inputs!P:P)+_xlfn.XLOOKUP("Net Capex",Inputs!$B:$B,Inputs!P:P)),"")</f>
        <v>-0.13198957977001816</v>
      </c>
      <c r="P44" s="328">
        <f>IFERROR(_xlfn.XLOOKUP("Total Debt",Inputs!$B:$B,Inputs!Q:Q,,,-1)/(_xlfn.XLOOKUP("EBITDA",Inputs!$B:$B,Inputs!Q:Q)+_xlfn.XLOOKUP("Net Capex",Inputs!$B:$B,Inputs!Q:Q)),"")</f>
        <v>-0.53532620067234871</v>
      </c>
      <c r="Q44" s="335">
        <f>IFERROR((_xlfn.XLOOKUP("Total Borrowings",DCF!$B:$B,DCF!G:G)+_xlfn.XLOOKUP("Total Leases",DCF!$B:$B,DCF!G:G))/(_xlfn.XLOOKUP("EBITDA",DCF!$B:$B,DCF!H:H)+_xlfn.XLOOKUP("Net Capex",DCF!$B:$B,DCF!H:H)),"")</f>
        <v>-0.85232728524538803</v>
      </c>
      <c r="R44" s="335">
        <f>IFERROR((_xlfn.XLOOKUP("Total Borrowings",DCF!$B:$B,DCF!H:H)+_xlfn.XLOOKUP("Total Leases",DCF!$B:$B,DCF!H:H))/(_xlfn.XLOOKUP("EBITDA",DCF!$B:$B,DCF!I:I)+_xlfn.XLOOKUP("Net Capex",DCF!$B:$B,DCF!I:I)),"")</f>
        <v>-1.4914709526125207</v>
      </c>
    </row>
    <row r="45" spans="2:18" ht="15.5" x14ac:dyDescent="0.35">
      <c r="B45" s="18" t="s">
        <v>77</v>
      </c>
      <c r="F45" s="16" t="str">
        <f>+IFERROR(_xlfn.XLOOKUP("Net Debt",Inputs!$B:$B,Inputs!G:G,,,-1)/_xlfn.XLOOKUP("EBITDA",Inputs!$B:$B,Inputs!G:G),"")</f>
        <v/>
      </c>
      <c r="G45" s="16" t="str">
        <f>+IFERROR(_xlfn.XLOOKUP("Net Debt",Inputs!$B:$B,Inputs!H:H,,,-1)/_xlfn.XLOOKUP("EBITDA",Inputs!$B:$B,Inputs!H:H),"")</f>
        <v/>
      </c>
      <c r="H45" s="16" t="str">
        <f>+IFERROR(_xlfn.XLOOKUP("Net Debt",Inputs!$B:$B,Inputs!I:I,,,-1)/_xlfn.XLOOKUP("EBITDA",Inputs!$B:$B,Inputs!I:I),"")</f>
        <v/>
      </c>
      <c r="I45" s="16" t="str">
        <f>+IFERROR(_xlfn.XLOOKUP("Net Debt",Inputs!$B:$B,Inputs!J:J,,,-1)/_xlfn.XLOOKUP("EBITDA",Inputs!$B:$B,Inputs!J:J),"")</f>
        <v/>
      </c>
      <c r="J45" s="16" t="str">
        <f>+IFERROR(_xlfn.XLOOKUP("Net Debt",Inputs!$B:$B,Inputs!K:K,,,-1)/_xlfn.XLOOKUP("EBITDA",Inputs!$B:$B,Inputs!K:K),"")</f>
        <v/>
      </c>
      <c r="K45" s="16" t="str">
        <f>+IFERROR(_xlfn.XLOOKUP("Net Debt",Inputs!$B:$B,Inputs!L:L,,,-1)/_xlfn.XLOOKUP("EBITDA",Inputs!$B:$B,Inputs!L:L),"")</f>
        <v/>
      </c>
      <c r="L45" s="16" t="str">
        <f>+IFERROR(_xlfn.XLOOKUP("Net Debt",Inputs!$B:$B,Inputs!M:M,,,-1)/_xlfn.XLOOKUP("EBITDA",Inputs!$B:$B,Inputs!M:M),"")</f>
        <v/>
      </c>
      <c r="M45" s="16">
        <f>+IFERROR(_xlfn.XLOOKUP("Net Debt",Inputs!$B:$B,Inputs!N:N,,,-1)/_xlfn.XLOOKUP("EBITDA",Inputs!$B:$B,Inputs!N:N),"")</f>
        <v>2.2175755241292054E-2</v>
      </c>
      <c r="N45" s="16">
        <f>+IFERROR(_xlfn.XLOOKUP("Net Debt",Inputs!$B:$B,Inputs!O:O,,,-1)/_xlfn.XLOOKUP("EBITDA",Inputs!$B:$B,Inputs!O:O),"")</f>
        <v>-7.1439824945295383E-2</v>
      </c>
      <c r="O45" s="16">
        <f>+IFERROR(_xlfn.XLOOKUP("Net Debt",Inputs!$B:$B,Inputs!P:P,,,-1)/_xlfn.XLOOKUP("EBITDA",Inputs!$B:$B,Inputs!P:P),"")</f>
        <v>0.4146613102104133</v>
      </c>
      <c r="P45" s="328">
        <f>+IFERROR(_xlfn.XLOOKUP("Net Debt",Inputs!$B:$B,Inputs!Q:Q,,,-1)/_xlfn.XLOOKUP("EBITDA",Inputs!$B:$B,Inputs!Q:Q),"")</f>
        <v>2.0146477328484425</v>
      </c>
      <c r="Q45" s="335">
        <f>IFERROR((_xlfn.XLOOKUP("Total Borrowings",DCF!$B:$B,DCF!G:G)+_xlfn.XLOOKUP("Total Leases",DCF!$B:$B,DCF!G:G)-_xlfn.XLOOKUP("Cash &amp; Cash Equivalents &amp; ST Investments",DCF!$B:$B,DCF!G:G))/_xlfn.XLOOKUP("EBITDA",DCF!$B:$B,DCF!H:H),"")</f>
        <v>1.2989820343068441</v>
      </c>
      <c r="R45" s="335">
        <f>IFERROR((_xlfn.XLOOKUP("Total Borrowings",DCF!$B:$B,DCF!H:H)+_xlfn.XLOOKUP("Total Leases",DCF!$B:$B,DCF!H:H)-_xlfn.XLOOKUP("Cash &amp; Cash Equivalents &amp; ST Investments",DCF!$B:$B,DCF!H:H))/_xlfn.XLOOKUP("EBITDA",DCF!$B:$B,DCF!I:I),"")</f>
        <v>0.32534422765760551</v>
      </c>
    </row>
    <row r="46" spans="2:18" ht="8.15" customHeight="1" x14ac:dyDescent="0.35">
      <c r="B46" s="234"/>
      <c r="N46" s="236"/>
      <c r="O46" s="236"/>
      <c r="P46" s="331"/>
      <c r="Q46" s="336"/>
      <c r="R46" s="336"/>
    </row>
    <row r="47" spans="2:18" ht="15.5" x14ac:dyDescent="0.35">
      <c r="B47" s="7" t="s">
        <v>657</v>
      </c>
      <c r="C47" s="53"/>
      <c r="D47" s="55"/>
      <c r="E47" s="55"/>
      <c r="F47" s="349">
        <v>2014</v>
      </c>
      <c r="G47" s="349">
        <f t="shared" ref="G47" si="39">+F47+1</f>
        <v>2015</v>
      </c>
      <c r="H47" s="349">
        <f t="shared" ref="H47" si="40">+G47+1</f>
        <v>2016</v>
      </c>
      <c r="I47" s="349">
        <f t="shared" ref="I47" si="41">+H47+1</f>
        <v>2017</v>
      </c>
      <c r="J47" s="349">
        <f t="shared" ref="J47" si="42">+I47+1</f>
        <v>2018</v>
      </c>
      <c r="K47" s="349">
        <f t="shared" ref="K47" si="43">+J47+1</f>
        <v>2019</v>
      </c>
      <c r="L47" s="349">
        <f t="shared" ref="L47" si="44">+K47+1</f>
        <v>2020</v>
      </c>
      <c r="M47" s="349">
        <f t="shared" ref="M47" si="45">+L47+1</f>
        <v>2021</v>
      </c>
      <c r="N47" s="349">
        <v>2022</v>
      </c>
      <c r="O47" s="349">
        <f t="shared" ref="O47" si="46">+N47+1</f>
        <v>2023</v>
      </c>
      <c r="P47" s="350">
        <f>+O47+1</f>
        <v>2024</v>
      </c>
      <c r="Q47" s="348">
        <f>+P47+1</f>
        <v>2025</v>
      </c>
      <c r="R47" s="348">
        <f>+Q47+1</f>
        <v>2026</v>
      </c>
    </row>
    <row r="48" spans="2:18" ht="4.4000000000000004" customHeight="1" x14ac:dyDescent="0.35">
      <c r="B48" s="233"/>
      <c r="C48" s="50"/>
      <c r="D48" s="57"/>
      <c r="E48" s="57"/>
      <c r="F48" s="57"/>
      <c r="G48" s="57"/>
      <c r="H48" s="57"/>
      <c r="I48" s="57"/>
      <c r="J48" s="57"/>
      <c r="K48" s="57"/>
      <c r="L48" s="57"/>
      <c r="M48" s="57"/>
      <c r="N48" s="220"/>
      <c r="O48" s="220"/>
      <c r="P48" s="330"/>
      <c r="Q48" s="220"/>
      <c r="R48" s="220"/>
    </row>
    <row r="49" spans="2:18" ht="15.5" x14ac:dyDescent="0.35">
      <c r="B49" s="234" t="s">
        <v>79</v>
      </c>
      <c r="F49" s="16" t="str">
        <f>IFERROR(_xlfn.XLOOKUP("Operating Income (EBIT)",Inputs!$B:$B,Inputs!G:G)/_xlfn.XLOOKUP("Interest Expense",Inputs!$B:$B,Inputs!G:G),"N/A")</f>
        <v>N/A</v>
      </c>
      <c r="G49" s="16" t="str">
        <f>IFERROR(_xlfn.XLOOKUP("Operating Income (EBIT)",Inputs!$B:$B,Inputs!H:H)/_xlfn.XLOOKUP("Interest Expense",Inputs!$B:$B,Inputs!H:H),"N/A")</f>
        <v>N/A</v>
      </c>
      <c r="H49" s="16" t="str">
        <f>IFERROR(_xlfn.XLOOKUP("Operating Income (EBIT)",Inputs!$B:$B,Inputs!I:I)/_xlfn.XLOOKUP("Interest Expense",Inputs!$B:$B,Inputs!I:I),"N/A")</f>
        <v>N/A</v>
      </c>
      <c r="I49" s="16" t="str">
        <f>IFERROR(_xlfn.XLOOKUP("Operating Income (EBIT)",Inputs!$B:$B,Inputs!J:J)/_xlfn.XLOOKUP("Interest Expense",Inputs!$B:$B,Inputs!J:J),"N/A")</f>
        <v>N/A</v>
      </c>
      <c r="J49" s="16" t="str">
        <f>IFERROR(_xlfn.XLOOKUP("Operating Income (EBIT)",Inputs!$B:$B,Inputs!K:K)/_xlfn.XLOOKUP("Interest Expense",Inputs!$B:$B,Inputs!K:K),"N/A")</f>
        <v>N/A</v>
      </c>
      <c r="K49" s="16" t="str">
        <f>IFERROR(_xlfn.XLOOKUP("Operating Income (EBIT)",Inputs!$B:$B,Inputs!L:L)/_xlfn.XLOOKUP("Interest Expense",Inputs!$B:$B,Inputs!L:L),"N/A")</f>
        <v>N/A</v>
      </c>
      <c r="L49" s="16" t="str">
        <f>IFERROR(_xlfn.XLOOKUP("Operating Income (EBIT)",Inputs!$B:$B,Inputs!M:M)/_xlfn.XLOOKUP("Interest Expense",Inputs!$B:$B,Inputs!M:M),"N/A")</f>
        <v>N/A</v>
      </c>
      <c r="M49" s="16">
        <f>IFERROR(_xlfn.XLOOKUP("Operating Income (EBIT)",Inputs!$B:$B,Inputs!N:N)/_xlfn.XLOOKUP("Interest Expense",Inputs!$B:$B,Inputs!N:N),"N/A")</f>
        <v>-22.539351851851851</v>
      </c>
      <c r="N49" s="16">
        <f>IFERROR(_xlfn.XLOOKUP("Operating Income (EBIT)",Inputs!$B:$B,Inputs!O:O)/_xlfn.XLOOKUP("Interest Expense",Inputs!$B:$B,Inputs!O:O),"N/A")</f>
        <v>3.4261241970021414</v>
      </c>
      <c r="O49" s="16">
        <f>IFERROR(_xlfn.XLOOKUP("Operating Income (EBIT)",Inputs!$B:$B,Inputs!P:P)/_xlfn.XLOOKUP("Interest Expense",Inputs!$B:$B,Inputs!P:P),"N/A")</f>
        <v>-2088.3243243243246</v>
      </c>
      <c r="P49" s="328">
        <f>IFERROR(_xlfn.XLOOKUP("Operating Income (EBIT)",Inputs!$B:$B,Inputs!Q:Q)/_xlfn.XLOOKUP("Interest Expense",Inputs!$B:$B,Inputs!Q:Q),"N/A")</f>
        <v>-18.677444187836798</v>
      </c>
      <c r="Q49" s="335" t="str">
        <f>IFERROR(_xlfn.XLOOKUP("EBIT",DCF!$B:$B,DCF!H:H)/_xlfn.XLOOKUP("Interest Expense",DCF!$B:$B,DCF!H:H),"N/A")</f>
        <v>N/A</v>
      </c>
      <c r="R49" s="335">
        <f>IFERROR(_xlfn.XLOOKUP("EBIT",DCF!$B:$B,DCF!I:I)/_xlfn.XLOOKUP("Interest Expense",DCF!$B:$B,DCF!I:I),"N/A")</f>
        <v>0</v>
      </c>
    </row>
    <row r="50" spans="2:18" ht="15.5" x14ac:dyDescent="0.35">
      <c r="B50" s="18" t="s">
        <v>80</v>
      </c>
      <c r="F50" s="16" t="str">
        <f>IFERROR(_xlfn.XLOOKUP("EBITDA",Inputs!$B:$B,Inputs!G:G)/_xlfn.XLOOKUP("Interest Expense",Inputs!$B:$B,Inputs!G:G),"N/A")</f>
        <v>N/A</v>
      </c>
      <c r="G50" s="16" t="str">
        <f>IFERROR(_xlfn.XLOOKUP("EBITDA",Inputs!$B:$B,Inputs!H:H)/_xlfn.XLOOKUP("Interest Expense",Inputs!$B:$B,Inputs!H:H),"N/A")</f>
        <v>N/A</v>
      </c>
      <c r="H50" s="16" t="str">
        <f>IFERROR(_xlfn.XLOOKUP("EBITDA",Inputs!$B:$B,Inputs!I:I)/_xlfn.XLOOKUP("Interest Expense",Inputs!$B:$B,Inputs!I:I),"N/A")</f>
        <v>N/A</v>
      </c>
      <c r="I50" s="16" t="str">
        <f>IFERROR(_xlfn.XLOOKUP("EBITDA",Inputs!$B:$B,Inputs!J:J)/_xlfn.XLOOKUP("Interest Expense",Inputs!$B:$B,Inputs!J:J),"N/A")</f>
        <v>N/A</v>
      </c>
      <c r="J50" s="16" t="str">
        <f>IFERROR(_xlfn.XLOOKUP("EBITDA",Inputs!$B:$B,Inputs!K:K)/_xlfn.XLOOKUP("Interest Expense",Inputs!$B:$B,Inputs!K:K),"N/A")</f>
        <v>N/A</v>
      </c>
      <c r="K50" s="16" t="str">
        <f>IFERROR(_xlfn.XLOOKUP("EBITDA",Inputs!$B:$B,Inputs!L:L)/_xlfn.XLOOKUP("Interest Expense",Inputs!$B:$B,Inputs!L:L),"N/A")</f>
        <v>N/A</v>
      </c>
      <c r="L50" s="16" t="str">
        <f>IFERROR(_xlfn.XLOOKUP("EBITDA",Inputs!$B:$B,Inputs!M:M)/_xlfn.XLOOKUP("Interest Expense",Inputs!$B:$B,Inputs!M:M),"N/A")</f>
        <v>N/A</v>
      </c>
      <c r="M50" s="16">
        <f>IFERROR(_xlfn.XLOOKUP("EBITDA",Inputs!$B:$B,Inputs!N:N)/_xlfn.XLOOKUP("Interest Expense",Inputs!$B:$B,Inputs!N:N),"N/A")</f>
        <v>-21.033564814814813</v>
      </c>
      <c r="N50" s="16">
        <f>IFERROR(_xlfn.XLOOKUP("EBITDA",Inputs!$B:$B,Inputs!O:O)/_xlfn.XLOOKUP("Interest Expense",Inputs!$B:$B,Inputs!O:O),"N/A")</f>
        <v>-24.464668094218414</v>
      </c>
      <c r="O50" s="16">
        <f>IFERROR(_xlfn.XLOOKUP("EBITDA",Inputs!$B:$B,Inputs!P:P)/_xlfn.XLOOKUP("Interest Expense",Inputs!$B:$B,Inputs!P:P),"N/A")</f>
        <v>-2038.4594594594596</v>
      </c>
      <c r="P50" s="328">
        <f>IFERROR(_xlfn.XLOOKUP("EBITDA",Inputs!$B:$B,Inputs!Q:Q)/_xlfn.XLOOKUP("Interest Expense",Inputs!$B:$B,Inputs!Q:Q),"N/A")</f>
        <v>-17.781370284834487</v>
      </c>
      <c r="Q50" s="335">
        <f>IFERROR(_xlfn.XLOOKUP("EBITDA",DCF!$B:$B,DCF!H:H)/_xlfn.XLOOKUP("Interest Expense",DCF!$B:$B,DCF!H:H),"N/A")</f>
        <v>-19.299464234337215</v>
      </c>
      <c r="R50" s="335">
        <f>IFERROR(_xlfn.XLOOKUP("EBITDA",DCF!$B:$B,DCF!I:I)/_xlfn.XLOOKUP("Interest Expense",DCF!$B:$B,DCF!I:I),"N/A")</f>
        <v>-22.214971984053093</v>
      </c>
    </row>
    <row r="51" spans="2:18" ht="15.5" x14ac:dyDescent="0.35">
      <c r="B51" s="18" t="s">
        <v>81</v>
      </c>
      <c r="F51" s="16" t="str">
        <f>IFERROR((_xlfn.XLOOKUP("EBITDA",Inputs!$B:$B,Inputs!G:G)-_xlfn.XLOOKUP("Net Capex",Inputs!$B:$B,Inputs!G:G))/_xlfn.XLOOKUP("Interest Expense",Inputs!$B:$B,Inputs!G:G),"N/A")</f>
        <v>N/A</v>
      </c>
      <c r="G51" s="16" t="str">
        <f>IFERROR((_xlfn.XLOOKUP("EBITDA",Inputs!$B:$B,Inputs!H:H)-_xlfn.XLOOKUP("Net Capex",Inputs!$B:$B,Inputs!H:H))/_xlfn.XLOOKUP("Interest Expense",Inputs!$B:$B,Inputs!H:H),"N/A")</f>
        <v>N/A</v>
      </c>
      <c r="H51" s="16" t="str">
        <f>IFERROR((_xlfn.XLOOKUP("EBITDA",Inputs!$B:$B,Inputs!I:I)-_xlfn.XLOOKUP("Net Capex",Inputs!$B:$B,Inputs!I:I))/_xlfn.XLOOKUP("Interest Expense",Inputs!$B:$B,Inputs!I:I),"N/A")</f>
        <v>N/A</v>
      </c>
      <c r="I51" s="16" t="str">
        <f>IFERROR((_xlfn.XLOOKUP("EBITDA",Inputs!$B:$B,Inputs!J:J)-_xlfn.XLOOKUP("Net Capex",Inputs!$B:$B,Inputs!J:J))/_xlfn.XLOOKUP("Interest Expense",Inputs!$B:$B,Inputs!J:J),"N/A")</f>
        <v>N/A</v>
      </c>
      <c r="J51" s="16" t="str">
        <f>IFERROR((_xlfn.XLOOKUP("EBITDA",Inputs!$B:$B,Inputs!K:K)-_xlfn.XLOOKUP("Net Capex",Inputs!$B:$B,Inputs!K:K))/_xlfn.XLOOKUP("Interest Expense",Inputs!$B:$B,Inputs!K:K),"N/A")</f>
        <v>N/A</v>
      </c>
      <c r="K51" s="16" t="str">
        <f>IFERROR((_xlfn.XLOOKUP("EBITDA",Inputs!$B:$B,Inputs!L:L)-_xlfn.XLOOKUP("Net Capex",Inputs!$B:$B,Inputs!L:L))/_xlfn.XLOOKUP("Interest Expense",Inputs!$B:$B,Inputs!L:L),"N/A")</f>
        <v>N/A</v>
      </c>
      <c r="L51" s="16" t="str">
        <f>IFERROR((_xlfn.XLOOKUP("EBITDA",Inputs!$B:$B,Inputs!M:M)-_xlfn.XLOOKUP("Net Capex",Inputs!$B:$B,Inputs!M:M))/_xlfn.XLOOKUP("Interest Expense",Inputs!$B:$B,Inputs!M:M),"N/A")</f>
        <v>N/A</v>
      </c>
      <c r="M51" s="16">
        <f>IFERROR((_xlfn.XLOOKUP("EBITDA",Inputs!$B:$B,Inputs!N:N)-_xlfn.XLOOKUP("Net Capex",Inputs!$B:$B,Inputs!N:N))/_xlfn.XLOOKUP("Interest Expense",Inputs!$B:$B,Inputs!N:N),"N/A")</f>
        <v>-20.006944444444443</v>
      </c>
      <c r="N51" s="16">
        <f>IFERROR((_xlfn.XLOOKUP("EBITDA",Inputs!$B:$B,Inputs!O:O)-_xlfn.XLOOKUP("Net Capex",Inputs!$B:$B,Inputs!O:O))/_xlfn.XLOOKUP("Interest Expense",Inputs!$B:$B,Inputs!O:O),"N/A")</f>
        <v>-24.283511777301928</v>
      </c>
      <c r="O51" s="16">
        <f>IFERROR((_xlfn.XLOOKUP("EBITDA",Inputs!$B:$B,Inputs!P:P)-_xlfn.XLOOKUP("Net Capex",Inputs!$B:$B,Inputs!P:P))/_xlfn.XLOOKUP("Interest Expense",Inputs!$B:$B,Inputs!P:P),"N/A")</f>
        <v>-2022.7027027027029</v>
      </c>
      <c r="P51" s="328">
        <f>IFERROR((_xlfn.XLOOKUP("EBITDA",Inputs!$B:$B,Inputs!Q:Q)-_xlfn.XLOOKUP("Net Capex",Inputs!$B:$B,Inputs!Q:Q))/_xlfn.XLOOKUP("Interest Expense",Inputs!$B:$B,Inputs!Q:Q),"N/A")</f>
        <v>-17.166794970490123</v>
      </c>
      <c r="Q51" s="335">
        <f>IFERROR((_xlfn.XLOOKUP("EBITDA",DCF!$B:$B,DCF!H:H)-_xlfn.XLOOKUP("Net Capex",DCF!$B:$B,DCF!H:H))/_xlfn.XLOOKUP("Interest Expense",DCF!$B:$B,DCF!H:H),"N/A")</f>
        <v>-19.299464234337215</v>
      </c>
      <c r="R51" s="335">
        <f>IFERROR((_xlfn.XLOOKUP("EBITDA",DCF!$B:$B,DCF!I:I)-_xlfn.XLOOKUP("Net Capex",DCF!$B:$B,DCF!I:I))/_xlfn.XLOOKUP("Interest Expense",DCF!$B:$B,DCF!I:I),"N/A")</f>
        <v>-22.214971984053093</v>
      </c>
    </row>
    <row r="52" spans="2:18" x14ac:dyDescent="0.3">
      <c r="P52" s="329"/>
      <c r="Q52" s="340"/>
      <c r="R52" s="340"/>
    </row>
    <row r="53" spans="2:18" ht="15.5" x14ac:dyDescent="0.35">
      <c r="B53" s="7" t="s">
        <v>53</v>
      </c>
      <c r="C53" s="53"/>
      <c r="D53" s="55"/>
      <c r="E53" s="55"/>
      <c r="F53" s="349">
        <v>2014</v>
      </c>
      <c r="G53" s="349">
        <f t="shared" ref="G53" si="47">+F53+1</f>
        <v>2015</v>
      </c>
      <c r="H53" s="349">
        <f t="shared" ref="H53" si="48">+G53+1</f>
        <v>2016</v>
      </c>
      <c r="I53" s="349">
        <f t="shared" ref="I53" si="49">+H53+1</f>
        <v>2017</v>
      </c>
      <c r="J53" s="349">
        <f t="shared" ref="J53" si="50">+I53+1</f>
        <v>2018</v>
      </c>
      <c r="K53" s="349">
        <f t="shared" ref="K53" si="51">+J53+1</f>
        <v>2019</v>
      </c>
      <c r="L53" s="349">
        <f t="shared" ref="L53" si="52">+K53+1</f>
        <v>2020</v>
      </c>
      <c r="M53" s="349">
        <f t="shared" ref="M53" si="53">+L53+1</f>
        <v>2021</v>
      </c>
      <c r="N53" s="349">
        <v>2022</v>
      </c>
      <c r="O53" s="349">
        <f t="shared" ref="O53" si="54">+N53+1</f>
        <v>2023</v>
      </c>
      <c r="P53" s="350">
        <f>+O53+1</f>
        <v>2024</v>
      </c>
      <c r="Q53" s="348">
        <f>+P53+1</f>
        <v>2025</v>
      </c>
      <c r="R53" s="348">
        <f>+Q53+1</f>
        <v>2026</v>
      </c>
    </row>
    <row r="54" spans="2:18" ht="3.75" customHeight="1" x14ac:dyDescent="0.35">
      <c r="B54" s="233"/>
      <c r="C54" s="50"/>
      <c r="D54" s="57"/>
      <c r="E54" s="57"/>
      <c r="F54" s="57"/>
      <c r="G54" s="57"/>
      <c r="H54" s="57"/>
      <c r="I54" s="57"/>
      <c r="J54" s="57"/>
      <c r="K54" s="57"/>
      <c r="L54" s="57"/>
      <c r="M54" s="57"/>
      <c r="N54" s="220"/>
      <c r="O54" s="220"/>
      <c r="P54" s="330"/>
      <c r="Q54" s="220"/>
      <c r="R54" s="220"/>
    </row>
    <row r="55" spans="2:18" ht="15.5" x14ac:dyDescent="0.35">
      <c r="B55" s="18" t="s">
        <v>242</v>
      </c>
      <c r="F55" s="345" t="str">
        <f>+IFERROR(_xlfn.XLOOKUP("Operating Cash Flow",Inputs!$B:$B,Inputs!G:G,,,-1)/_xlfn.XLOOKUP("Revenue (Sales)",Inputs!$B:$B,Inputs!G:G),"")</f>
        <v/>
      </c>
      <c r="G55" s="345" t="str">
        <f>+IFERROR(_xlfn.XLOOKUP("Operating Cash Flow",Inputs!$B:$B,Inputs!H:H,,,-1)/_xlfn.XLOOKUP("Revenue (Sales)",Inputs!$B:$B,Inputs!H:H),"")</f>
        <v/>
      </c>
      <c r="H55" s="345" t="str">
        <f>+IFERROR(_xlfn.XLOOKUP("Operating Cash Flow",Inputs!$B:$B,Inputs!I:I,,,-1)/_xlfn.XLOOKUP("Revenue (Sales)",Inputs!$B:$B,Inputs!I:I),"")</f>
        <v/>
      </c>
      <c r="I55" s="345" t="str">
        <f>+IFERROR(_xlfn.XLOOKUP("Operating Cash Flow",Inputs!$B:$B,Inputs!J:J,,,-1)/_xlfn.XLOOKUP("Revenue (Sales)",Inputs!$B:$B,Inputs!J:J),"")</f>
        <v/>
      </c>
      <c r="J55" s="345" t="str">
        <f>+IFERROR(_xlfn.XLOOKUP("Operating Cash Flow",Inputs!$B:$B,Inputs!K:K,,,-1)/_xlfn.XLOOKUP("Revenue (Sales)",Inputs!$B:$B,Inputs!K:K),"")</f>
        <v/>
      </c>
      <c r="K55" s="345" t="str">
        <f>+IFERROR(_xlfn.XLOOKUP("Operating Cash Flow",Inputs!$B:$B,Inputs!L:L,,,-1)/_xlfn.XLOOKUP("Revenue (Sales)",Inputs!$B:$B,Inputs!L:L),"")</f>
        <v/>
      </c>
      <c r="L55" s="345" t="str">
        <f>+IFERROR(_xlfn.XLOOKUP("Operating Cash Flow",Inputs!$B:$B,Inputs!M:M,,,-1)/_xlfn.XLOOKUP("Revenue (Sales)",Inputs!$B:$B,Inputs!M:M),"")</f>
        <v/>
      </c>
      <c r="M55" s="345">
        <f>+IFERROR(_xlfn.XLOOKUP("Operating Cash Flow",Inputs!$B:$B,Inputs!N:N,,,-1)/_xlfn.XLOOKUP("Revenue (Sales)",Inputs!$B:$B,Inputs!N:N),"")</f>
        <v>-5.5422838031533681</v>
      </c>
      <c r="N55" s="345">
        <f>+IFERROR(_xlfn.XLOOKUP("Operating Cash Flow",Inputs!$B:$B,Inputs!O:O,,,-1)/_xlfn.XLOOKUP("Revenue (Sales)",Inputs!$B:$B,Inputs!O:O),"")</f>
        <v>-6.3050327617454345</v>
      </c>
      <c r="O55" s="345">
        <f>+IFERROR(_xlfn.XLOOKUP("Operating Cash Flow",Inputs!$B:$B,Inputs!P:P,,,-1)/_xlfn.XLOOKUP("Revenue (Sales)",Inputs!$B:$B,Inputs!P:P),"")</f>
        <v>-6.9249828728020102</v>
      </c>
      <c r="P55" s="346">
        <f>+IFERROR(_xlfn.XLOOKUP("Operating Cash Flow",Inputs!$B:$B,Inputs!Q:Q,,,-1)/_xlfn.XLOOKUP("Revenue (Sales)",Inputs!$B:$B,Inputs!Q:Q),"")</f>
        <v>-4.8309731505607791</v>
      </c>
      <c r="Q55" s="347">
        <f>IFERROR(_xlfn.XLOOKUP("Operating Cash Flow",DCF!$B:$B,DCF!H:H)/_xlfn.XLOOKUP("Revenue (Sales)",DCF!$B:$B,DCF!H:H),"")</f>
        <v>-4.6942843682822737</v>
      </c>
      <c r="R55" s="347">
        <f>IFERROR(_xlfn.XLOOKUP("Operating Cash Flow",DCF!$B:$B,DCF!I:I)/_xlfn.XLOOKUP("Revenue (Sales)",DCF!$B:$B,DCF!I:I),"")</f>
        <v>-3.5330748856386203</v>
      </c>
    </row>
    <row r="56" spans="2:18" ht="15.5" x14ac:dyDescent="0.35">
      <c r="B56" s="18" t="s">
        <v>243</v>
      </c>
      <c r="F56" s="345" t="str">
        <f>IFERROR(_xlfn.XLOOKUP("Net Changes in Cash",Inputs!$B:$B,Inputs!G:G,,,-1)/_xlfn.XLOOKUP("Net Income",Inputs!$B:$B,Inputs!G:G),"")</f>
        <v/>
      </c>
      <c r="G56" s="345" t="str">
        <f>IFERROR(_xlfn.XLOOKUP("Net Changes in Cash",Inputs!$B:$B,Inputs!H:H,,,-1)/_xlfn.XLOOKUP("Net Income",Inputs!$B:$B,Inputs!H:H),"")</f>
        <v/>
      </c>
      <c r="H56" s="345" t="str">
        <f>IFERROR(_xlfn.XLOOKUP("Net Changes in Cash",Inputs!$B:$B,Inputs!I:I,,,-1)/_xlfn.XLOOKUP("Net Income",Inputs!$B:$B,Inputs!I:I),"")</f>
        <v/>
      </c>
      <c r="I56" s="345" t="str">
        <f>IFERROR(_xlfn.XLOOKUP("Net Changes in Cash",Inputs!$B:$B,Inputs!J:J,,,-1)/_xlfn.XLOOKUP("Net Income",Inputs!$B:$B,Inputs!J:J),"")</f>
        <v/>
      </c>
      <c r="J56" s="345" t="str">
        <f>IFERROR(_xlfn.XLOOKUP("Net Changes in Cash",Inputs!$B:$B,Inputs!K:K,,,-1)/_xlfn.XLOOKUP("Net Income",Inputs!$B:$B,Inputs!K:K),"")</f>
        <v/>
      </c>
      <c r="K56" s="345" t="str">
        <f>IFERROR(_xlfn.XLOOKUP("Net Changes in Cash",Inputs!$B:$B,Inputs!L:L,,,-1)/_xlfn.XLOOKUP("Net Income",Inputs!$B:$B,Inputs!L:L),"")</f>
        <v/>
      </c>
      <c r="L56" s="345" t="str">
        <f>IFERROR(_xlfn.XLOOKUP("Net Changes in Cash",Inputs!$B:$B,Inputs!M:M,,,-1)/_xlfn.XLOOKUP("Net Income",Inputs!$B:$B,Inputs!M:M),"")</f>
        <v/>
      </c>
      <c r="M56" s="345">
        <f>IFERROR(_xlfn.XLOOKUP("Net Changes in Cash",Inputs!$B:$B,Inputs!N:N,,,-1)/_xlfn.XLOOKUP("Net Income",Inputs!$B:$B,Inputs!N:N),"")</f>
        <v>0.37571722935488983</v>
      </c>
      <c r="N56" s="345">
        <f>IFERROR(_xlfn.XLOOKUP("Net Changes in Cash",Inputs!$B:$B,Inputs!O:O,,,-1)/_xlfn.XLOOKUP("Net Income",Inputs!$B:$B,Inputs!O:O),"")</f>
        <v>4.5026256005362933E-2</v>
      </c>
      <c r="O56" s="345">
        <f>IFERROR(_xlfn.XLOOKUP("Net Changes in Cash",Inputs!$B:$B,Inputs!P:P,,,-1)/_xlfn.XLOOKUP("Net Income",Inputs!$B:$B,Inputs!P:P),"")</f>
        <v>-0.41397569969171244</v>
      </c>
      <c r="P56" s="346">
        <f>IFERROR(_xlfn.XLOOKUP("Net Changes in Cash",Inputs!$B:$B,Inputs!Q:Q,,,-1)/_xlfn.XLOOKUP("Net Income",Inputs!$B:$B,Inputs!Q:Q),"")</f>
        <v>-0.94991624907039951</v>
      </c>
      <c r="Q56" s="347">
        <f>IFERROR(_xlfn.XLOOKUP("Net Changes in Cash",DCF!$B:$B,DCF!H:H)/_xlfn.XLOOKUP("Net Income",DCF!$B:$B,DCF!H:H),"")</f>
        <v>-0.11260953359260929</v>
      </c>
      <c r="R56" s="347">
        <f>IFERROR(_xlfn.XLOOKUP("Net Changes in Cash",DCF!$B:$B,DCF!I:I)/_xlfn.XLOOKUP("Net Income",DCF!$B:$B,DCF!I:I),"")</f>
        <v>0.38942097485800448</v>
      </c>
    </row>
    <row r="57" spans="2:18" ht="15.5" x14ac:dyDescent="0.35">
      <c r="B57" s="18" t="s">
        <v>244</v>
      </c>
      <c r="F57" s="345" t="str">
        <f>IFERROR(_xlfn.XLOOKUP("Operating Cash Flow",Inputs!$B:$B,Inputs!G:G,,,-1)/_xlfn.XLOOKUP("Net Income",Inputs!$B:$B,Inputs!G:G),"")</f>
        <v/>
      </c>
      <c r="G57" s="345" t="str">
        <f>IFERROR(_xlfn.XLOOKUP("Operating Cash Flow",Inputs!$B:$B,Inputs!H:H,,,-1)/_xlfn.XLOOKUP("Net Income",Inputs!$B:$B,Inputs!H:H),"")</f>
        <v/>
      </c>
      <c r="H57" s="345" t="str">
        <f>IFERROR(_xlfn.XLOOKUP("Operating Cash Flow",Inputs!$B:$B,Inputs!I:I,,,-1)/_xlfn.XLOOKUP("Net Income",Inputs!$B:$B,Inputs!I:I),"")</f>
        <v/>
      </c>
      <c r="I57" s="345" t="str">
        <f>IFERROR(_xlfn.XLOOKUP("Operating Cash Flow",Inputs!$B:$B,Inputs!J:J,,,-1)/_xlfn.XLOOKUP("Net Income",Inputs!$B:$B,Inputs!J:J),"")</f>
        <v/>
      </c>
      <c r="J57" s="345" t="str">
        <f>IFERROR(_xlfn.XLOOKUP("Operating Cash Flow",Inputs!$B:$B,Inputs!K:K,,,-1)/_xlfn.XLOOKUP("Net Income",Inputs!$B:$B,Inputs!K:K),"")</f>
        <v/>
      </c>
      <c r="K57" s="345" t="str">
        <f>IFERROR(_xlfn.XLOOKUP("Operating Cash Flow",Inputs!$B:$B,Inputs!L:L,,,-1)/_xlfn.XLOOKUP("Net Income",Inputs!$B:$B,Inputs!L:L),"")</f>
        <v/>
      </c>
      <c r="L57" s="345" t="str">
        <f>IFERROR(_xlfn.XLOOKUP("Operating Cash Flow",Inputs!$B:$B,Inputs!M:M,,,-1)/_xlfn.XLOOKUP("Net Income",Inputs!$B:$B,Inputs!M:M),"")</f>
        <v/>
      </c>
      <c r="M57" s="345">
        <f>IFERROR(_xlfn.XLOOKUP("Operating Cash Flow",Inputs!$B:$B,Inputs!N:N,,,-1)/_xlfn.XLOOKUP("Net Income",Inputs!$B:$B,Inputs!N:N),"")</f>
        <v>1.1031859248692342</v>
      </c>
      <c r="N57" s="345">
        <f>IFERROR(_xlfn.XLOOKUP("Operating Cash Flow",Inputs!$B:$B,Inputs!O:O,,,-1)/_xlfn.XLOOKUP("Net Income",Inputs!$B:$B,Inputs!O:O),"")</f>
        <v>0.84216602733603962</v>
      </c>
      <c r="O57" s="345">
        <f>IFERROR(_xlfn.XLOOKUP("Operating Cash Flow",Inputs!$B:$B,Inputs!P:P,,,-1)/_xlfn.XLOOKUP("Net Income",Inputs!$B:$B,Inputs!P:P),"")</f>
        <v>0.73322855588466418</v>
      </c>
      <c r="P57" s="346">
        <f>IFERROR(_xlfn.XLOOKUP("Operating Cash Flow",Inputs!$B:$B,Inputs!Q:Q,,,-1)/_xlfn.XLOOKUP("Net Income",Inputs!$B:$B,Inputs!Q:Q),"")</f>
        <v>0.29638098680140956</v>
      </c>
      <c r="Q57" s="347">
        <f>IFERROR(_xlfn.XLOOKUP("Operating Cash Flow",DCF!$B:$B,DCF!H:H)/_xlfn.XLOOKUP("Net Income",DCF!$B:$B,DCF!H:H),"")</f>
        <v>0.60527072712410401</v>
      </c>
      <c r="R57" s="347">
        <f>IFERROR(_xlfn.XLOOKUP("Operating Cash Flow",DCF!$B:$B,DCF!I:I)/_xlfn.XLOOKUP("Net Income",DCF!$B:$B,DCF!I:I),"")</f>
        <v>0.52516259413044897</v>
      </c>
    </row>
    <row r="58" spans="2:18" ht="15.5" x14ac:dyDescent="0.35">
      <c r="B58" s="18" t="s">
        <v>245</v>
      </c>
      <c r="F58" s="345" t="str">
        <f>IFERROR(_xlfn.XLOOKUP("Net Capex",Inputs!$B:$B,Inputs!G:G,,,-1)/_xlfn.XLOOKUP("Operating Cash Flow",Inputs!$B:$B,Inputs!G:G),"")</f>
        <v/>
      </c>
      <c r="G58" s="345" t="str">
        <f>IFERROR(_xlfn.XLOOKUP("Net Capex",Inputs!$B:$B,Inputs!H:H,,,-1)/_xlfn.XLOOKUP("Operating Cash Flow",Inputs!$B:$B,Inputs!H:H),"")</f>
        <v/>
      </c>
      <c r="H58" s="345" t="str">
        <f>IFERROR(_xlfn.XLOOKUP("Net Capex",Inputs!$B:$B,Inputs!I:I,,,-1)/_xlfn.XLOOKUP("Operating Cash Flow",Inputs!$B:$B,Inputs!I:I),"")</f>
        <v/>
      </c>
      <c r="I58" s="345" t="str">
        <f>IFERROR(_xlfn.XLOOKUP("Net Capex",Inputs!$B:$B,Inputs!J:J,,,-1)/_xlfn.XLOOKUP("Operating Cash Flow",Inputs!$B:$B,Inputs!J:J),"")</f>
        <v/>
      </c>
      <c r="J58" s="345" t="str">
        <f>IFERROR(_xlfn.XLOOKUP("Net Capex",Inputs!$B:$B,Inputs!K:K,,,-1)/_xlfn.XLOOKUP("Operating Cash Flow",Inputs!$B:$B,Inputs!K:K),"")</f>
        <v/>
      </c>
      <c r="K58" s="345" t="str">
        <f>IFERROR(_xlfn.XLOOKUP("Net Capex",Inputs!$B:$B,Inputs!L:L,,,-1)/_xlfn.XLOOKUP("Operating Cash Flow",Inputs!$B:$B,Inputs!L:L),"")</f>
        <v/>
      </c>
      <c r="L58" s="345" t="str">
        <f>IFERROR(_xlfn.XLOOKUP("Net Capex",Inputs!$B:$B,Inputs!M:M,,,-1)/_xlfn.XLOOKUP("Operating Cash Flow",Inputs!$B:$B,Inputs!M:M),"")</f>
        <v/>
      </c>
      <c r="M58" s="345">
        <f>IFERROR(_xlfn.XLOOKUP("Net Capex",Inputs!$B:$B,Inputs!N:N,,,-1)/_xlfn.XLOOKUP("Operating Cash Flow",Inputs!$B:$B,Inputs!N:N),"")</f>
        <v>5.0977011494252877E-2</v>
      </c>
      <c r="N58" s="345">
        <f>IFERROR(_xlfn.XLOOKUP("Net Capex",Inputs!$B:$B,Inputs!O:O,,,-1)/_xlfn.XLOOKUP("Operating Cash Flow",Inputs!$B:$B,Inputs!O:O),"")</f>
        <v>9.3530270198558356E-3</v>
      </c>
      <c r="O58" s="345">
        <f>IFERROR(_xlfn.XLOOKUP("Net Capex",Inputs!$B:$B,Inputs!P:P,,,-1)/_xlfn.XLOOKUP("Operating Cash Flow",Inputs!$B:$B,Inputs!P:P),"")</f>
        <v>9.6126894095533311E-3</v>
      </c>
      <c r="P58" s="346">
        <f>IFERROR(_xlfn.XLOOKUP("Net Capex",Inputs!$B:$B,Inputs!Q:Q,,,-1)/_xlfn.XLOOKUP("Operating Cash Flow",Inputs!$B:$B,Inputs!Q:Q),"")</f>
        <v>5.6163965949862817E-2</v>
      </c>
      <c r="Q58" s="347">
        <f>IFERROR(_xlfn.XLOOKUP("Net Capex",DCF!$B:$B,DCF!H:H)/_xlfn.XLOOKUP("Operating Cash Flow",DCF!$B:$B,DCF!H:H),"")</f>
        <v>0</v>
      </c>
      <c r="R58" s="347">
        <f>IFERROR(_xlfn.XLOOKUP("Net Capex",DCF!$B:$B,DCF!I:I)/_xlfn.XLOOKUP("Operating Cash Flow",DCF!$B:$B,DCF!I:I),"")</f>
        <v>0</v>
      </c>
    </row>
    <row r="59" spans="2:18" ht="15.5" x14ac:dyDescent="0.35">
      <c r="B59" s="18" t="s">
        <v>246</v>
      </c>
      <c r="F59" s="345" t="str">
        <f>IFERROR(_xlfn.XLOOKUP("Investing Cash Flow",Inputs!$B:$B,Inputs!G:G,,,-1)/_xlfn.XLOOKUP("Operating Cash Flow",Inputs!$B:$B,Inputs!G:G),"")</f>
        <v/>
      </c>
      <c r="G59" s="345" t="str">
        <f>IFERROR(_xlfn.XLOOKUP("Investing Cash Flow",Inputs!$B:$B,Inputs!H:H,,,-1)/_xlfn.XLOOKUP("Operating Cash Flow",Inputs!$B:$B,Inputs!H:H),"")</f>
        <v/>
      </c>
      <c r="H59" s="345" t="str">
        <f>IFERROR(_xlfn.XLOOKUP("Investing Cash Flow",Inputs!$B:$B,Inputs!I:I,,,-1)/_xlfn.XLOOKUP("Operating Cash Flow",Inputs!$B:$B,Inputs!I:I),"")</f>
        <v/>
      </c>
      <c r="I59" s="345" t="str">
        <f>IFERROR(_xlfn.XLOOKUP("Investing Cash Flow",Inputs!$B:$B,Inputs!J:J,,,-1)/_xlfn.XLOOKUP("Operating Cash Flow",Inputs!$B:$B,Inputs!J:J),"")</f>
        <v/>
      </c>
      <c r="J59" s="345" t="str">
        <f>IFERROR(_xlfn.XLOOKUP("Investing Cash Flow",Inputs!$B:$B,Inputs!K:K,,,-1)/_xlfn.XLOOKUP("Operating Cash Flow",Inputs!$B:$B,Inputs!K:K),"")</f>
        <v/>
      </c>
      <c r="K59" s="345" t="str">
        <f>IFERROR(_xlfn.XLOOKUP("Investing Cash Flow",Inputs!$B:$B,Inputs!L:L,,,-1)/_xlfn.XLOOKUP("Operating Cash Flow",Inputs!$B:$B,Inputs!L:L),"")</f>
        <v/>
      </c>
      <c r="L59" s="345" t="str">
        <f>IFERROR(_xlfn.XLOOKUP("Investing Cash Flow",Inputs!$B:$B,Inputs!M:M,,,-1)/_xlfn.XLOOKUP("Operating Cash Flow",Inputs!$B:$B,Inputs!M:M),"")</f>
        <v/>
      </c>
      <c r="M59" s="345">
        <f>IFERROR(_xlfn.XLOOKUP("Investing Cash Flow",Inputs!$B:$B,Inputs!N:N,,,-1)/_xlfn.XLOOKUP("Operating Cash Flow",Inputs!$B:$B,Inputs!N:N),"")</f>
        <v>5.7442528735632194E-2</v>
      </c>
      <c r="N59" s="345">
        <f>IFERROR(_xlfn.XLOOKUP("Investing Cash Flow",Inputs!$B:$B,Inputs!O:O,,,-1)/_xlfn.XLOOKUP("Operating Cash Flow",Inputs!$B:$B,Inputs!O:O),"")</f>
        <v>1.101136514394375E-2</v>
      </c>
      <c r="O59" s="345">
        <f>IFERROR(_xlfn.XLOOKUP("Investing Cash Flow",Inputs!$B:$B,Inputs!P:P,,,-1)/_xlfn.XLOOKUP("Operating Cash Flow",Inputs!$B:$B,Inputs!P:P),"")</f>
        <v>1.0387640356807202E-2</v>
      </c>
      <c r="P59" s="346">
        <f>IFERROR(_xlfn.XLOOKUP("Investing Cash Flow",Inputs!$B:$B,Inputs!Q:Q,,,-1)/_xlfn.XLOOKUP("Operating Cash Flow",Inputs!$B:$B,Inputs!Q:Q),"")</f>
        <v>7.3658044696667688E-2</v>
      </c>
      <c r="Q59" s="347">
        <f>IFERROR(_xlfn.XLOOKUP("Investing Cash Flow",DCF!$B:$B,DCF!H:H)/_xlfn.XLOOKUP("Operating Cash Flow",DCF!$B:$B,DCF!H:H),"")</f>
        <v>-1.0618670759091329E-3</v>
      </c>
      <c r="R59" s="347">
        <f>IFERROR(_xlfn.XLOOKUP("Investing Cash Flow",DCF!$B:$B,DCF!I:I)/_xlfn.XLOOKUP("Operating Cash Flow",DCF!$B:$B,DCF!I:I),"")</f>
        <v>-1.8531016813930639E-3</v>
      </c>
    </row>
    <row r="60" spans="2:18" ht="15.5" x14ac:dyDescent="0.35">
      <c r="B60" s="18" t="s">
        <v>247</v>
      </c>
      <c r="F60" s="345" t="str">
        <f>IFERROR((_xlfn.XLOOKUP("Debt Borrowing",Inputs!$B:$B,Inputs!G:G,,,-1)-_xlfn.XLOOKUP("Debt Repayment",Inputs!$B:$B,Inputs!G:G))/_xlfn.XLOOKUP("Operating Cash Flow",Inputs!$B:$B,Inputs!G:G),"")</f>
        <v/>
      </c>
      <c r="G60" s="345" t="str">
        <f>IFERROR((_xlfn.XLOOKUP("Debt Borrowing",Inputs!$B:$B,Inputs!H:H,,,-1)-_xlfn.XLOOKUP("Debt Repayment",Inputs!$B:$B,Inputs!H:H))/_xlfn.XLOOKUP("Operating Cash Flow",Inputs!$B:$B,Inputs!H:H),"")</f>
        <v/>
      </c>
      <c r="H60" s="345" t="str">
        <f>IFERROR((_xlfn.XLOOKUP("Debt Borrowing",Inputs!$B:$B,Inputs!I:I,,,-1)-_xlfn.XLOOKUP("Debt Repayment",Inputs!$B:$B,Inputs!I:I))/_xlfn.XLOOKUP("Operating Cash Flow",Inputs!$B:$B,Inputs!I:I),"")</f>
        <v/>
      </c>
      <c r="I60" s="345" t="str">
        <f>IFERROR((_xlfn.XLOOKUP("Debt Borrowing",Inputs!$B:$B,Inputs!J:J,,,-1)-_xlfn.XLOOKUP("Debt Repayment",Inputs!$B:$B,Inputs!J:J))/_xlfn.XLOOKUP("Operating Cash Flow",Inputs!$B:$B,Inputs!J:J),"")</f>
        <v/>
      </c>
      <c r="J60" s="345" t="str">
        <f>IFERROR((_xlfn.XLOOKUP("Debt Borrowing",Inputs!$B:$B,Inputs!K:K,,,-1)-_xlfn.XLOOKUP("Debt Repayment",Inputs!$B:$B,Inputs!K:K))/_xlfn.XLOOKUP("Operating Cash Flow",Inputs!$B:$B,Inputs!K:K),"")</f>
        <v/>
      </c>
      <c r="K60" s="345" t="str">
        <f>IFERROR((_xlfn.XLOOKUP("Debt Borrowing",Inputs!$B:$B,Inputs!L:L,,,-1)-_xlfn.XLOOKUP("Debt Repayment",Inputs!$B:$B,Inputs!L:L))/_xlfn.XLOOKUP("Operating Cash Flow",Inputs!$B:$B,Inputs!L:L),"")</f>
        <v/>
      </c>
      <c r="L60" s="345" t="str">
        <f>IFERROR((_xlfn.XLOOKUP("Debt Borrowing",Inputs!$B:$B,Inputs!M:M,,,-1)-_xlfn.XLOOKUP("Debt Repayment",Inputs!$B:$B,Inputs!M:M))/_xlfn.XLOOKUP("Operating Cash Flow",Inputs!$B:$B,Inputs!M:M),"")</f>
        <v/>
      </c>
      <c r="M60" s="345">
        <f>IFERROR((_xlfn.XLOOKUP("Debt Borrowing",Inputs!$B:$B,Inputs!N:N,,,-1)-_xlfn.XLOOKUP("Debt Repayment",Inputs!$B:$B,Inputs!N:N))/_xlfn.XLOOKUP("Operating Cash Flow",Inputs!$B:$B,Inputs!N:N),"")</f>
        <v>-0.72669540229885055</v>
      </c>
      <c r="N60" s="345">
        <f>IFERROR((_xlfn.XLOOKUP("Debt Borrowing",Inputs!$B:$B,Inputs!O:O,,,-1)-_xlfn.XLOOKUP("Debt Repayment",Inputs!$B:$B,Inputs!O:O))/_xlfn.XLOOKUP("Operating Cash Flow",Inputs!$B:$B,Inputs!O:O),"")</f>
        <v>-0.98770618670676169</v>
      </c>
      <c r="O60" s="345">
        <f>IFERROR((_xlfn.XLOOKUP("Debt Borrowing",Inputs!$B:$B,Inputs!P:P,,,-1)-_xlfn.XLOOKUP("Debt Repayment",Inputs!$B:$B,Inputs!P:P))/_xlfn.XLOOKUP("Operating Cash Flow",Inputs!$B:$B,Inputs!P:P),"")</f>
        <v>-0.5587561212880674</v>
      </c>
      <c r="P60" s="346">
        <f>IFERROR((_xlfn.XLOOKUP("Debt Borrowing",Inputs!$B:$B,Inputs!Q:Q,,,-1)-_xlfn.XLOOKUP("Debt Repayment",Inputs!$B:$B,Inputs!Q:Q))/_xlfn.XLOOKUP("Operating Cash Flow",Inputs!$B:$B,Inputs!Q:Q),"")</f>
        <v>-0.71219191895504541</v>
      </c>
      <c r="Q60" s="347">
        <f>IFERROR((_xlfn.XLOOKUP("Debt Borrowing",DCF!$B:$B,DCF!H:H)-_xlfn.XLOOKUP("Debt Repayment",DCF!$B:$B,DCF!H:H))/_xlfn.XLOOKUP("Operating Cash Flow",DCF!$B:$B,DCF!H:H),"")</f>
        <v>-1.1681895335523644</v>
      </c>
      <c r="R60" s="347">
        <f>IFERROR((_xlfn.XLOOKUP("Debt Borrowing",DCF!$B:$B,DCF!I:I)-_xlfn.XLOOKUP("Debt Repayment",DCF!$B:$B,DCF!I:I))/_xlfn.XLOOKUP("Operating Cash Flow",DCF!$B:$B,DCF!I:I),"")</f>
        <v>-0.24603678691778719</v>
      </c>
    </row>
    <row r="61" spans="2:18" ht="15.5" x14ac:dyDescent="0.35">
      <c r="B61" s="18" t="s">
        <v>658</v>
      </c>
      <c r="F61" s="345" t="str">
        <f>IFERROR(-_xlfn.XLOOKUP("Debt Repayment",Inputs!$B:$B,Inputs!G:G,,,-1)/_xlfn.XLOOKUP("Debt Borrowing",Inputs!$B:$B,Inputs!G:G),"")</f>
        <v/>
      </c>
      <c r="G61" s="345" t="str">
        <f>IFERROR(-_xlfn.XLOOKUP("Debt Repayment",Inputs!$B:$B,Inputs!H:H,,,-1)/_xlfn.XLOOKUP("Debt Borrowing",Inputs!$B:$B,Inputs!H:H),"")</f>
        <v/>
      </c>
      <c r="H61" s="345" t="str">
        <f>IFERROR(-_xlfn.XLOOKUP("Debt Repayment",Inputs!$B:$B,Inputs!I:I,,,-1)/_xlfn.XLOOKUP("Debt Borrowing",Inputs!$B:$B,Inputs!I:I),"")</f>
        <v/>
      </c>
      <c r="I61" s="345" t="str">
        <f>IFERROR(-_xlfn.XLOOKUP("Debt Repayment",Inputs!$B:$B,Inputs!J:J,,,-1)/_xlfn.XLOOKUP("Debt Borrowing",Inputs!$B:$B,Inputs!J:J),"")</f>
        <v/>
      </c>
      <c r="J61" s="345" t="str">
        <f>IFERROR(-_xlfn.XLOOKUP("Debt Repayment",Inputs!$B:$B,Inputs!K:K,,,-1)/_xlfn.XLOOKUP("Debt Borrowing",Inputs!$B:$B,Inputs!K:K),"")</f>
        <v/>
      </c>
      <c r="K61" s="345" t="str">
        <f>IFERROR(-_xlfn.XLOOKUP("Debt Repayment",Inputs!$B:$B,Inputs!L:L,,,-1)/_xlfn.XLOOKUP("Debt Borrowing",Inputs!$B:$B,Inputs!L:L),"")</f>
        <v/>
      </c>
      <c r="L61" s="345" t="str">
        <f>IFERROR(-_xlfn.XLOOKUP("Debt Repayment",Inputs!$B:$B,Inputs!M:M,,,-1)/_xlfn.XLOOKUP("Debt Borrowing",Inputs!$B:$B,Inputs!M:M),"")</f>
        <v/>
      </c>
      <c r="M61" s="345">
        <f>IFERROR(-_xlfn.XLOOKUP("Debt Repayment",Inputs!$B:$B,Inputs!N:N,,,-1)/_xlfn.XLOOKUP("Debt Borrowing",Inputs!$B:$B,Inputs!N:N),"")</f>
        <v>1.2273339140074432E-3</v>
      </c>
      <c r="N61" s="345">
        <f>IFERROR(-_xlfn.XLOOKUP("Debt Repayment",Inputs!$B:$B,Inputs!O:O,,,-1)/_xlfn.XLOOKUP("Debt Borrowing",Inputs!$B:$B,Inputs!O:O),"")</f>
        <v>0.92883975992054923</v>
      </c>
      <c r="O61" s="345">
        <f>IFERROR(-_xlfn.XLOOKUP("Debt Repayment",Inputs!$B:$B,Inputs!P:P,,,-1)/_xlfn.XLOOKUP("Debt Borrowing",Inputs!$B:$B,Inputs!P:P),"")</f>
        <v>5.8900728056744678E-2</v>
      </c>
      <c r="P61" s="346" t="str">
        <f>IFERROR(-_xlfn.XLOOKUP("Debt Repayment",Inputs!$B:$B,Inputs!Q:Q,,,-1)/_xlfn.XLOOKUP("Debt Borrowing",Inputs!$B:$B,Inputs!Q:Q),"")</f>
        <v/>
      </c>
      <c r="Q61" s="347">
        <f>IFERROR(-_xlfn.XLOOKUP("Debt Repayment",DCF!$B:$B,DCF!H:H)/_xlfn.XLOOKUP("Debt Borrowing",DCF!$B:$B,DCF!H:H),"")</f>
        <v>0</v>
      </c>
      <c r="R61" s="347">
        <f>IFERROR(-_xlfn.XLOOKUP("Debt Repayment",DCF!$B:$B,DCF!I:I)/_xlfn.XLOOKUP("Debt Borrowing",DCF!$B:$B,DCF!I:I),"")</f>
        <v>0</v>
      </c>
    </row>
    <row r="62" spans="2:18" ht="15.5" x14ac:dyDescent="0.35">
      <c r="B62" s="18" t="s">
        <v>249</v>
      </c>
      <c r="F62" s="345" t="str">
        <f>IFERROR(_xlfn.XLOOKUP("Financing Cash Flow",Inputs!$B:$B,Inputs!G:G,,,-1)/_xlfn.XLOOKUP("Operating Cash Flow",Inputs!$B:$B,Inputs!G:G),"")</f>
        <v/>
      </c>
      <c r="G62" s="345" t="str">
        <f>IFERROR(_xlfn.XLOOKUP("Financing Cash Flow",Inputs!$B:$B,Inputs!H:H,,,-1)/_xlfn.XLOOKUP("Operating Cash Flow",Inputs!$B:$B,Inputs!H:H),"")</f>
        <v/>
      </c>
      <c r="H62" s="345" t="str">
        <f>IFERROR(_xlfn.XLOOKUP("Financing Cash Flow",Inputs!$B:$B,Inputs!I:I,,,-1)/_xlfn.XLOOKUP("Operating Cash Flow",Inputs!$B:$B,Inputs!I:I),"")</f>
        <v/>
      </c>
      <c r="I62" s="345" t="str">
        <f>IFERROR(_xlfn.XLOOKUP("Financing Cash Flow",Inputs!$B:$B,Inputs!J:J,,,-1)/_xlfn.XLOOKUP("Operating Cash Flow",Inputs!$B:$B,Inputs!J:J),"")</f>
        <v/>
      </c>
      <c r="J62" s="345" t="str">
        <f>IFERROR(_xlfn.XLOOKUP("Financing Cash Flow",Inputs!$B:$B,Inputs!K:K,,,-1)/_xlfn.XLOOKUP("Operating Cash Flow",Inputs!$B:$B,Inputs!K:K),"")</f>
        <v/>
      </c>
      <c r="K62" s="345" t="str">
        <f>IFERROR(_xlfn.XLOOKUP("Financing Cash Flow",Inputs!$B:$B,Inputs!L:L,,,-1)/_xlfn.XLOOKUP("Operating Cash Flow",Inputs!$B:$B,Inputs!L:L),"")</f>
        <v/>
      </c>
      <c r="L62" s="345" t="str">
        <f>IFERROR(_xlfn.XLOOKUP("Financing Cash Flow",Inputs!$B:$B,Inputs!M:M,,,-1)/_xlfn.XLOOKUP("Operating Cash Flow",Inputs!$B:$B,Inputs!M:M),"")</f>
        <v/>
      </c>
      <c r="M62" s="345">
        <f>IFERROR(_xlfn.XLOOKUP("Financing Cash Flow",Inputs!$B:$B,Inputs!N:N,,,-1)/_xlfn.XLOOKUP("Operating Cash Flow",Inputs!$B:$B,Inputs!N:N),"")</f>
        <v>-0.71589080459770127</v>
      </c>
      <c r="N62" s="345">
        <f>IFERROR(_xlfn.XLOOKUP("Financing Cash Flow",Inputs!$B:$B,Inputs!O:O,,,-1)/_xlfn.XLOOKUP("Operating Cash Flow",Inputs!$B:$B,Inputs!O:O),"")</f>
        <v>-0.95663998584884802</v>
      </c>
      <c r="O62" s="345">
        <f>IFERROR(_xlfn.XLOOKUP("Financing Cash Flow",Inputs!$B:$B,Inputs!P:P,,,-1)/_xlfn.XLOOKUP("Operating Cash Flow",Inputs!$B:$B,Inputs!P:P),"")</f>
        <v>-1.5768767827993866</v>
      </c>
      <c r="P62" s="346">
        <f>IFERROR(_xlfn.XLOOKUP("Financing Cash Flow",Inputs!$B:$B,Inputs!Q:Q,,,-1)/_xlfn.XLOOKUP("Operating Cash Flow",Inputs!$B:$B,Inputs!Q:Q),"")</f>
        <v>-4.2785451305020752</v>
      </c>
      <c r="Q62" s="347">
        <f>IFERROR(_xlfn.XLOOKUP("Financing Cash Flow",DCF!$B:$B,DCF!H:H)/_xlfn.XLOOKUP("Operating Cash Flow",DCF!$B:$B,DCF!H:H),"")</f>
        <v>-1.184986340025836</v>
      </c>
      <c r="R62" s="347">
        <f>IFERROR(_xlfn.XLOOKUP("Financing Cash Flow",DCF!$B:$B,DCF!I:I)/_xlfn.XLOOKUP("Operating Cash Flow",DCF!$B:$B,DCF!I:I),"")</f>
        <v>-0.25662231296081328</v>
      </c>
    </row>
    <row r="63" spans="2:18" ht="15.5" x14ac:dyDescent="0.35">
      <c r="B63" s="18" t="s">
        <v>59</v>
      </c>
      <c r="F63" s="345" t="str">
        <f>IFERROR(_xlfn.XLOOKUP("Net Income",Inputs!$B:$B,Inputs!G:G,,,-1)/_xlfn.XLOOKUP("Operating Cash Flow",Inputs!$B:$B,Inputs!G:G),"")</f>
        <v/>
      </c>
      <c r="G63" s="345" t="str">
        <f>IFERROR(_xlfn.XLOOKUP("Net Income",Inputs!$B:$B,Inputs!H:H,,,-1)/_xlfn.XLOOKUP("Operating Cash Flow",Inputs!$B:$B,Inputs!H:H),"")</f>
        <v/>
      </c>
      <c r="H63" s="345" t="str">
        <f>IFERROR(_xlfn.XLOOKUP("Net Income",Inputs!$B:$B,Inputs!I:I,,,-1)/_xlfn.XLOOKUP("Operating Cash Flow",Inputs!$B:$B,Inputs!I:I),"")</f>
        <v/>
      </c>
      <c r="I63" s="345" t="str">
        <f>IFERROR(_xlfn.XLOOKUP("Net Income",Inputs!$B:$B,Inputs!J:J,,,-1)/_xlfn.XLOOKUP("Operating Cash Flow",Inputs!$B:$B,Inputs!J:J),"")</f>
        <v/>
      </c>
      <c r="J63" s="345" t="str">
        <f>IFERROR(_xlfn.XLOOKUP("Net Income",Inputs!$B:$B,Inputs!K:K,,,-1)/_xlfn.XLOOKUP("Operating Cash Flow",Inputs!$B:$B,Inputs!K:K),"")</f>
        <v/>
      </c>
      <c r="K63" s="345" t="str">
        <f>IFERROR(_xlfn.XLOOKUP("Net Income",Inputs!$B:$B,Inputs!L:L,,,-1)/_xlfn.XLOOKUP("Operating Cash Flow",Inputs!$B:$B,Inputs!L:L),"")</f>
        <v/>
      </c>
      <c r="L63" s="345" t="str">
        <f>IFERROR(_xlfn.XLOOKUP("Net Income",Inputs!$B:$B,Inputs!M:M,,,-1)/_xlfn.XLOOKUP("Operating Cash Flow",Inputs!$B:$B,Inputs!M:M),"")</f>
        <v/>
      </c>
      <c r="M63" s="345">
        <f>IFERROR(_xlfn.XLOOKUP("Net Income",Inputs!$B:$B,Inputs!N:N,,,-1)/_xlfn.XLOOKUP("Operating Cash Flow",Inputs!$B:$B,Inputs!N:N),"")</f>
        <v>0.90646551724137947</v>
      </c>
      <c r="N63" s="345">
        <f>IFERROR(_xlfn.XLOOKUP("Net Income",Inputs!$B:$B,Inputs!O:O,,,-1)/_xlfn.XLOOKUP("Operating Cash Flow",Inputs!$B:$B,Inputs!O:O),"")</f>
        <v>1.1874143191969222</v>
      </c>
      <c r="O63" s="345">
        <f>IFERROR(_xlfn.XLOOKUP("Net Income",Inputs!$B:$B,Inputs!P:P,,,-1)/_xlfn.XLOOKUP("Operating Cash Flow",Inputs!$B:$B,Inputs!P:P),"")</f>
        <v>1.3638312255766789</v>
      </c>
      <c r="P63" s="346">
        <f>IFERROR(_xlfn.XLOOKUP("Net Income",Inputs!$B:$B,Inputs!Q:Q,,,-1)/_xlfn.XLOOKUP("Operating Cash Flow",Inputs!$B:$B,Inputs!Q:Q),"")</f>
        <v>3.3740355978706935</v>
      </c>
      <c r="Q63" s="347">
        <f>IFERROR(_xlfn.XLOOKUP("Net Income",DCF!$B:$B,DCF!H:H)/_xlfn.XLOOKUP("Operating Cash Flow",DCF!$B:$B,DCF!H:H),"")</f>
        <v>1.652153251738145</v>
      </c>
      <c r="R63" s="347">
        <f>IFERROR(_xlfn.XLOOKUP("Net Income",DCF!$B:$B,DCF!I:I)/_xlfn.XLOOKUP("Operating Cash Flow",DCF!$B:$B,DCF!I:I),"")</f>
        <v>1.9041721767251432</v>
      </c>
    </row>
    <row r="64" spans="2:18" ht="15.5" x14ac:dyDescent="0.35">
      <c r="B64" s="33" t="s">
        <v>61</v>
      </c>
      <c r="F64" s="345" t="str">
        <f>IFERROR(_xlfn.XLOOKUP("Net Changes in Cash",Inputs!$B:$B,Inputs!G:G,,,-1)/_xlfn.XLOOKUP("Operating Cash Flow",Inputs!$B:$B,Inputs!G:G),"")</f>
        <v/>
      </c>
      <c r="G64" s="345" t="str">
        <f>IFERROR(_xlfn.XLOOKUP("Net Changes in Cash",Inputs!$B:$B,Inputs!H:H,,,-1)/_xlfn.XLOOKUP("Operating Cash Flow",Inputs!$B:$B,Inputs!H:H),"")</f>
        <v/>
      </c>
      <c r="H64" s="345" t="str">
        <f>IFERROR(_xlfn.XLOOKUP("Net Changes in Cash",Inputs!$B:$B,Inputs!I:I,,,-1)/_xlfn.XLOOKUP("Operating Cash Flow",Inputs!$B:$B,Inputs!I:I),"")</f>
        <v/>
      </c>
      <c r="I64" s="345" t="str">
        <f>IFERROR(_xlfn.XLOOKUP("Net Changes in Cash",Inputs!$B:$B,Inputs!J:J,,,-1)/_xlfn.XLOOKUP("Operating Cash Flow",Inputs!$B:$B,Inputs!J:J),"")</f>
        <v/>
      </c>
      <c r="J64" s="345" t="str">
        <f>IFERROR(_xlfn.XLOOKUP("Net Changes in Cash",Inputs!$B:$B,Inputs!K:K,,,-1)/_xlfn.XLOOKUP("Operating Cash Flow",Inputs!$B:$B,Inputs!K:K),"")</f>
        <v/>
      </c>
      <c r="K64" s="345" t="str">
        <f>IFERROR(_xlfn.XLOOKUP("Net Changes in Cash",Inputs!$B:$B,Inputs!L:L,,,-1)/_xlfn.XLOOKUP("Operating Cash Flow",Inputs!$B:$B,Inputs!L:L),"")</f>
        <v/>
      </c>
      <c r="L64" s="345" t="str">
        <f>IFERROR(_xlfn.XLOOKUP("Net Changes in Cash",Inputs!$B:$B,Inputs!M:M,,,-1)/_xlfn.XLOOKUP("Operating Cash Flow",Inputs!$B:$B,Inputs!M:M),"")</f>
        <v/>
      </c>
      <c r="M64" s="345">
        <f>IFERROR(_xlfn.XLOOKUP("Net Changes in Cash",Inputs!$B:$B,Inputs!N:N,,,-1)/_xlfn.XLOOKUP("Operating Cash Flow",Inputs!$B:$B,Inputs!N:N),"")</f>
        <v>0.34057471264367822</v>
      </c>
      <c r="N64" s="345">
        <f>IFERROR(_xlfn.XLOOKUP("Net Changes in Cash",Inputs!$B:$B,Inputs!O:O,,,-1)/_xlfn.XLOOKUP("Operating Cash Flow",Inputs!$B:$B,Inputs!O:O),"")</f>
        <v>5.346482112059435E-2</v>
      </c>
      <c r="O64" s="345">
        <f>IFERROR(_xlfn.XLOOKUP("Net Changes in Cash",Inputs!$B:$B,Inputs!P:P,,,-1)/_xlfn.XLOOKUP("Operating Cash Flow",Inputs!$B:$B,Inputs!P:P),"")</f>
        <v>-0.56459298586951134</v>
      </c>
      <c r="P64" s="346">
        <f>IFERROR(_xlfn.XLOOKUP("Net Changes in Cash",Inputs!$B:$B,Inputs!Q:Q,,,-1)/_xlfn.XLOOKUP("Operating Cash Flow",Inputs!$B:$B,Inputs!Q:Q),"")</f>
        <v>-3.205051239359332</v>
      </c>
      <c r="Q64" s="347">
        <f>IFERROR(_xlfn.XLOOKUP("Net Changes in Cash",DCF!$B:$B,DCF!H:H)/_xlfn.XLOOKUP("Operating Cash Flow",DCF!$B:$B,DCF!H:H),"")</f>
        <v>-0.18604820710174533</v>
      </c>
      <c r="R64" s="347">
        <f>IFERROR(_xlfn.XLOOKUP("Net Changes in Cash",DCF!$B:$B,DCF!I:I)/_xlfn.XLOOKUP("Operating Cash Flow",DCF!$B:$B,DCF!I:I),"")</f>
        <v>0.74152458535779364</v>
      </c>
    </row>
    <row r="67" spans="2:20" ht="20.149999999999999" customHeight="1" x14ac:dyDescent="0.3">
      <c r="T67" s="1" t="s">
        <v>583</v>
      </c>
    </row>
    <row r="69" spans="2:20" x14ac:dyDescent="0.3">
      <c r="B69" s="377"/>
    </row>
    <row r="70" spans="2:20" x14ac:dyDescent="0.3">
      <c r="B70" s="377"/>
    </row>
    <row r="71" spans="2:20" x14ac:dyDescent="0.3">
      <c r="B71" s="377"/>
    </row>
    <row r="72" spans="2:20" x14ac:dyDescent="0.3">
      <c r="B72" s="377"/>
    </row>
    <row r="73" spans="2:20" x14ac:dyDescent="0.3">
      <c r="B73" s="377"/>
    </row>
    <row r="74" spans="2:20" x14ac:dyDescent="0.3">
      <c r="B74" s="377"/>
    </row>
    <row r="75" spans="2:20" x14ac:dyDescent="0.3">
      <c r="B75" s="377"/>
    </row>
    <row r="76" spans="2:20" x14ac:dyDescent="0.3">
      <c r="B76" s="377"/>
    </row>
  </sheetData>
  <pageMargins left="0.7" right="0.7" top="0.75" bottom="0.75" header="0.3" footer="0.3"/>
  <pageSetup paperSize="9" orientation="portrait" r:id="rId1"/>
  <extLst>
    <ext xmlns:x14="http://schemas.microsoft.com/office/spreadsheetml/2009/9/main" uri="{05C60535-1F16-4fd2-B633-F4F36F0B64E0}">
      <x14:sparklineGroups xmlns:xm="http://schemas.microsoft.com/office/excel/2006/main">
        <x14:sparklineGroup displayEmptyCellsAs="gap" xr2:uid="{00000000-0003-0000-0A00-000061000000}">
          <x14:colorSeries rgb="FF7B1314"/>
          <x14:colorNegative rgb="FFD00000"/>
          <x14:colorAxis rgb="FF000000"/>
          <x14:colorMarkers rgb="FFD00000"/>
          <x14:colorFirst rgb="FFD00000"/>
          <x14:colorLast rgb="FFD00000"/>
          <x14:colorHigh rgb="FFD00000"/>
          <x14:colorLow rgb="FFD00000"/>
          <x14:sparklines>
            <x14:sparkline>
              <xm:f>Multiples!F61:R61</xm:f>
              <xm:sqref>E61</xm:sqref>
            </x14:sparkline>
          </x14:sparklines>
        </x14:sparklineGroup>
        <x14:sparklineGroup displayEmptyCellsAs="gap" xr2:uid="{00000000-0003-0000-0A00-000062000000}">
          <x14:colorSeries rgb="FF7B1314"/>
          <x14:colorNegative rgb="FFD00000"/>
          <x14:colorAxis rgb="FF000000"/>
          <x14:colorMarkers rgb="FFD00000"/>
          <x14:colorFirst rgb="FFD00000"/>
          <x14:colorLast rgb="FFD00000"/>
          <x14:colorHigh rgb="FFD00000"/>
          <x14:colorLow rgb="FFD00000"/>
          <x14:sparklines>
            <x14:sparkline>
              <xm:f>Multiples!F62:R62</xm:f>
              <xm:sqref>E62</xm:sqref>
            </x14:sparkline>
          </x14:sparklines>
        </x14:sparklineGroup>
        <x14:sparklineGroup displayEmptyCellsAs="gap" xr2:uid="{00000000-0003-0000-0A00-000063000000}">
          <x14:colorSeries rgb="FF7B1314"/>
          <x14:colorNegative rgb="FFD00000"/>
          <x14:colorAxis rgb="FF000000"/>
          <x14:colorMarkers rgb="FFD00000"/>
          <x14:colorFirst rgb="FFD00000"/>
          <x14:colorLast rgb="FFD00000"/>
          <x14:colorHigh rgb="FFD00000"/>
          <x14:colorLow rgb="FFD00000"/>
          <x14:sparklines>
            <x14:sparkline>
              <xm:f>Multiples!F60:R60</xm:f>
              <xm:sqref>E60</xm:sqref>
            </x14:sparkline>
          </x14:sparklines>
        </x14:sparklineGroup>
        <x14:sparklineGroup displayEmptyCellsAs="gap" xr2:uid="{00000000-0003-0000-0A00-000064000000}">
          <x14:colorSeries rgb="FF7B1314"/>
          <x14:colorNegative rgb="FFD00000"/>
          <x14:colorAxis rgb="FF000000"/>
          <x14:colorMarkers rgb="FFD00000"/>
          <x14:colorFirst rgb="FFD00000"/>
          <x14:colorLast rgb="FFD00000"/>
          <x14:colorHigh rgb="FFD00000"/>
          <x14:colorLow rgb="FFD00000"/>
          <x14:sparklines>
            <x14:sparkline>
              <xm:f>Multiples!F59:R59</xm:f>
              <xm:sqref>E59</xm:sqref>
            </x14:sparkline>
          </x14:sparklines>
        </x14:sparklineGroup>
        <x14:sparklineGroup displayEmptyCellsAs="gap" xr2:uid="{00000000-0003-0000-0A00-000065000000}">
          <x14:colorSeries rgb="FF7B1314"/>
          <x14:colorNegative rgb="FFD00000"/>
          <x14:colorAxis rgb="FF000000"/>
          <x14:colorMarkers rgb="FFD00000"/>
          <x14:colorFirst rgb="FFD00000"/>
          <x14:colorLast rgb="FFD00000"/>
          <x14:colorHigh rgb="FFD00000"/>
          <x14:colorLow rgb="FFD00000"/>
          <x14:sparklines>
            <x14:sparkline>
              <xm:f>Multiples!F58:R58</xm:f>
              <xm:sqref>E58</xm:sqref>
            </x14:sparkline>
          </x14:sparklines>
        </x14:sparklineGroup>
        <x14:sparklineGroup displayEmptyCellsAs="gap" xr2:uid="{00000000-0003-0000-0A00-000066000000}">
          <x14:colorSeries rgb="FF7B1314"/>
          <x14:colorNegative rgb="FFD00000"/>
          <x14:colorAxis rgb="FF000000"/>
          <x14:colorMarkers rgb="FFD00000"/>
          <x14:colorFirst rgb="FFD00000"/>
          <x14:colorLast rgb="FFD00000"/>
          <x14:colorHigh rgb="FFD00000"/>
          <x14:colorLow rgb="FFD00000"/>
          <x14:sparklines>
            <x14:sparkline>
              <xm:f>Multiples!F57:R57</xm:f>
              <xm:sqref>E57</xm:sqref>
            </x14:sparkline>
          </x14:sparklines>
        </x14:sparklineGroup>
        <x14:sparklineGroup displayEmptyCellsAs="gap" xr2:uid="{00000000-0003-0000-0A00-000067000000}">
          <x14:colorSeries rgb="FF7B1314"/>
          <x14:colorNegative rgb="FFD00000"/>
          <x14:colorAxis rgb="FF000000"/>
          <x14:colorMarkers rgb="FFD00000"/>
          <x14:colorFirst rgb="FFD00000"/>
          <x14:colorLast rgb="FFD00000"/>
          <x14:colorHigh rgb="FFD00000"/>
          <x14:colorLow rgb="FFD00000"/>
          <x14:sparklines>
            <x14:sparkline>
              <xm:f>Multiples!F56:R56</xm:f>
              <xm:sqref>E56</xm:sqref>
            </x14:sparkline>
          </x14:sparklines>
        </x14:sparklineGroup>
        <x14:sparklineGroup displayEmptyCellsAs="gap" xr2:uid="{00000000-0003-0000-0A00-000068000000}">
          <x14:colorSeries rgb="FF7B1314"/>
          <x14:colorNegative rgb="FFD00000"/>
          <x14:colorAxis rgb="FF000000"/>
          <x14:colorMarkers rgb="FFD00000"/>
          <x14:colorFirst rgb="FFD00000"/>
          <x14:colorLast rgb="FFD00000"/>
          <x14:colorHigh rgb="FFD00000"/>
          <x14:colorLow rgb="FFD00000"/>
          <x14:sparklines>
            <x14:sparkline>
              <xm:f>Multiples!F64:R64</xm:f>
              <xm:sqref>E64</xm:sqref>
            </x14:sparkline>
          </x14:sparklines>
        </x14:sparklineGroup>
        <x14:sparklineGroup displayEmptyCellsAs="gap" xr2:uid="{00000000-0003-0000-0A00-000069000000}">
          <x14:colorSeries rgb="FF7B1314"/>
          <x14:colorNegative rgb="FFD00000"/>
          <x14:colorAxis rgb="FF000000"/>
          <x14:colorMarkers rgb="FFD00000"/>
          <x14:colorFirst rgb="FFD00000"/>
          <x14:colorLast rgb="FFD00000"/>
          <x14:colorHigh rgb="FFD00000"/>
          <x14:colorLow rgb="FFD00000"/>
          <x14:sparklines>
            <x14:sparkline>
              <xm:f>Multiples!F45:R45</xm:f>
              <xm:sqref>E45</xm:sqref>
            </x14:sparkline>
          </x14:sparklines>
        </x14:sparklineGroup>
        <x14:sparklineGroup displayEmptyCellsAs="gap" xr2:uid="{00000000-0003-0000-0A00-00006A000000}">
          <x14:colorSeries rgb="FF7B1314"/>
          <x14:colorNegative rgb="FFD00000"/>
          <x14:colorAxis rgb="FF000000"/>
          <x14:colorMarkers rgb="FFD00000"/>
          <x14:colorFirst rgb="FFD00000"/>
          <x14:colorLast rgb="FFD00000"/>
          <x14:colorHigh rgb="FFD00000"/>
          <x14:colorLow rgb="FFD00000"/>
          <x14:sparklines>
            <x14:sparkline>
              <xm:f>Multiples!F36:R36</xm:f>
              <xm:sqref>E36</xm:sqref>
            </x14:sparkline>
          </x14:sparklines>
        </x14:sparklineGroup>
        <x14:sparklineGroup displayEmptyCellsAs="gap" xr2:uid="{00000000-0003-0000-0A00-00006B000000}">
          <x14:colorSeries rgb="FF7B1314"/>
          <x14:colorNegative rgb="FFD00000"/>
          <x14:colorAxis rgb="FF000000"/>
          <x14:colorMarkers rgb="FFD00000"/>
          <x14:colorFirst rgb="FFD00000"/>
          <x14:colorLast rgb="FFD00000"/>
          <x14:colorHigh rgb="FFD00000"/>
          <x14:colorLow rgb="FFD00000"/>
          <x14:sparklines>
            <x14:sparkline>
              <xm:f>Multiples!F29:R29</xm:f>
              <xm:sqref>E29</xm:sqref>
            </x14:sparkline>
          </x14:sparklines>
        </x14:sparklineGroup>
        <x14:sparklineGroup displayEmptyCellsAs="gap" xr2:uid="{00000000-0003-0000-0A00-00006C000000}">
          <x14:colorSeries rgb="FF7B1314"/>
          <x14:colorNegative rgb="FFD00000"/>
          <x14:colorAxis rgb="FF000000"/>
          <x14:colorMarkers rgb="FFD00000"/>
          <x14:colorFirst rgb="FFD00000"/>
          <x14:colorLast rgb="FFD00000"/>
          <x14:colorHigh rgb="FFD00000"/>
          <x14:colorLow rgb="FFD00000"/>
          <x14:sparklines>
            <x14:sparkline>
              <xm:f>Multiples!F11:R11</xm:f>
              <xm:sqref>E11</xm:sqref>
            </x14:sparkline>
          </x14:sparklines>
        </x14:sparklineGroup>
        <x14:sparklineGroup displayEmptyCellsAs="gap" xr2:uid="{00000000-0003-0000-0A00-00006D000000}">
          <x14:colorSeries rgb="FF7B1314"/>
          <x14:colorNegative rgb="FFD00000"/>
          <x14:colorAxis rgb="FF000000"/>
          <x14:colorMarkers rgb="FFD00000"/>
          <x14:colorFirst rgb="FFD00000"/>
          <x14:colorLast rgb="FFD00000"/>
          <x14:colorHigh rgb="FFD00000"/>
          <x14:colorLow rgb="FFD00000"/>
          <x14:sparklines>
            <x14:sparkline>
              <xm:f>Multiples!F23:R23</xm:f>
              <xm:sqref>E23</xm:sqref>
            </x14:sparkline>
          </x14:sparklines>
        </x14:sparklineGroup>
        <x14:sparklineGroup displayEmptyCellsAs="gap" xr2:uid="{00000000-0003-0000-0A00-00006E000000}">
          <x14:colorSeries rgb="FF7B1314"/>
          <x14:colorNegative rgb="FFD00000"/>
          <x14:colorAxis rgb="FF000000"/>
          <x14:colorMarkers rgb="FFD00000"/>
          <x14:colorFirst rgb="FFD00000"/>
          <x14:colorLast rgb="FFD00000"/>
          <x14:colorHigh rgb="FFD00000"/>
          <x14:colorLow rgb="FFD00000"/>
          <x14:sparklines>
            <x14:sparkline>
              <xm:f>Multiples!F17:R17</xm:f>
              <xm:sqref>E17</xm:sqref>
            </x14:sparkline>
          </x14:sparklines>
        </x14:sparklineGroup>
        <x14:sparklineGroup displayEmptyCellsAs="gap" xr2:uid="{00000000-0003-0000-0A00-00006F000000}">
          <x14:colorSeries rgb="FF7B1314"/>
          <x14:colorNegative rgb="FFD00000"/>
          <x14:colorAxis rgb="FF000000"/>
          <x14:colorMarkers rgb="FFD00000"/>
          <x14:colorFirst rgb="FFD00000"/>
          <x14:colorLast rgb="FFD00000"/>
          <x14:colorHigh rgb="FFD00000"/>
          <x14:colorLow rgb="FFD00000"/>
          <x14:sparklines>
            <x14:sparkline>
              <xm:f>Multiples!F51:R51</xm:f>
              <xm:sqref>E51</xm:sqref>
            </x14:sparkline>
          </x14:sparklines>
        </x14:sparklineGroup>
        <x14:sparklineGroup displayEmptyCellsAs="gap" xr2:uid="{00000000-0003-0000-0A00-000070000000}">
          <x14:colorSeries rgb="FF7B1314"/>
          <x14:colorNegative rgb="FFD00000"/>
          <x14:colorAxis rgb="FF000000"/>
          <x14:colorMarkers rgb="FFD00000"/>
          <x14:colorFirst rgb="FFD00000"/>
          <x14:colorLast rgb="FFD00000"/>
          <x14:colorHigh rgb="FFD00000"/>
          <x14:colorLow rgb="FFD00000"/>
          <x14:sparklines>
            <x14:sparkline>
              <xm:f>Multiples!F6:R6</xm:f>
              <xm:sqref>E6</xm:sqref>
            </x14:sparkline>
          </x14:sparklines>
        </x14:sparklineGroup>
        <x14:sparklineGroup displayEmptyCellsAs="gap" xr2:uid="{00000000-0003-0000-0A00-000071000000}">
          <x14:colorSeries rgb="FF7B1314"/>
          <x14:colorNegative rgb="FFD00000"/>
          <x14:colorAxis rgb="FF000000"/>
          <x14:colorMarkers rgb="FFD00000"/>
          <x14:colorFirst rgb="FFD00000"/>
          <x14:colorLast rgb="FFD00000"/>
          <x14:colorHigh rgb="FFD00000"/>
          <x14:colorLow rgb="FFD00000"/>
          <x14:sparklines>
            <x14:sparkline>
              <xm:f>Multiples!F7:R7</xm:f>
              <xm:sqref>E7</xm:sqref>
            </x14:sparkline>
          </x14:sparklines>
        </x14:sparklineGroup>
        <x14:sparklineGroup displayEmptyCellsAs="gap" xr2:uid="{00000000-0003-0000-0A00-000072000000}">
          <x14:colorSeries rgb="FF7B1314"/>
          <x14:colorNegative rgb="FFD00000"/>
          <x14:colorAxis rgb="FF000000"/>
          <x14:colorMarkers rgb="FFD00000"/>
          <x14:colorFirst rgb="FFD00000"/>
          <x14:colorLast rgb="FFD00000"/>
          <x14:colorHigh rgb="FFD00000"/>
          <x14:colorLow rgb="FFD00000"/>
          <x14:sparklines>
            <x14:sparkline>
              <xm:f>Multiples!F8:R8</xm:f>
              <xm:sqref>E8</xm:sqref>
            </x14:sparkline>
          </x14:sparklines>
        </x14:sparklineGroup>
        <x14:sparklineGroup displayEmptyCellsAs="gap" xr2:uid="{00000000-0003-0000-0A00-000073000000}">
          <x14:colorSeries rgb="FF7B1314"/>
          <x14:colorNegative rgb="FFD00000"/>
          <x14:colorAxis rgb="FF000000"/>
          <x14:colorMarkers rgb="FFD00000"/>
          <x14:colorFirst rgb="FFD00000"/>
          <x14:colorLast rgb="FFD00000"/>
          <x14:colorHigh rgb="FFD00000"/>
          <x14:colorLow rgb="FFD00000"/>
          <x14:sparklines>
            <x14:sparkline>
              <xm:f>Multiples!F9:R9</xm:f>
              <xm:sqref>E9</xm:sqref>
            </x14:sparkline>
          </x14:sparklines>
        </x14:sparklineGroup>
        <x14:sparklineGroup displayEmptyCellsAs="gap" xr2:uid="{00000000-0003-0000-0A00-000074000000}">
          <x14:colorSeries rgb="FF7B1314"/>
          <x14:colorNegative rgb="FFD00000"/>
          <x14:colorAxis rgb="FF000000"/>
          <x14:colorMarkers rgb="FFD00000"/>
          <x14:colorFirst rgb="FFD00000"/>
          <x14:colorLast rgb="FFD00000"/>
          <x14:colorHigh rgb="FFD00000"/>
          <x14:colorLow rgb="FFD00000"/>
          <x14:sparklines>
            <x14:sparkline>
              <xm:f>Multiples!F10:R10</xm:f>
              <xm:sqref>E10</xm:sqref>
            </x14:sparkline>
          </x14:sparklines>
        </x14:sparklineGroup>
        <x14:sparklineGroup displayEmptyCellsAs="gap" xr2:uid="{00000000-0003-0000-0A00-000075000000}">
          <x14:colorSeries rgb="FF7B1314"/>
          <x14:colorNegative rgb="FFD00000"/>
          <x14:colorAxis rgb="FF000000"/>
          <x14:colorMarkers rgb="FFD00000"/>
          <x14:colorFirst rgb="FFD00000"/>
          <x14:colorLast rgb="FFD00000"/>
          <x14:colorHigh rgb="FFD00000"/>
          <x14:colorLow rgb="FFD00000"/>
          <x14:sparklines>
            <x14:sparkline>
              <xm:f>Multiples!F15:R15</xm:f>
              <xm:sqref>E15</xm:sqref>
            </x14:sparkline>
          </x14:sparklines>
        </x14:sparklineGroup>
        <x14:sparklineGroup displayEmptyCellsAs="gap" xr2:uid="{00000000-0003-0000-0A00-000076000000}">
          <x14:colorSeries rgb="FF7B1314"/>
          <x14:colorNegative rgb="FFD00000"/>
          <x14:colorAxis rgb="FF000000"/>
          <x14:colorMarkers rgb="FFD00000"/>
          <x14:colorFirst rgb="FFD00000"/>
          <x14:colorLast rgb="FFD00000"/>
          <x14:colorHigh rgb="FFD00000"/>
          <x14:colorLow rgb="FFD00000"/>
          <x14:sparklines>
            <x14:sparkline>
              <xm:f>Multiples!F16:R16</xm:f>
              <xm:sqref>E16</xm:sqref>
            </x14:sparkline>
          </x14:sparklines>
        </x14:sparklineGroup>
        <x14:sparklineGroup displayEmptyCellsAs="gap" xr2:uid="{00000000-0003-0000-0A00-000077000000}">
          <x14:colorSeries rgb="FF7B1314"/>
          <x14:colorNegative rgb="FFD00000"/>
          <x14:colorAxis rgb="FF000000"/>
          <x14:colorMarkers rgb="FFD00000"/>
          <x14:colorFirst rgb="FFD00000"/>
          <x14:colorLast rgb="FFD00000"/>
          <x14:colorHigh rgb="FFD00000"/>
          <x14:colorLow rgb="FFD00000"/>
          <x14:sparklines>
            <x14:sparkline>
              <xm:f>Multiples!F18:R18</xm:f>
              <xm:sqref>E18</xm:sqref>
            </x14:sparkline>
          </x14:sparklines>
        </x14:sparklineGroup>
        <x14:sparklineGroup displayEmptyCellsAs="gap" xr2:uid="{00000000-0003-0000-0A00-000078000000}">
          <x14:colorSeries rgb="FF7B1314"/>
          <x14:colorNegative rgb="FFD00000"/>
          <x14:colorAxis rgb="FF000000"/>
          <x14:colorMarkers rgb="FFD00000"/>
          <x14:colorFirst rgb="FFD00000"/>
          <x14:colorLast rgb="FFD00000"/>
          <x14:colorHigh rgb="FFD00000"/>
          <x14:colorLow rgb="FFD00000"/>
          <x14:sparklines>
            <x14:sparkline>
              <xm:f>Multiples!F19:R19</xm:f>
              <xm:sqref>E19</xm:sqref>
            </x14:sparkline>
          </x14:sparklines>
        </x14:sparklineGroup>
        <x14:sparklineGroup displayEmptyCellsAs="gap" xr2:uid="{00000000-0003-0000-0A00-000079000000}">
          <x14:colorSeries rgb="FF7B1314"/>
          <x14:colorNegative rgb="FFD00000"/>
          <x14:colorAxis rgb="FF000000"/>
          <x14:colorMarkers rgb="FFD00000"/>
          <x14:colorFirst rgb="FFD00000"/>
          <x14:colorLast rgb="FFD00000"/>
          <x14:colorHigh rgb="FFD00000"/>
          <x14:colorLow rgb="FFD00000"/>
          <x14:sparklines>
            <x14:sparkline>
              <xm:f>Multiples!F20:R20</xm:f>
              <xm:sqref>E20</xm:sqref>
            </x14:sparkline>
          </x14:sparklines>
        </x14:sparklineGroup>
        <x14:sparklineGroup displayEmptyCellsAs="gap" xr2:uid="{00000000-0003-0000-0A00-00007A000000}">
          <x14:colorSeries rgb="FF7B1314"/>
          <x14:colorNegative rgb="FFD00000"/>
          <x14:colorAxis rgb="FF000000"/>
          <x14:colorMarkers rgb="FFD00000"/>
          <x14:colorFirst rgb="FFD00000"/>
          <x14:colorLast rgb="FFD00000"/>
          <x14:colorHigh rgb="FFD00000"/>
          <x14:colorLow rgb="FFD00000"/>
          <x14:sparklines>
            <x14:sparkline>
              <xm:f>Multiples!F21:R21</xm:f>
              <xm:sqref>E21</xm:sqref>
            </x14:sparkline>
          </x14:sparklines>
        </x14:sparklineGroup>
        <x14:sparklineGroup displayEmptyCellsAs="gap" xr2:uid="{00000000-0003-0000-0A00-00007B000000}">
          <x14:colorSeries rgb="FF7B1314"/>
          <x14:colorNegative rgb="FFD00000"/>
          <x14:colorAxis rgb="FF000000"/>
          <x14:colorMarkers rgb="FFD00000"/>
          <x14:colorFirst rgb="FFD00000"/>
          <x14:colorLast rgb="FFD00000"/>
          <x14:colorHigh rgb="FFD00000"/>
          <x14:colorLow rgb="FFD00000"/>
          <x14:sparklines>
            <x14:sparkline>
              <xm:f>Multiples!F22:R22</xm:f>
              <xm:sqref>E22</xm:sqref>
            </x14:sparkline>
          </x14:sparklines>
        </x14:sparklineGroup>
        <x14:sparklineGroup displayEmptyCellsAs="gap" xr2:uid="{00000000-0003-0000-0A00-00007C000000}">
          <x14:colorSeries rgb="FF7B1314"/>
          <x14:colorNegative rgb="FFD00000"/>
          <x14:colorAxis rgb="FF000000"/>
          <x14:colorMarkers rgb="FFD00000"/>
          <x14:colorFirst rgb="FFD00000"/>
          <x14:colorLast rgb="FFD00000"/>
          <x14:colorHigh rgb="FFD00000"/>
          <x14:colorLow rgb="FFD00000"/>
          <x14:sparklines>
            <x14:sparkline>
              <xm:f>Multiples!F27:R27</xm:f>
              <xm:sqref>E27</xm:sqref>
            </x14:sparkline>
          </x14:sparklines>
        </x14:sparklineGroup>
        <x14:sparklineGroup displayEmptyCellsAs="gap" xr2:uid="{00000000-0003-0000-0A00-00007D000000}">
          <x14:colorSeries rgb="FF7B1314"/>
          <x14:colorNegative rgb="FFD00000"/>
          <x14:colorAxis rgb="FF000000"/>
          <x14:colorMarkers rgb="FFD00000"/>
          <x14:colorFirst rgb="FFD00000"/>
          <x14:colorLast rgb="FFD00000"/>
          <x14:colorHigh rgb="FFD00000"/>
          <x14:colorLow rgb="FFD00000"/>
          <x14:sparklines>
            <x14:sparkline>
              <xm:f>Multiples!F28:R28</xm:f>
              <xm:sqref>E28</xm:sqref>
            </x14:sparkline>
          </x14:sparklines>
        </x14:sparklineGroup>
        <x14:sparklineGroup displayEmptyCellsAs="gap" xr2:uid="{00000000-0003-0000-0A00-00007E000000}">
          <x14:colorSeries rgb="FF7B1314"/>
          <x14:colorNegative rgb="FFD00000"/>
          <x14:colorAxis rgb="FF000000"/>
          <x14:colorMarkers rgb="FFD00000"/>
          <x14:colorFirst rgb="FFD00000"/>
          <x14:colorLast rgb="FFD00000"/>
          <x14:colorHigh rgb="FFD00000"/>
          <x14:colorLow rgb="FFD00000"/>
          <x14:sparklines>
            <x14:sparkline>
              <xm:f>Multiples!F33:R33</xm:f>
              <xm:sqref>E33</xm:sqref>
            </x14:sparkline>
          </x14:sparklines>
        </x14:sparklineGroup>
        <x14:sparklineGroup displayEmptyCellsAs="gap" xr2:uid="{00000000-0003-0000-0A00-00007F000000}">
          <x14:colorSeries rgb="FF7B1314"/>
          <x14:colorNegative rgb="FFD00000"/>
          <x14:colorAxis rgb="FF000000"/>
          <x14:colorMarkers rgb="FFD00000"/>
          <x14:colorFirst rgb="FFD00000"/>
          <x14:colorLast rgb="FFD00000"/>
          <x14:colorHigh rgb="FFD00000"/>
          <x14:colorLow rgb="FFD00000"/>
          <x14:sparklines>
            <x14:sparkline>
              <xm:f>Multiples!F34:R34</xm:f>
              <xm:sqref>E34</xm:sqref>
            </x14:sparkline>
          </x14:sparklines>
        </x14:sparklineGroup>
        <x14:sparklineGroup displayEmptyCellsAs="gap" xr2:uid="{00000000-0003-0000-0A00-000080000000}">
          <x14:colorSeries rgb="FF7B1314"/>
          <x14:colorNegative rgb="FFD00000"/>
          <x14:colorAxis rgb="FF000000"/>
          <x14:colorMarkers rgb="FFD00000"/>
          <x14:colorFirst rgb="FFD00000"/>
          <x14:colorLast rgb="FFD00000"/>
          <x14:colorHigh rgb="FFD00000"/>
          <x14:colorLow rgb="FFD00000"/>
          <x14:sparklines>
            <x14:sparkline>
              <xm:f>Multiples!F35:R35</xm:f>
              <xm:sqref>E35</xm:sqref>
            </x14:sparkline>
          </x14:sparklines>
        </x14:sparklineGroup>
        <x14:sparklineGroup displayEmptyCellsAs="gap" xr2:uid="{00000000-0003-0000-0A00-000081000000}">
          <x14:colorSeries rgb="FF7B1314"/>
          <x14:colorNegative rgb="FFD00000"/>
          <x14:colorAxis rgb="FF000000"/>
          <x14:colorMarkers rgb="FFD00000"/>
          <x14:colorFirst rgb="FFD00000"/>
          <x14:colorLast rgb="FFD00000"/>
          <x14:colorHigh rgb="FFD00000"/>
          <x14:colorLow rgb="FFD00000"/>
          <x14:sparklines>
            <x14:sparkline>
              <xm:f>Multiples!F40:R40</xm:f>
              <xm:sqref>E40</xm:sqref>
            </x14:sparkline>
          </x14:sparklines>
        </x14:sparklineGroup>
        <x14:sparklineGroup displayEmptyCellsAs="gap" xr2:uid="{00000000-0003-0000-0A00-000082000000}">
          <x14:colorSeries rgb="FF7B1314"/>
          <x14:colorNegative rgb="FFD00000"/>
          <x14:colorAxis rgb="FF000000"/>
          <x14:colorMarkers rgb="FFD00000"/>
          <x14:colorFirst rgb="FFD00000"/>
          <x14:colorLast rgb="FFD00000"/>
          <x14:colorHigh rgb="FFD00000"/>
          <x14:colorLow rgb="FFD00000"/>
          <x14:sparklines>
            <x14:sparkline>
              <xm:f>Multiples!F41:R41</xm:f>
              <xm:sqref>E41</xm:sqref>
            </x14:sparkline>
          </x14:sparklines>
        </x14:sparklineGroup>
        <x14:sparklineGroup displayEmptyCellsAs="gap" xr2:uid="{00000000-0003-0000-0A00-000083000000}">
          <x14:colorSeries rgb="FF7B1314"/>
          <x14:colorNegative rgb="FFD00000"/>
          <x14:colorAxis rgb="FF000000"/>
          <x14:colorMarkers rgb="FFD00000"/>
          <x14:colorFirst rgb="FFD00000"/>
          <x14:colorLast rgb="FFD00000"/>
          <x14:colorHigh rgb="FFD00000"/>
          <x14:colorLow rgb="FFD00000"/>
          <x14:sparklines>
            <x14:sparkline>
              <xm:f>Multiples!F42:R42</xm:f>
              <xm:sqref>E42</xm:sqref>
            </x14:sparkline>
          </x14:sparklines>
        </x14:sparklineGroup>
        <x14:sparklineGroup displayEmptyCellsAs="gap" xr2:uid="{00000000-0003-0000-0A00-000084000000}">
          <x14:colorSeries rgb="FF7B1314"/>
          <x14:colorNegative rgb="FFD00000"/>
          <x14:colorAxis rgb="FF000000"/>
          <x14:colorMarkers rgb="FFD00000"/>
          <x14:colorFirst rgb="FFD00000"/>
          <x14:colorLast rgb="FFD00000"/>
          <x14:colorHigh rgb="FFD00000"/>
          <x14:colorLow rgb="FFD00000"/>
          <x14:sparklines>
            <x14:sparkline>
              <xm:f>Multiples!F43:R43</xm:f>
              <xm:sqref>E43</xm:sqref>
            </x14:sparkline>
          </x14:sparklines>
        </x14:sparklineGroup>
        <x14:sparklineGroup displayEmptyCellsAs="gap" xr2:uid="{00000000-0003-0000-0A00-000085000000}">
          <x14:colorSeries rgb="FF7B1314"/>
          <x14:colorNegative rgb="FFD00000"/>
          <x14:colorAxis rgb="FF000000"/>
          <x14:colorMarkers rgb="FFD00000"/>
          <x14:colorFirst rgb="FFD00000"/>
          <x14:colorLast rgb="FFD00000"/>
          <x14:colorHigh rgb="FFD00000"/>
          <x14:colorLow rgb="FFD00000"/>
          <x14:sparklines>
            <x14:sparkline>
              <xm:f>Multiples!F44:R44</xm:f>
              <xm:sqref>E44</xm:sqref>
            </x14:sparkline>
          </x14:sparklines>
        </x14:sparklineGroup>
        <x14:sparklineGroup displayEmptyCellsAs="gap" xr2:uid="{00000000-0003-0000-0A00-000086000000}">
          <x14:colorSeries rgb="FF7B1314"/>
          <x14:colorNegative rgb="FFD00000"/>
          <x14:colorAxis rgb="FF000000"/>
          <x14:colorMarkers rgb="FFD00000"/>
          <x14:colorFirst rgb="FFD00000"/>
          <x14:colorLast rgb="FFD00000"/>
          <x14:colorHigh rgb="FFD00000"/>
          <x14:colorLow rgb="FFD00000"/>
          <x14:sparklines>
            <x14:sparkline>
              <xm:f>Multiples!F49:R49</xm:f>
              <xm:sqref>E49</xm:sqref>
            </x14:sparkline>
          </x14:sparklines>
        </x14:sparklineGroup>
        <x14:sparklineGroup displayEmptyCellsAs="gap" xr2:uid="{00000000-0003-0000-0A00-000087000000}">
          <x14:colorSeries rgb="FF7B1314"/>
          <x14:colorNegative rgb="FFD00000"/>
          <x14:colorAxis rgb="FF000000"/>
          <x14:colorMarkers rgb="FFD00000"/>
          <x14:colorFirst rgb="FFD00000"/>
          <x14:colorLast rgb="FFD00000"/>
          <x14:colorHigh rgb="FFD00000"/>
          <x14:colorLow rgb="FFD00000"/>
          <x14:sparklines>
            <x14:sparkline>
              <xm:f>Multiples!F50:R50</xm:f>
              <xm:sqref>E50</xm:sqref>
            </x14:sparkline>
          </x14:sparklines>
        </x14:sparklineGroup>
        <x14:sparklineGroup displayEmptyCellsAs="gap" xr2:uid="{00000000-0003-0000-0A00-000088000000}">
          <x14:colorSeries rgb="FF7B1314"/>
          <x14:colorNegative rgb="FFD00000"/>
          <x14:colorAxis rgb="FF000000"/>
          <x14:colorMarkers rgb="FFD00000"/>
          <x14:colorFirst rgb="FFD00000"/>
          <x14:colorLast rgb="FFD00000"/>
          <x14:colorHigh rgb="FFD00000"/>
          <x14:colorLow rgb="FFD00000"/>
          <x14:sparklines>
            <x14:sparkline>
              <xm:f>Multiples!F52:R52</xm:f>
              <xm:sqref>E52</xm:sqref>
            </x14:sparkline>
          </x14:sparklines>
        </x14:sparklineGroup>
        <x14:sparklineGroup displayEmptyCellsAs="gap" xr2:uid="{00000000-0003-0000-0A00-000089000000}">
          <x14:colorSeries rgb="FF7B1314"/>
          <x14:colorNegative rgb="FFD00000"/>
          <x14:colorAxis rgb="FF000000"/>
          <x14:colorMarkers rgb="FFD00000"/>
          <x14:colorFirst rgb="FFD00000"/>
          <x14:colorLast rgb="FFD00000"/>
          <x14:colorHigh rgb="FFD00000"/>
          <x14:colorLow rgb="FFD00000"/>
          <x14:sparklines>
            <x14:sparkline>
              <xm:f>Multiples!F55:R55</xm:f>
              <xm:sqref>E55</xm:sqref>
            </x14:sparkline>
          </x14:sparklines>
        </x14:sparklineGroup>
        <x14:sparklineGroup displayEmptyCellsAs="gap" xr2:uid="{00000000-0003-0000-0A00-00008A000000}">
          <x14:colorSeries rgb="FF7B1314"/>
          <x14:colorNegative rgb="FFD00000"/>
          <x14:colorAxis rgb="FF000000"/>
          <x14:colorMarkers rgb="FFD00000"/>
          <x14:colorFirst rgb="FFD00000"/>
          <x14:colorLast rgb="FFD00000"/>
          <x14:colorHigh rgb="FFD00000"/>
          <x14:colorLow rgb="FFD00000"/>
          <x14:sparklines>
            <x14:sparkline>
              <xm:f>Multiples!F63:R63</xm:f>
              <xm:sqref>E63</xm:sqref>
            </x14:sparkline>
          </x14:sparklines>
        </x14:sparklineGroup>
      </x14:sparklineGroup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8" tint="0.59999389629810485"/>
  </sheetPr>
  <dimension ref="B2:L10055"/>
  <sheetViews>
    <sheetView showGridLines="0" zoomScale="85" zoomScaleNormal="85" workbookViewId="0">
      <selection activeCell="D6" sqref="D6"/>
    </sheetView>
  </sheetViews>
  <sheetFormatPr defaultColWidth="8.58203125" defaultRowHeight="14" x14ac:dyDescent="0.3"/>
  <cols>
    <col min="1" max="1" width="4" customWidth="1"/>
    <col min="3" max="7" width="8.58203125" customWidth="1"/>
    <col min="10" max="10" width="15.5" customWidth="1"/>
  </cols>
  <sheetData>
    <row r="2" spans="2:12" s="37" customFormat="1" ht="20.149999999999999" customHeight="1" x14ac:dyDescent="0.4">
      <c r="B2" s="40" t="s">
        <v>659</v>
      </c>
    </row>
    <row r="4" spans="2:12" x14ac:dyDescent="0.3">
      <c r="B4" s="614" t="str">
        <f ca="1">IFERROR(Peers!C6&amp;" Fair Value - Blended Discount Rate and Terminal Growth Rate","")</f>
        <v>QBTS Fair Value - Blended Discount Rate and Terminal Growth Rate</v>
      </c>
      <c r="J4" s="614" t="str">
        <f ca="1">IFERROR(Peers!C6&amp;" Fair Value - Monte-Carlo Simulations Discount Rate and Terminal Growth Rate","")</f>
        <v>QBTS Fair Value - Monte-Carlo Simulations Discount Rate and Terminal Growth Rate</v>
      </c>
    </row>
    <row r="5" spans="2:12" ht="14.5" thickBot="1" x14ac:dyDescent="0.35">
      <c r="B5" t="s">
        <v>584</v>
      </c>
      <c r="F5" s="86" t="s">
        <v>453</v>
      </c>
    </row>
    <row r="6" spans="2:12" ht="14.5" thickBot="1" x14ac:dyDescent="0.35">
      <c r="B6" s="605"/>
      <c r="C6" s="611"/>
      <c r="D6" s="617">
        <f>DCF!AP284</f>
        <v>0</v>
      </c>
      <c r="E6" s="617">
        <f>DCF!AQ284</f>
        <v>0</v>
      </c>
      <c r="F6" s="617">
        <f>DCF!AR284</f>
        <v>0</v>
      </c>
      <c r="G6" s="617">
        <f>DCF!AS284</f>
        <v>0</v>
      </c>
      <c r="H6" s="617">
        <f>DCF!AT284</f>
        <v>0</v>
      </c>
      <c r="J6" s="717" t="s">
        <v>660</v>
      </c>
      <c r="K6" s="717" t="s">
        <v>203</v>
      </c>
      <c r="L6" s="717" t="s">
        <v>661</v>
      </c>
    </row>
    <row r="7" spans="2:12" x14ac:dyDescent="0.3">
      <c r="C7" s="609">
        <f>DCF!AO285</f>
        <v>0.01</v>
      </c>
      <c r="D7" s="707" t="str">
        <f>IFERROR(DCF!AP285/DCF!$Q$209-1,"")</f>
        <v/>
      </c>
      <c r="E7" s="707" t="str">
        <f>IFERROR(DCF!AQ285/DCF!$Q$209-1,"")</f>
        <v/>
      </c>
      <c r="F7" s="707" t="str">
        <f>IFERROR(DCF!AR285/DCF!$Q$209-1,"")</f>
        <v/>
      </c>
      <c r="G7" s="707" t="str">
        <f>IFERROR(DCF!AS285/DCF!$Q$209-1,"")</f>
        <v/>
      </c>
      <c r="H7" s="707" t="str">
        <f>IFERROR(DCF!AT285/DCF!$Q$209-1,"")</f>
        <v/>
      </c>
      <c r="J7" t="s">
        <v>453</v>
      </c>
      <c r="K7" s="17">
        <v>0.1009</v>
      </c>
      <c r="L7" s="17">
        <v>0.01</v>
      </c>
    </row>
    <row r="8" spans="2:12" x14ac:dyDescent="0.3">
      <c r="C8" s="609">
        <f>DCF!AO286</f>
        <v>0.02</v>
      </c>
      <c r="D8" s="707" t="str">
        <f>IFERROR(DCF!AP286/DCF!$Q$209-1,"")</f>
        <v/>
      </c>
      <c r="E8" s="707" t="str">
        <f>IFERROR(DCF!AQ286/DCF!$Q$209-1,"")</f>
        <v/>
      </c>
      <c r="F8" s="707" t="str">
        <f>IFERROR(DCF!AR286/DCF!$Q$209-1,"")</f>
        <v/>
      </c>
      <c r="G8" s="707" t="str">
        <f>IFERROR(DCF!AS286/DCF!$Q$209-1,"")</f>
        <v/>
      </c>
      <c r="H8" s="707" t="str">
        <f>IFERROR(DCF!AT286/DCF!$Q$209-1,"")</f>
        <v/>
      </c>
      <c r="J8" t="s">
        <v>195</v>
      </c>
      <c r="K8" s="17">
        <f>+DCF!I7</f>
        <v>0</v>
      </c>
      <c r="L8" s="32">
        <f>+DCF!L7</f>
        <v>0.02</v>
      </c>
    </row>
    <row r="9" spans="2:12" ht="14.5" thickBot="1" x14ac:dyDescent="0.35">
      <c r="B9" s="24" t="s">
        <v>455</v>
      </c>
      <c r="C9" s="609">
        <f>DCF!AO287</f>
        <v>0.03</v>
      </c>
      <c r="D9" s="707" t="str">
        <f>IFERROR(DCF!AP287/DCF!$Q$209-1,"")</f>
        <v/>
      </c>
      <c r="E9" s="707" t="str">
        <f>IFERROR(DCF!AQ287/DCF!$Q$209-1,"")</f>
        <v/>
      </c>
      <c r="F9" s="707" t="str">
        <f>IFERROR(DCF!AR287/DCF!$Q$209-1,"")</f>
        <v/>
      </c>
      <c r="G9" s="707" t="str">
        <f>IFERROR(DCF!AS287/DCF!$Q$209-1,"")</f>
        <v/>
      </c>
      <c r="H9" s="707" t="str">
        <f>IFERROR(DCF!AT287/DCF!$Q$209-1,"")</f>
        <v/>
      </c>
      <c r="J9" s="605" t="s">
        <v>21</v>
      </c>
      <c r="K9" s="617">
        <f>+DCF!I8</f>
        <v>0</v>
      </c>
      <c r="L9" s="617">
        <f>+DCF!L8</f>
        <v>0.01</v>
      </c>
    </row>
    <row r="10" spans="2:12" ht="14.5" thickBot="1" x14ac:dyDescent="0.35">
      <c r="C10" s="609">
        <f>DCF!AO288</f>
        <v>0.04</v>
      </c>
      <c r="D10" s="707" t="str">
        <f>IFERROR(DCF!AP288/DCF!$Q$209-1,"")</f>
        <v/>
      </c>
      <c r="E10" s="707" t="str">
        <f>IFERROR(DCF!AQ288/DCF!$Q$209-1,"")</f>
        <v/>
      </c>
      <c r="F10" s="707" t="str">
        <f>IFERROR(DCF!AR288/DCF!$Q$209-1,"")</f>
        <v/>
      </c>
      <c r="G10" s="707" t="str">
        <f>IFERROR(DCF!AS288/DCF!$Q$209-1,"")</f>
        <v/>
      </c>
      <c r="H10" s="707" t="str">
        <f>IFERROR(DCF!AT288/DCF!$Q$209-1,"")</f>
        <v/>
      </c>
      <c r="L10" s="718"/>
    </row>
    <row r="11" spans="2:12" ht="14.5" thickBot="1" x14ac:dyDescent="0.35">
      <c r="B11" s="605"/>
      <c r="C11" s="610">
        <f>DCF!AO289</f>
        <v>0.05</v>
      </c>
      <c r="D11" s="708" t="str">
        <f>IFERROR(DCF!AP289/DCF!$Q$209-1,"")</f>
        <v/>
      </c>
      <c r="E11" s="708" t="str">
        <f>IFERROR(DCF!AQ289/DCF!$Q$209-1,"")</f>
        <v/>
      </c>
      <c r="F11" s="708" t="str">
        <f>IFERROR(DCF!AR289/DCF!$Q$209-1,"")</f>
        <v/>
      </c>
      <c r="G11" s="708" t="str">
        <f>IFERROR(DCF!AS289/DCF!$Q$209-1,"")</f>
        <v/>
      </c>
      <c r="H11" s="708" t="str">
        <f>IFERROR(DCF!AT289/DCF!$Q$209-1,"")</f>
        <v/>
      </c>
      <c r="J11" s="717" t="s">
        <v>662</v>
      </c>
      <c r="K11" s="604"/>
      <c r="L11" s="604" t="s">
        <v>663</v>
      </c>
    </row>
    <row r="12" spans="2:12" x14ac:dyDescent="0.3">
      <c r="J12" s="613" t="s">
        <v>664</v>
      </c>
      <c r="K12" s="716">
        <f>MIN(B56:B10055)</f>
        <v>0</v>
      </c>
      <c r="L12" s="62" t="str">
        <f>IFERROR(K12/DCF!$Q$209-1,"")</f>
        <v/>
      </c>
    </row>
    <row r="13" spans="2:12" x14ac:dyDescent="0.3">
      <c r="B13" s="614" t="str">
        <f ca="1">IFERROR(Peers!C6&amp;" Fair Value - Blended Revenue Growth and Operating Margin","")</f>
        <v>QBTS Fair Value - Blended Revenue Growth and Operating Margin</v>
      </c>
      <c r="J13" s="721" t="s">
        <v>665</v>
      </c>
      <c r="K13" s="722" t="e">
        <f>AVERAGE(B56:B10055)</f>
        <v>#DIV/0!</v>
      </c>
      <c r="L13" s="65" t="str">
        <f>IFERROR(K13/DCF!$Q$209-1,"")</f>
        <v/>
      </c>
    </row>
    <row r="14" spans="2:12" ht="14.5" thickBot="1" x14ac:dyDescent="0.35">
      <c r="B14" t="s">
        <v>584</v>
      </c>
      <c r="J14" s="719" t="s">
        <v>666</v>
      </c>
      <c r="K14" s="716" t="e">
        <f>MEDIAN(B56:B10055)</f>
        <v>#NUM!</v>
      </c>
      <c r="L14" s="723" t="str">
        <f>IFERROR(K14/DCF!$Q$209-1,"")</f>
        <v/>
      </c>
    </row>
    <row r="15" spans="2:12" x14ac:dyDescent="0.3">
      <c r="B15" s="612"/>
      <c r="C15" s="613"/>
      <c r="D15" s="612"/>
      <c r="E15" s="618" t="s">
        <v>212</v>
      </c>
      <c r="F15" s="612"/>
      <c r="J15" s="719" t="s">
        <v>667</v>
      </c>
      <c r="K15" s="716">
        <f>MAX(B56:B10055)</f>
        <v>0</v>
      </c>
      <c r="L15" s="62" t="str">
        <f>IFERROR(K15/DCF!$Q$209-1,"")</f>
        <v/>
      </c>
    </row>
    <row r="16" spans="2:12" ht="14.5" thickBot="1" x14ac:dyDescent="0.35">
      <c r="B16" s="605"/>
      <c r="C16" s="611"/>
      <c r="D16" s="617">
        <f>DCF!F7</f>
        <v>-0.02</v>
      </c>
      <c r="E16" s="617">
        <f>DCF!I7</f>
        <v>0</v>
      </c>
      <c r="F16" s="617">
        <f>DCF!L7</f>
        <v>0.02</v>
      </c>
      <c r="J16" s="611" t="s">
        <v>668</v>
      </c>
      <c r="K16" s="720" t="e">
        <f>_xlfn.STDEV.P(B56:B10055)</f>
        <v>#DIV/0!</v>
      </c>
      <c r="L16" s="709"/>
    </row>
    <row r="17" spans="2:8" x14ac:dyDescent="0.3">
      <c r="C17" s="619">
        <f>DCF!F8</f>
        <v>-0.01</v>
      </c>
      <c r="D17" s="62" t="str">
        <f>IFERROR(DCF!AP295/DCF!$Q$209-1,"")</f>
        <v/>
      </c>
      <c r="E17" s="62" t="str">
        <f>IFERROR(DCF!AQ295/DCF!$Q$209-1,"")</f>
        <v/>
      </c>
      <c r="F17" s="62" t="str">
        <f>IFERROR(DCF!AR295/DCF!$Q$209-1,"")</f>
        <v/>
      </c>
    </row>
    <row r="18" spans="2:8" x14ac:dyDescent="0.3">
      <c r="B18" s="24" t="s">
        <v>451</v>
      </c>
      <c r="C18" s="619">
        <f>DCF!I8</f>
        <v>0</v>
      </c>
      <c r="D18" s="62" t="str">
        <f>IFERROR(DCF!AP296/DCF!$Q$209-1,"")</f>
        <v/>
      </c>
      <c r="E18" s="62" t="str">
        <f>IFERROR(DCF!AQ296/DCF!$Q$209-1,"")</f>
        <v/>
      </c>
      <c r="F18" s="62" t="str">
        <f>IFERROR(DCF!AR296/DCF!$Q$209-1,"")</f>
        <v/>
      </c>
    </row>
    <row r="19" spans="2:8" ht="14.5" thickBot="1" x14ac:dyDescent="0.35">
      <c r="B19" s="605"/>
      <c r="C19" s="620">
        <f>DCF!L8</f>
        <v>0.01</v>
      </c>
      <c r="D19" s="709" t="str">
        <f>IFERROR(DCF!AP297/DCF!$Q$209-1,"")</f>
        <v/>
      </c>
      <c r="E19" s="709" t="str">
        <f>IFERROR(DCF!AQ297/DCF!$Q$209-1,"")</f>
        <v/>
      </c>
      <c r="F19" s="709" t="str">
        <f>IFERROR(DCF!AR297/DCF!$Q$209-1,"")</f>
        <v/>
      </c>
    </row>
    <row r="22" spans="2:8" x14ac:dyDescent="0.3">
      <c r="B22" s="622" t="s">
        <v>585</v>
      </c>
      <c r="C22" s="37"/>
      <c r="D22" s="37"/>
      <c r="E22" s="37"/>
      <c r="F22" s="37"/>
      <c r="G22" s="37"/>
      <c r="H22" s="37"/>
    </row>
    <row r="26" spans="2:8" x14ac:dyDescent="0.3">
      <c r="E26" s="718"/>
    </row>
    <row r="42" spans="2:2" x14ac:dyDescent="0.3">
      <c r="B42" s="1"/>
    </row>
    <row r="43" spans="2:2" x14ac:dyDescent="0.3">
      <c r="B43" s="1"/>
    </row>
    <row r="44" spans="2:2" x14ac:dyDescent="0.3">
      <c r="B44" s="1"/>
    </row>
    <row r="45" spans="2:2" x14ac:dyDescent="0.3">
      <c r="B45" s="1"/>
    </row>
    <row r="46" spans="2:2" x14ac:dyDescent="0.3">
      <c r="B46" s="1"/>
    </row>
    <row r="47" spans="2:2" x14ac:dyDescent="0.3">
      <c r="B47" s="1"/>
    </row>
    <row r="48" spans="2:2" x14ac:dyDescent="0.3">
      <c r="B48" s="1"/>
    </row>
    <row r="49" spans="2:6" x14ac:dyDescent="0.3">
      <c r="B49" s="1"/>
    </row>
    <row r="50" spans="2:6" x14ac:dyDescent="0.3">
      <c r="B50" s="1"/>
    </row>
    <row r="51" spans="2:6" x14ac:dyDescent="0.3">
      <c r="B51" s="1"/>
    </row>
    <row r="52" spans="2:6" x14ac:dyDescent="0.3">
      <c r="B52" s="1"/>
    </row>
    <row r="53" spans="2:6" x14ac:dyDescent="0.3">
      <c r="B53" s="1"/>
    </row>
    <row r="54" spans="2:6" x14ac:dyDescent="0.3">
      <c r="B54" s="1"/>
    </row>
    <row r="55" spans="2:6" x14ac:dyDescent="0.3">
      <c r="B55" s="1" t="s">
        <v>669</v>
      </c>
      <c r="E55" s="32"/>
      <c r="F55" s="32"/>
    </row>
    <row r="56" spans="2:6" ht="15.5" x14ac:dyDescent="0.35">
      <c r="B56" s="167"/>
      <c r="E56" s="32"/>
      <c r="F56" s="32"/>
    </row>
    <row r="57" spans="2:6" ht="15.5" x14ac:dyDescent="0.35">
      <c r="B57" s="167"/>
      <c r="E57" s="32"/>
      <c r="F57" s="621"/>
    </row>
    <row r="58" spans="2:6" ht="15.5" x14ac:dyDescent="0.35">
      <c r="B58" s="167"/>
      <c r="E58" s="32"/>
      <c r="F58" s="621"/>
    </row>
    <row r="59" spans="2:6" ht="15.5" x14ac:dyDescent="0.35">
      <c r="B59" s="167"/>
    </row>
    <row r="60" spans="2:6" ht="15.5" x14ac:dyDescent="0.35">
      <c r="B60" s="167"/>
    </row>
    <row r="61" spans="2:6" ht="15.5" x14ac:dyDescent="0.35">
      <c r="B61" s="167"/>
    </row>
    <row r="62" spans="2:6" ht="15.5" x14ac:dyDescent="0.35">
      <c r="B62" s="167"/>
    </row>
    <row r="63" spans="2:6" ht="15.5" x14ac:dyDescent="0.35">
      <c r="B63" s="167"/>
    </row>
    <row r="64" spans="2:6" ht="15.5" x14ac:dyDescent="0.35">
      <c r="B64" s="167"/>
    </row>
    <row r="65" spans="2:2" ht="15.5" x14ac:dyDescent="0.35">
      <c r="B65" s="167"/>
    </row>
    <row r="66" spans="2:2" ht="15.5" x14ac:dyDescent="0.35">
      <c r="B66" s="167"/>
    </row>
    <row r="67" spans="2:2" ht="15.5" x14ac:dyDescent="0.35">
      <c r="B67" s="167"/>
    </row>
    <row r="68" spans="2:2" ht="15.5" x14ac:dyDescent="0.35">
      <c r="B68" s="167"/>
    </row>
    <row r="69" spans="2:2" ht="15.5" x14ac:dyDescent="0.35">
      <c r="B69" s="167"/>
    </row>
    <row r="70" spans="2:2" ht="15.5" x14ac:dyDescent="0.35">
      <c r="B70" s="167"/>
    </row>
    <row r="71" spans="2:2" ht="15.5" x14ac:dyDescent="0.35">
      <c r="B71" s="167"/>
    </row>
    <row r="72" spans="2:2" ht="15.5" x14ac:dyDescent="0.35">
      <c r="B72" s="167"/>
    </row>
    <row r="73" spans="2:2" ht="15.5" x14ac:dyDescent="0.35">
      <c r="B73" s="167"/>
    </row>
    <row r="74" spans="2:2" ht="15.5" x14ac:dyDescent="0.35">
      <c r="B74" s="167"/>
    </row>
    <row r="75" spans="2:2" ht="15.5" x14ac:dyDescent="0.35">
      <c r="B75" s="167"/>
    </row>
    <row r="76" spans="2:2" ht="15.5" x14ac:dyDescent="0.35">
      <c r="B76" s="167"/>
    </row>
    <row r="77" spans="2:2" ht="15.5" x14ac:dyDescent="0.35">
      <c r="B77" s="167"/>
    </row>
    <row r="78" spans="2:2" ht="15.5" x14ac:dyDescent="0.35">
      <c r="B78" s="167"/>
    </row>
    <row r="79" spans="2:2" ht="15.5" x14ac:dyDescent="0.35">
      <c r="B79" s="167"/>
    </row>
    <row r="80" spans="2:2" ht="15.5" x14ac:dyDescent="0.35">
      <c r="B80" s="167"/>
    </row>
    <row r="81" spans="2:2" ht="15.5" x14ac:dyDescent="0.35">
      <c r="B81" s="167"/>
    </row>
    <row r="82" spans="2:2" ht="15.5" x14ac:dyDescent="0.35">
      <c r="B82" s="167"/>
    </row>
    <row r="83" spans="2:2" ht="15.5" x14ac:dyDescent="0.35">
      <c r="B83" s="167"/>
    </row>
    <row r="84" spans="2:2" ht="15.5" x14ac:dyDescent="0.35">
      <c r="B84" s="167"/>
    </row>
    <row r="85" spans="2:2" ht="15.5" x14ac:dyDescent="0.35">
      <c r="B85" s="167"/>
    </row>
    <row r="86" spans="2:2" ht="15.5" x14ac:dyDescent="0.35">
      <c r="B86" s="167"/>
    </row>
    <row r="87" spans="2:2" ht="15.5" x14ac:dyDescent="0.35">
      <c r="B87" s="167"/>
    </row>
    <row r="88" spans="2:2" ht="15.5" x14ac:dyDescent="0.35">
      <c r="B88" s="167"/>
    </row>
    <row r="89" spans="2:2" ht="15.5" x14ac:dyDescent="0.35">
      <c r="B89" s="167"/>
    </row>
    <row r="90" spans="2:2" ht="15.5" x14ac:dyDescent="0.35">
      <c r="B90" s="167"/>
    </row>
    <row r="91" spans="2:2" ht="15.5" x14ac:dyDescent="0.35">
      <c r="B91" s="167"/>
    </row>
    <row r="92" spans="2:2" ht="15.5" x14ac:dyDescent="0.35">
      <c r="B92" s="167"/>
    </row>
    <row r="93" spans="2:2" ht="15.5" x14ac:dyDescent="0.35">
      <c r="B93" s="167"/>
    </row>
    <row r="94" spans="2:2" ht="15.5" x14ac:dyDescent="0.35">
      <c r="B94" s="167"/>
    </row>
    <row r="95" spans="2:2" ht="15.5" x14ac:dyDescent="0.35">
      <c r="B95" s="167"/>
    </row>
    <row r="96" spans="2:2" ht="15.5" x14ac:dyDescent="0.35">
      <c r="B96" s="167"/>
    </row>
    <row r="97" spans="2:2" ht="15.5" x14ac:dyDescent="0.35">
      <c r="B97" s="167"/>
    </row>
    <row r="98" spans="2:2" ht="15.5" x14ac:dyDescent="0.35">
      <c r="B98" s="167"/>
    </row>
    <row r="99" spans="2:2" ht="15.5" x14ac:dyDescent="0.35">
      <c r="B99" s="167"/>
    </row>
    <row r="100" spans="2:2" ht="15.5" x14ac:dyDescent="0.35">
      <c r="B100" s="167"/>
    </row>
    <row r="101" spans="2:2" ht="15.5" x14ac:dyDescent="0.35">
      <c r="B101" s="167"/>
    </row>
    <row r="102" spans="2:2" ht="15.5" x14ac:dyDescent="0.35">
      <c r="B102" s="167"/>
    </row>
    <row r="103" spans="2:2" ht="15.5" x14ac:dyDescent="0.35">
      <c r="B103" s="167"/>
    </row>
    <row r="104" spans="2:2" ht="15.5" x14ac:dyDescent="0.35">
      <c r="B104" s="167"/>
    </row>
    <row r="105" spans="2:2" ht="15.5" x14ac:dyDescent="0.35">
      <c r="B105" s="167"/>
    </row>
    <row r="106" spans="2:2" ht="15.5" x14ac:dyDescent="0.35">
      <c r="B106" s="167"/>
    </row>
    <row r="107" spans="2:2" ht="15.5" x14ac:dyDescent="0.35">
      <c r="B107" s="167"/>
    </row>
    <row r="108" spans="2:2" ht="15.5" x14ac:dyDescent="0.35">
      <c r="B108" s="167"/>
    </row>
    <row r="109" spans="2:2" ht="15.5" x14ac:dyDescent="0.35">
      <c r="B109" s="167"/>
    </row>
    <row r="110" spans="2:2" ht="15.5" x14ac:dyDescent="0.35">
      <c r="B110" s="167"/>
    </row>
    <row r="111" spans="2:2" ht="15.5" x14ac:dyDescent="0.35">
      <c r="B111" s="167"/>
    </row>
    <row r="112" spans="2:2" ht="15.5" x14ac:dyDescent="0.35">
      <c r="B112" s="167"/>
    </row>
    <row r="113" spans="2:2" ht="15.5" x14ac:dyDescent="0.35">
      <c r="B113" s="167"/>
    </row>
    <row r="114" spans="2:2" ht="15.5" x14ac:dyDescent="0.35">
      <c r="B114" s="167"/>
    </row>
    <row r="115" spans="2:2" ht="15.5" x14ac:dyDescent="0.35">
      <c r="B115" s="167"/>
    </row>
    <row r="116" spans="2:2" ht="15.5" x14ac:dyDescent="0.35">
      <c r="B116" s="167"/>
    </row>
    <row r="117" spans="2:2" ht="15.5" x14ac:dyDescent="0.35">
      <c r="B117" s="167"/>
    </row>
    <row r="118" spans="2:2" ht="15.5" x14ac:dyDescent="0.35">
      <c r="B118" s="167"/>
    </row>
    <row r="119" spans="2:2" ht="15.5" x14ac:dyDescent="0.35">
      <c r="B119" s="167"/>
    </row>
    <row r="120" spans="2:2" ht="15.5" x14ac:dyDescent="0.35">
      <c r="B120" s="167"/>
    </row>
    <row r="121" spans="2:2" ht="15.5" x14ac:dyDescent="0.35">
      <c r="B121" s="167"/>
    </row>
    <row r="122" spans="2:2" ht="15.5" x14ac:dyDescent="0.35">
      <c r="B122" s="167"/>
    </row>
    <row r="123" spans="2:2" ht="15.5" x14ac:dyDescent="0.35">
      <c r="B123" s="167"/>
    </row>
    <row r="124" spans="2:2" ht="15.5" x14ac:dyDescent="0.35">
      <c r="B124" s="167"/>
    </row>
    <row r="125" spans="2:2" ht="15.5" x14ac:dyDescent="0.35">
      <c r="B125" s="167"/>
    </row>
    <row r="126" spans="2:2" ht="15.5" x14ac:dyDescent="0.35">
      <c r="B126" s="167"/>
    </row>
    <row r="127" spans="2:2" ht="15.5" x14ac:dyDescent="0.35">
      <c r="B127" s="167"/>
    </row>
    <row r="128" spans="2:2" ht="15.5" x14ac:dyDescent="0.35">
      <c r="B128" s="167"/>
    </row>
    <row r="129" spans="2:2" ht="15.5" x14ac:dyDescent="0.35">
      <c r="B129" s="167"/>
    </row>
    <row r="130" spans="2:2" ht="15.5" x14ac:dyDescent="0.35">
      <c r="B130" s="167"/>
    </row>
    <row r="131" spans="2:2" ht="15.5" x14ac:dyDescent="0.35">
      <c r="B131" s="167"/>
    </row>
    <row r="132" spans="2:2" ht="15.5" x14ac:dyDescent="0.35">
      <c r="B132" s="167"/>
    </row>
    <row r="133" spans="2:2" ht="15.5" x14ac:dyDescent="0.35">
      <c r="B133" s="167"/>
    </row>
    <row r="134" spans="2:2" ht="15.5" x14ac:dyDescent="0.35">
      <c r="B134" s="167"/>
    </row>
    <row r="135" spans="2:2" ht="15.5" x14ac:dyDescent="0.35">
      <c r="B135" s="167"/>
    </row>
    <row r="136" spans="2:2" ht="15.5" x14ac:dyDescent="0.35">
      <c r="B136" s="167"/>
    </row>
    <row r="137" spans="2:2" ht="15.5" x14ac:dyDescent="0.35">
      <c r="B137" s="167"/>
    </row>
    <row r="138" spans="2:2" ht="15.5" x14ac:dyDescent="0.35">
      <c r="B138" s="167"/>
    </row>
    <row r="139" spans="2:2" ht="15.5" x14ac:dyDescent="0.35">
      <c r="B139" s="167"/>
    </row>
    <row r="140" spans="2:2" ht="15.5" x14ac:dyDescent="0.35">
      <c r="B140" s="167"/>
    </row>
    <row r="141" spans="2:2" ht="15.5" x14ac:dyDescent="0.35">
      <c r="B141" s="167"/>
    </row>
    <row r="142" spans="2:2" ht="15.5" x14ac:dyDescent="0.35">
      <c r="B142" s="167"/>
    </row>
    <row r="143" spans="2:2" ht="15.5" x14ac:dyDescent="0.35">
      <c r="B143" s="167"/>
    </row>
    <row r="144" spans="2:2" ht="15.5" x14ac:dyDescent="0.35">
      <c r="B144" s="167"/>
    </row>
    <row r="145" spans="2:2" ht="15.5" x14ac:dyDescent="0.35">
      <c r="B145" s="167"/>
    </row>
    <row r="146" spans="2:2" ht="15.5" x14ac:dyDescent="0.35">
      <c r="B146" s="167"/>
    </row>
    <row r="147" spans="2:2" ht="15.5" x14ac:dyDescent="0.35">
      <c r="B147" s="167"/>
    </row>
    <row r="148" spans="2:2" ht="15.5" x14ac:dyDescent="0.35">
      <c r="B148" s="167"/>
    </row>
    <row r="149" spans="2:2" ht="15.5" x14ac:dyDescent="0.35">
      <c r="B149" s="167"/>
    </row>
    <row r="150" spans="2:2" ht="15.5" x14ac:dyDescent="0.35">
      <c r="B150" s="167"/>
    </row>
    <row r="151" spans="2:2" ht="15.5" x14ac:dyDescent="0.35">
      <c r="B151" s="167"/>
    </row>
    <row r="152" spans="2:2" ht="15.5" x14ac:dyDescent="0.35">
      <c r="B152" s="167"/>
    </row>
    <row r="153" spans="2:2" ht="15.5" x14ac:dyDescent="0.35">
      <c r="B153" s="167"/>
    </row>
    <row r="154" spans="2:2" ht="15.5" x14ac:dyDescent="0.35">
      <c r="B154" s="167"/>
    </row>
    <row r="155" spans="2:2" ht="15.5" x14ac:dyDescent="0.35">
      <c r="B155" s="167"/>
    </row>
    <row r="156" spans="2:2" ht="15.5" x14ac:dyDescent="0.35">
      <c r="B156" s="167"/>
    </row>
    <row r="157" spans="2:2" ht="15.5" x14ac:dyDescent="0.35">
      <c r="B157" s="167"/>
    </row>
    <row r="158" spans="2:2" ht="15.5" x14ac:dyDescent="0.35">
      <c r="B158" s="167"/>
    </row>
    <row r="159" spans="2:2" ht="15.5" x14ac:dyDescent="0.35">
      <c r="B159" s="167"/>
    </row>
    <row r="160" spans="2:2" ht="15.5" x14ac:dyDescent="0.35">
      <c r="B160" s="167"/>
    </row>
    <row r="161" spans="2:2" ht="15.5" x14ac:dyDescent="0.35">
      <c r="B161" s="167"/>
    </row>
    <row r="162" spans="2:2" ht="15.5" x14ac:dyDescent="0.35">
      <c r="B162" s="167"/>
    </row>
    <row r="163" spans="2:2" ht="15.5" x14ac:dyDescent="0.35">
      <c r="B163" s="167"/>
    </row>
    <row r="164" spans="2:2" ht="15.5" x14ac:dyDescent="0.35">
      <c r="B164" s="167"/>
    </row>
    <row r="165" spans="2:2" ht="15.5" x14ac:dyDescent="0.35">
      <c r="B165" s="167"/>
    </row>
    <row r="166" spans="2:2" ht="15.5" x14ac:dyDescent="0.35">
      <c r="B166" s="167"/>
    </row>
    <row r="167" spans="2:2" ht="15.5" x14ac:dyDescent="0.35">
      <c r="B167" s="167"/>
    </row>
    <row r="168" spans="2:2" ht="15.5" x14ac:dyDescent="0.35">
      <c r="B168" s="167"/>
    </row>
    <row r="169" spans="2:2" ht="15.5" x14ac:dyDescent="0.35">
      <c r="B169" s="167"/>
    </row>
    <row r="170" spans="2:2" ht="15.5" x14ac:dyDescent="0.35">
      <c r="B170" s="167"/>
    </row>
    <row r="171" spans="2:2" ht="15.5" x14ac:dyDescent="0.35">
      <c r="B171" s="167"/>
    </row>
    <row r="172" spans="2:2" ht="15.5" x14ac:dyDescent="0.35">
      <c r="B172" s="167"/>
    </row>
    <row r="173" spans="2:2" ht="15.5" x14ac:dyDescent="0.35">
      <c r="B173" s="167"/>
    </row>
    <row r="174" spans="2:2" ht="15.5" x14ac:dyDescent="0.35">
      <c r="B174" s="167"/>
    </row>
    <row r="175" spans="2:2" ht="15.5" x14ac:dyDescent="0.35">
      <c r="B175" s="167"/>
    </row>
    <row r="176" spans="2:2" ht="15.5" x14ac:dyDescent="0.35">
      <c r="B176" s="167"/>
    </row>
    <row r="177" spans="2:2" ht="15.5" x14ac:dyDescent="0.35">
      <c r="B177" s="167"/>
    </row>
    <row r="178" spans="2:2" ht="15.5" x14ac:dyDescent="0.35">
      <c r="B178" s="167"/>
    </row>
    <row r="179" spans="2:2" ht="15.5" x14ac:dyDescent="0.35">
      <c r="B179" s="167"/>
    </row>
    <row r="180" spans="2:2" ht="15.5" x14ac:dyDescent="0.35">
      <c r="B180" s="167"/>
    </row>
    <row r="181" spans="2:2" ht="15.5" x14ac:dyDescent="0.35">
      <c r="B181" s="167"/>
    </row>
    <row r="182" spans="2:2" ht="15.5" x14ac:dyDescent="0.35">
      <c r="B182" s="167"/>
    </row>
    <row r="183" spans="2:2" ht="15.5" x14ac:dyDescent="0.35">
      <c r="B183" s="167"/>
    </row>
    <row r="184" spans="2:2" ht="15.5" x14ac:dyDescent="0.35">
      <c r="B184" s="167"/>
    </row>
    <row r="185" spans="2:2" ht="15.5" x14ac:dyDescent="0.35">
      <c r="B185" s="167"/>
    </row>
    <row r="186" spans="2:2" ht="15.5" x14ac:dyDescent="0.35">
      <c r="B186" s="167"/>
    </row>
    <row r="187" spans="2:2" ht="15.5" x14ac:dyDescent="0.35">
      <c r="B187" s="167"/>
    </row>
    <row r="188" spans="2:2" ht="15.5" x14ac:dyDescent="0.35">
      <c r="B188" s="167"/>
    </row>
    <row r="189" spans="2:2" ht="15.5" x14ac:dyDescent="0.35">
      <c r="B189" s="167"/>
    </row>
    <row r="190" spans="2:2" ht="15.5" x14ac:dyDescent="0.35">
      <c r="B190" s="167"/>
    </row>
    <row r="191" spans="2:2" ht="15.5" x14ac:dyDescent="0.35">
      <c r="B191" s="167"/>
    </row>
    <row r="192" spans="2:2" ht="15.5" x14ac:dyDescent="0.35">
      <c r="B192" s="167"/>
    </row>
    <row r="193" spans="2:2" ht="15.5" x14ac:dyDescent="0.35">
      <c r="B193" s="167"/>
    </row>
    <row r="194" spans="2:2" ht="15.5" x14ac:dyDescent="0.35">
      <c r="B194" s="167"/>
    </row>
    <row r="195" spans="2:2" ht="15.5" x14ac:dyDescent="0.35">
      <c r="B195" s="167"/>
    </row>
    <row r="196" spans="2:2" ht="15.5" x14ac:dyDescent="0.35">
      <c r="B196" s="167"/>
    </row>
    <row r="197" spans="2:2" ht="15.5" x14ac:dyDescent="0.35">
      <c r="B197" s="167"/>
    </row>
    <row r="198" spans="2:2" ht="15.5" x14ac:dyDescent="0.35">
      <c r="B198" s="167"/>
    </row>
    <row r="199" spans="2:2" ht="15.5" x14ac:dyDescent="0.35">
      <c r="B199" s="167"/>
    </row>
    <row r="200" spans="2:2" ht="15.5" x14ac:dyDescent="0.35">
      <c r="B200" s="167"/>
    </row>
    <row r="201" spans="2:2" ht="15.5" x14ac:dyDescent="0.35">
      <c r="B201" s="167"/>
    </row>
    <row r="202" spans="2:2" ht="15.5" x14ac:dyDescent="0.35">
      <c r="B202" s="167"/>
    </row>
    <row r="203" spans="2:2" ht="15.5" x14ac:dyDescent="0.35">
      <c r="B203" s="167"/>
    </row>
    <row r="204" spans="2:2" ht="15.5" x14ac:dyDescent="0.35">
      <c r="B204" s="167"/>
    </row>
    <row r="205" spans="2:2" ht="15.5" x14ac:dyDescent="0.35">
      <c r="B205" s="167"/>
    </row>
    <row r="206" spans="2:2" ht="15.5" x14ac:dyDescent="0.35">
      <c r="B206" s="167"/>
    </row>
    <row r="207" spans="2:2" ht="15.5" x14ac:dyDescent="0.35">
      <c r="B207" s="167"/>
    </row>
    <row r="208" spans="2:2" ht="15.5" x14ac:dyDescent="0.35">
      <c r="B208" s="167"/>
    </row>
    <row r="209" spans="2:2" ht="15.5" x14ac:dyDescent="0.35">
      <c r="B209" s="167"/>
    </row>
    <row r="210" spans="2:2" ht="15.5" x14ac:dyDescent="0.35">
      <c r="B210" s="167"/>
    </row>
    <row r="211" spans="2:2" ht="15.5" x14ac:dyDescent="0.35">
      <c r="B211" s="167"/>
    </row>
    <row r="212" spans="2:2" ht="15.5" x14ac:dyDescent="0.35">
      <c r="B212" s="167"/>
    </row>
    <row r="213" spans="2:2" ht="15.5" x14ac:dyDescent="0.35">
      <c r="B213" s="167"/>
    </row>
    <row r="214" spans="2:2" ht="15.5" x14ac:dyDescent="0.35">
      <c r="B214" s="167"/>
    </row>
    <row r="215" spans="2:2" ht="15.5" x14ac:dyDescent="0.35">
      <c r="B215" s="167"/>
    </row>
    <row r="216" spans="2:2" ht="15.5" x14ac:dyDescent="0.35">
      <c r="B216" s="167"/>
    </row>
    <row r="217" spans="2:2" ht="15.5" x14ac:dyDescent="0.35">
      <c r="B217" s="167"/>
    </row>
    <row r="218" spans="2:2" ht="15.5" x14ac:dyDescent="0.35">
      <c r="B218" s="167"/>
    </row>
    <row r="219" spans="2:2" ht="15.5" x14ac:dyDescent="0.35">
      <c r="B219" s="167"/>
    </row>
    <row r="220" spans="2:2" ht="15.5" x14ac:dyDescent="0.35">
      <c r="B220" s="167"/>
    </row>
    <row r="221" spans="2:2" ht="15.5" x14ac:dyDescent="0.35">
      <c r="B221" s="167"/>
    </row>
    <row r="222" spans="2:2" ht="15.5" x14ac:dyDescent="0.35">
      <c r="B222" s="167"/>
    </row>
    <row r="223" spans="2:2" ht="15.5" x14ac:dyDescent="0.35">
      <c r="B223" s="167"/>
    </row>
    <row r="224" spans="2:2" ht="15.5" x14ac:dyDescent="0.35">
      <c r="B224" s="167"/>
    </row>
    <row r="225" spans="2:2" ht="15.5" x14ac:dyDescent="0.35">
      <c r="B225" s="167"/>
    </row>
    <row r="226" spans="2:2" ht="15.5" x14ac:dyDescent="0.35">
      <c r="B226" s="167"/>
    </row>
    <row r="227" spans="2:2" ht="15.5" x14ac:dyDescent="0.35">
      <c r="B227" s="167"/>
    </row>
    <row r="228" spans="2:2" ht="15.5" x14ac:dyDescent="0.35">
      <c r="B228" s="167"/>
    </row>
    <row r="229" spans="2:2" ht="15.5" x14ac:dyDescent="0.35">
      <c r="B229" s="167"/>
    </row>
    <row r="230" spans="2:2" ht="15.5" x14ac:dyDescent="0.35">
      <c r="B230" s="167"/>
    </row>
    <row r="231" spans="2:2" ht="15.5" x14ac:dyDescent="0.35">
      <c r="B231" s="167"/>
    </row>
    <row r="232" spans="2:2" ht="15.5" x14ac:dyDescent="0.35">
      <c r="B232" s="167"/>
    </row>
    <row r="233" spans="2:2" ht="15.5" x14ac:dyDescent="0.35">
      <c r="B233" s="167"/>
    </row>
    <row r="234" spans="2:2" ht="15.5" x14ac:dyDescent="0.35">
      <c r="B234" s="167"/>
    </row>
    <row r="235" spans="2:2" ht="15.5" x14ac:dyDescent="0.35">
      <c r="B235" s="167"/>
    </row>
    <row r="236" spans="2:2" ht="15.5" x14ac:dyDescent="0.35">
      <c r="B236" s="167"/>
    </row>
    <row r="237" spans="2:2" ht="15.5" x14ac:dyDescent="0.35">
      <c r="B237" s="167"/>
    </row>
    <row r="238" spans="2:2" ht="15.5" x14ac:dyDescent="0.35">
      <c r="B238" s="167"/>
    </row>
    <row r="239" spans="2:2" ht="15.5" x14ac:dyDescent="0.35">
      <c r="B239" s="167"/>
    </row>
    <row r="240" spans="2:2" ht="15.5" x14ac:dyDescent="0.35">
      <c r="B240" s="167"/>
    </row>
    <row r="241" spans="2:2" ht="15.5" x14ac:dyDescent="0.35">
      <c r="B241" s="167"/>
    </row>
    <row r="242" spans="2:2" ht="15.5" x14ac:dyDescent="0.35">
      <c r="B242" s="167"/>
    </row>
    <row r="243" spans="2:2" ht="15.5" x14ac:dyDescent="0.35">
      <c r="B243" s="167"/>
    </row>
    <row r="244" spans="2:2" ht="15.5" x14ac:dyDescent="0.35">
      <c r="B244" s="167"/>
    </row>
    <row r="245" spans="2:2" ht="15.5" x14ac:dyDescent="0.35">
      <c r="B245" s="167"/>
    </row>
    <row r="246" spans="2:2" ht="15.5" x14ac:dyDescent="0.35">
      <c r="B246" s="167"/>
    </row>
    <row r="247" spans="2:2" ht="15.5" x14ac:dyDescent="0.35">
      <c r="B247" s="167"/>
    </row>
    <row r="248" spans="2:2" ht="15.5" x14ac:dyDescent="0.35">
      <c r="B248" s="167"/>
    </row>
    <row r="249" spans="2:2" ht="15.5" x14ac:dyDescent="0.35">
      <c r="B249" s="167"/>
    </row>
    <row r="250" spans="2:2" ht="15.5" x14ac:dyDescent="0.35">
      <c r="B250" s="167"/>
    </row>
    <row r="251" spans="2:2" ht="15.5" x14ac:dyDescent="0.35">
      <c r="B251" s="167"/>
    </row>
    <row r="252" spans="2:2" ht="15.5" x14ac:dyDescent="0.35">
      <c r="B252" s="167"/>
    </row>
    <row r="253" spans="2:2" ht="15.5" x14ac:dyDescent="0.35">
      <c r="B253" s="167"/>
    </row>
    <row r="254" spans="2:2" ht="15.5" x14ac:dyDescent="0.35">
      <c r="B254" s="167"/>
    </row>
    <row r="255" spans="2:2" ht="15.5" x14ac:dyDescent="0.35">
      <c r="B255" s="167"/>
    </row>
    <row r="256" spans="2:2" ht="15.5" x14ac:dyDescent="0.35">
      <c r="B256" s="167"/>
    </row>
    <row r="257" spans="2:2" ht="15.5" x14ac:dyDescent="0.35">
      <c r="B257" s="167"/>
    </row>
    <row r="258" spans="2:2" ht="15.5" x14ac:dyDescent="0.35">
      <c r="B258" s="167"/>
    </row>
    <row r="259" spans="2:2" ht="15.5" x14ac:dyDescent="0.35">
      <c r="B259" s="167"/>
    </row>
    <row r="260" spans="2:2" ht="15.5" x14ac:dyDescent="0.35">
      <c r="B260" s="167"/>
    </row>
    <row r="261" spans="2:2" ht="15.5" x14ac:dyDescent="0.35">
      <c r="B261" s="167"/>
    </row>
    <row r="262" spans="2:2" ht="15.5" x14ac:dyDescent="0.35">
      <c r="B262" s="167"/>
    </row>
    <row r="263" spans="2:2" ht="15.5" x14ac:dyDescent="0.35">
      <c r="B263" s="167"/>
    </row>
    <row r="264" spans="2:2" ht="15.5" x14ac:dyDescent="0.35">
      <c r="B264" s="167"/>
    </row>
    <row r="265" spans="2:2" ht="15.5" x14ac:dyDescent="0.35">
      <c r="B265" s="167"/>
    </row>
    <row r="266" spans="2:2" ht="15.5" x14ac:dyDescent="0.35">
      <c r="B266" s="167"/>
    </row>
    <row r="267" spans="2:2" ht="15.5" x14ac:dyDescent="0.35">
      <c r="B267" s="167"/>
    </row>
    <row r="268" spans="2:2" ht="15.5" x14ac:dyDescent="0.35">
      <c r="B268" s="167"/>
    </row>
    <row r="269" spans="2:2" ht="15.5" x14ac:dyDescent="0.35">
      <c r="B269" s="167"/>
    </row>
    <row r="270" spans="2:2" ht="15.5" x14ac:dyDescent="0.35">
      <c r="B270" s="167"/>
    </row>
    <row r="271" spans="2:2" ht="15.5" x14ac:dyDescent="0.35">
      <c r="B271" s="167"/>
    </row>
    <row r="272" spans="2:2" ht="15.5" x14ac:dyDescent="0.35">
      <c r="B272" s="167"/>
    </row>
    <row r="273" spans="2:2" ht="15.5" x14ac:dyDescent="0.35">
      <c r="B273" s="167"/>
    </row>
    <row r="274" spans="2:2" ht="15.5" x14ac:dyDescent="0.35">
      <c r="B274" s="167"/>
    </row>
    <row r="275" spans="2:2" ht="15.5" x14ac:dyDescent="0.35">
      <c r="B275" s="167"/>
    </row>
    <row r="276" spans="2:2" ht="15.5" x14ac:dyDescent="0.35">
      <c r="B276" s="167"/>
    </row>
    <row r="277" spans="2:2" ht="15.5" x14ac:dyDescent="0.35">
      <c r="B277" s="167"/>
    </row>
    <row r="278" spans="2:2" ht="15.5" x14ac:dyDescent="0.35">
      <c r="B278" s="167"/>
    </row>
    <row r="279" spans="2:2" ht="15.5" x14ac:dyDescent="0.35">
      <c r="B279" s="167"/>
    </row>
    <row r="280" spans="2:2" ht="15.5" x14ac:dyDescent="0.35">
      <c r="B280" s="167"/>
    </row>
    <row r="281" spans="2:2" ht="15.5" x14ac:dyDescent="0.35">
      <c r="B281" s="167"/>
    </row>
    <row r="282" spans="2:2" ht="15.5" x14ac:dyDescent="0.35">
      <c r="B282" s="167"/>
    </row>
    <row r="283" spans="2:2" ht="15.5" x14ac:dyDescent="0.35">
      <c r="B283" s="167"/>
    </row>
    <row r="284" spans="2:2" ht="15.5" x14ac:dyDescent="0.35">
      <c r="B284" s="167"/>
    </row>
    <row r="285" spans="2:2" ht="15.5" x14ac:dyDescent="0.35">
      <c r="B285" s="167"/>
    </row>
    <row r="286" spans="2:2" ht="15.5" x14ac:dyDescent="0.35">
      <c r="B286" s="167"/>
    </row>
    <row r="287" spans="2:2" ht="15.5" x14ac:dyDescent="0.35">
      <c r="B287" s="167"/>
    </row>
    <row r="288" spans="2:2" ht="15.5" x14ac:dyDescent="0.35">
      <c r="B288" s="167"/>
    </row>
    <row r="289" spans="2:2" ht="15.5" x14ac:dyDescent="0.35">
      <c r="B289" s="167"/>
    </row>
    <row r="290" spans="2:2" ht="15.5" x14ac:dyDescent="0.35">
      <c r="B290" s="167"/>
    </row>
    <row r="291" spans="2:2" ht="15.5" x14ac:dyDescent="0.35">
      <c r="B291" s="167"/>
    </row>
    <row r="292" spans="2:2" ht="15.5" x14ac:dyDescent="0.35">
      <c r="B292" s="167"/>
    </row>
    <row r="293" spans="2:2" ht="15.5" x14ac:dyDescent="0.35">
      <c r="B293" s="167"/>
    </row>
    <row r="294" spans="2:2" ht="15.5" x14ac:dyDescent="0.35">
      <c r="B294" s="167"/>
    </row>
    <row r="295" spans="2:2" ht="15.5" x14ac:dyDescent="0.35">
      <c r="B295" s="167"/>
    </row>
    <row r="296" spans="2:2" ht="15.5" x14ac:dyDescent="0.35">
      <c r="B296" s="167"/>
    </row>
    <row r="297" spans="2:2" ht="15.5" x14ac:dyDescent="0.35">
      <c r="B297" s="167"/>
    </row>
    <row r="298" spans="2:2" ht="15.5" x14ac:dyDescent="0.35">
      <c r="B298" s="167"/>
    </row>
    <row r="299" spans="2:2" ht="15.5" x14ac:dyDescent="0.35">
      <c r="B299" s="167"/>
    </row>
    <row r="300" spans="2:2" ht="15.5" x14ac:dyDescent="0.35">
      <c r="B300" s="167"/>
    </row>
    <row r="301" spans="2:2" ht="15.5" x14ac:dyDescent="0.35">
      <c r="B301" s="167"/>
    </row>
    <row r="302" spans="2:2" ht="15.5" x14ac:dyDescent="0.35">
      <c r="B302" s="167"/>
    </row>
    <row r="303" spans="2:2" ht="15.5" x14ac:dyDescent="0.35">
      <c r="B303" s="167"/>
    </row>
    <row r="304" spans="2:2" ht="15.5" x14ac:dyDescent="0.35">
      <c r="B304" s="167"/>
    </row>
    <row r="305" spans="2:2" ht="15.5" x14ac:dyDescent="0.35">
      <c r="B305" s="167"/>
    </row>
    <row r="306" spans="2:2" ht="15.5" x14ac:dyDescent="0.35">
      <c r="B306" s="167"/>
    </row>
    <row r="307" spans="2:2" ht="15.5" x14ac:dyDescent="0.35">
      <c r="B307" s="167"/>
    </row>
    <row r="308" spans="2:2" ht="15.5" x14ac:dyDescent="0.35">
      <c r="B308" s="167"/>
    </row>
    <row r="309" spans="2:2" ht="15.5" x14ac:dyDescent="0.35">
      <c r="B309" s="167"/>
    </row>
    <row r="310" spans="2:2" ht="15.5" x14ac:dyDescent="0.35">
      <c r="B310" s="167"/>
    </row>
    <row r="311" spans="2:2" ht="15.5" x14ac:dyDescent="0.35">
      <c r="B311" s="167"/>
    </row>
    <row r="312" spans="2:2" ht="15.5" x14ac:dyDescent="0.35">
      <c r="B312" s="167"/>
    </row>
    <row r="313" spans="2:2" ht="15.5" x14ac:dyDescent="0.35">
      <c r="B313" s="167"/>
    </row>
    <row r="314" spans="2:2" ht="15.5" x14ac:dyDescent="0.35">
      <c r="B314" s="167"/>
    </row>
    <row r="315" spans="2:2" ht="15.5" x14ac:dyDescent="0.35">
      <c r="B315" s="167"/>
    </row>
    <row r="316" spans="2:2" ht="15.5" x14ac:dyDescent="0.35">
      <c r="B316" s="167"/>
    </row>
    <row r="317" spans="2:2" ht="15.5" x14ac:dyDescent="0.35">
      <c r="B317" s="167"/>
    </row>
    <row r="318" spans="2:2" ht="15.5" x14ac:dyDescent="0.35">
      <c r="B318" s="167"/>
    </row>
    <row r="319" spans="2:2" ht="15.5" x14ac:dyDescent="0.35">
      <c r="B319" s="167"/>
    </row>
    <row r="320" spans="2:2" ht="15.5" x14ac:dyDescent="0.35">
      <c r="B320" s="167"/>
    </row>
    <row r="321" spans="2:2" ht="15.5" x14ac:dyDescent="0.35">
      <c r="B321" s="167"/>
    </row>
    <row r="322" spans="2:2" ht="15.5" x14ac:dyDescent="0.35">
      <c r="B322" s="167"/>
    </row>
    <row r="323" spans="2:2" ht="15.5" x14ac:dyDescent="0.35">
      <c r="B323" s="167"/>
    </row>
    <row r="324" spans="2:2" ht="15.5" x14ac:dyDescent="0.35">
      <c r="B324" s="167"/>
    </row>
    <row r="325" spans="2:2" ht="15.5" x14ac:dyDescent="0.35">
      <c r="B325" s="167"/>
    </row>
    <row r="326" spans="2:2" ht="15.5" x14ac:dyDescent="0.35">
      <c r="B326" s="167"/>
    </row>
    <row r="327" spans="2:2" ht="15.5" x14ac:dyDescent="0.35">
      <c r="B327" s="167"/>
    </row>
    <row r="328" spans="2:2" ht="15.5" x14ac:dyDescent="0.35">
      <c r="B328" s="167"/>
    </row>
    <row r="329" spans="2:2" ht="15.5" x14ac:dyDescent="0.35">
      <c r="B329" s="167"/>
    </row>
    <row r="330" spans="2:2" ht="15.5" x14ac:dyDescent="0.35">
      <c r="B330" s="167"/>
    </row>
    <row r="331" spans="2:2" ht="15.5" x14ac:dyDescent="0.35">
      <c r="B331" s="167"/>
    </row>
    <row r="332" spans="2:2" ht="15.5" x14ac:dyDescent="0.35">
      <c r="B332" s="167"/>
    </row>
    <row r="333" spans="2:2" ht="15.5" x14ac:dyDescent="0.35">
      <c r="B333" s="167"/>
    </row>
    <row r="334" spans="2:2" ht="15.5" x14ac:dyDescent="0.35">
      <c r="B334" s="167"/>
    </row>
    <row r="335" spans="2:2" ht="15.5" x14ac:dyDescent="0.35">
      <c r="B335" s="167"/>
    </row>
    <row r="336" spans="2:2" ht="15.5" x14ac:dyDescent="0.35">
      <c r="B336" s="167"/>
    </row>
    <row r="337" spans="2:2" ht="15.5" x14ac:dyDescent="0.35">
      <c r="B337" s="167"/>
    </row>
    <row r="338" spans="2:2" ht="15.5" x14ac:dyDescent="0.35">
      <c r="B338" s="167"/>
    </row>
    <row r="339" spans="2:2" ht="15.5" x14ac:dyDescent="0.35">
      <c r="B339" s="167"/>
    </row>
    <row r="340" spans="2:2" ht="15.5" x14ac:dyDescent="0.35">
      <c r="B340" s="167"/>
    </row>
    <row r="341" spans="2:2" ht="15.5" x14ac:dyDescent="0.35">
      <c r="B341" s="167"/>
    </row>
    <row r="342" spans="2:2" ht="15.5" x14ac:dyDescent="0.35">
      <c r="B342" s="167"/>
    </row>
    <row r="343" spans="2:2" ht="15.5" x14ac:dyDescent="0.35">
      <c r="B343" s="167"/>
    </row>
    <row r="344" spans="2:2" ht="15.5" x14ac:dyDescent="0.35">
      <c r="B344" s="167"/>
    </row>
    <row r="345" spans="2:2" ht="15.5" x14ac:dyDescent="0.35">
      <c r="B345" s="167"/>
    </row>
    <row r="346" spans="2:2" ht="15.5" x14ac:dyDescent="0.35">
      <c r="B346" s="167"/>
    </row>
    <row r="347" spans="2:2" ht="15.5" x14ac:dyDescent="0.35">
      <c r="B347" s="167"/>
    </row>
    <row r="348" spans="2:2" ht="15.5" x14ac:dyDescent="0.35">
      <c r="B348" s="167"/>
    </row>
    <row r="349" spans="2:2" ht="15.5" x14ac:dyDescent="0.35">
      <c r="B349" s="167"/>
    </row>
    <row r="350" spans="2:2" ht="15.5" x14ac:dyDescent="0.35">
      <c r="B350" s="167"/>
    </row>
    <row r="351" spans="2:2" ht="15.5" x14ac:dyDescent="0.35">
      <c r="B351" s="167"/>
    </row>
    <row r="352" spans="2:2" ht="15.5" x14ac:dyDescent="0.35">
      <c r="B352" s="167"/>
    </row>
    <row r="353" spans="2:2" ht="15.5" x14ac:dyDescent="0.35">
      <c r="B353" s="167"/>
    </row>
    <row r="354" spans="2:2" ht="15.5" x14ac:dyDescent="0.35">
      <c r="B354" s="167"/>
    </row>
    <row r="355" spans="2:2" ht="15.5" x14ac:dyDescent="0.35">
      <c r="B355" s="167"/>
    </row>
    <row r="356" spans="2:2" ht="15.5" x14ac:dyDescent="0.35">
      <c r="B356" s="167"/>
    </row>
    <row r="357" spans="2:2" ht="15.5" x14ac:dyDescent="0.35">
      <c r="B357" s="167"/>
    </row>
    <row r="358" spans="2:2" ht="15.5" x14ac:dyDescent="0.35">
      <c r="B358" s="167"/>
    </row>
    <row r="359" spans="2:2" ht="15.5" x14ac:dyDescent="0.35">
      <c r="B359" s="167"/>
    </row>
    <row r="360" spans="2:2" ht="15.5" x14ac:dyDescent="0.35">
      <c r="B360" s="167"/>
    </row>
    <row r="361" spans="2:2" ht="15.5" x14ac:dyDescent="0.35">
      <c r="B361" s="167"/>
    </row>
    <row r="362" spans="2:2" ht="15.5" x14ac:dyDescent="0.35">
      <c r="B362" s="167"/>
    </row>
    <row r="363" spans="2:2" ht="15.5" x14ac:dyDescent="0.35">
      <c r="B363" s="167"/>
    </row>
    <row r="364" spans="2:2" ht="15.5" x14ac:dyDescent="0.35">
      <c r="B364" s="167"/>
    </row>
    <row r="365" spans="2:2" ht="15.5" x14ac:dyDescent="0.35">
      <c r="B365" s="167"/>
    </row>
    <row r="366" spans="2:2" ht="15.5" x14ac:dyDescent="0.35">
      <c r="B366" s="167"/>
    </row>
    <row r="367" spans="2:2" ht="15.5" x14ac:dyDescent="0.35">
      <c r="B367" s="167"/>
    </row>
    <row r="368" spans="2:2" ht="15.5" x14ac:dyDescent="0.35">
      <c r="B368" s="167"/>
    </row>
    <row r="369" spans="2:2" ht="15.5" x14ac:dyDescent="0.35">
      <c r="B369" s="167"/>
    </row>
    <row r="370" spans="2:2" ht="15.5" x14ac:dyDescent="0.35">
      <c r="B370" s="167"/>
    </row>
    <row r="371" spans="2:2" ht="15.5" x14ac:dyDescent="0.35">
      <c r="B371" s="167"/>
    </row>
    <row r="372" spans="2:2" ht="15.5" x14ac:dyDescent="0.35">
      <c r="B372" s="167"/>
    </row>
    <row r="373" spans="2:2" ht="15.5" x14ac:dyDescent="0.35">
      <c r="B373" s="167"/>
    </row>
    <row r="374" spans="2:2" ht="15.5" x14ac:dyDescent="0.35">
      <c r="B374" s="167"/>
    </row>
    <row r="375" spans="2:2" ht="15.5" x14ac:dyDescent="0.35">
      <c r="B375" s="167"/>
    </row>
    <row r="376" spans="2:2" ht="15.5" x14ac:dyDescent="0.35">
      <c r="B376" s="167"/>
    </row>
    <row r="377" spans="2:2" ht="15.5" x14ac:dyDescent="0.35">
      <c r="B377" s="167"/>
    </row>
    <row r="378" spans="2:2" ht="15.5" x14ac:dyDescent="0.35">
      <c r="B378" s="167"/>
    </row>
    <row r="379" spans="2:2" ht="15.5" x14ac:dyDescent="0.35">
      <c r="B379" s="167"/>
    </row>
    <row r="380" spans="2:2" ht="15.5" x14ac:dyDescent="0.35">
      <c r="B380" s="167"/>
    </row>
    <row r="381" spans="2:2" ht="15.5" x14ac:dyDescent="0.35">
      <c r="B381" s="167"/>
    </row>
    <row r="382" spans="2:2" ht="15.5" x14ac:dyDescent="0.35">
      <c r="B382" s="167"/>
    </row>
    <row r="383" spans="2:2" ht="15.5" x14ac:dyDescent="0.35">
      <c r="B383" s="167"/>
    </row>
    <row r="384" spans="2:2" ht="15.5" x14ac:dyDescent="0.35">
      <c r="B384" s="167"/>
    </row>
    <row r="385" spans="2:2" ht="15.5" x14ac:dyDescent="0.35">
      <c r="B385" s="167"/>
    </row>
    <row r="386" spans="2:2" ht="15.5" x14ac:dyDescent="0.35">
      <c r="B386" s="167"/>
    </row>
    <row r="387" spans="2:2" ht="15.5" x14ac:dyDescent="0.35">
      <c r="B387" s="167"/>
    </row>
    <row r="388" spans="2:2" ht="15.5" x14ac:dyDescent="0.35">
      <c r="B388" s="167"/>
    </row>
    <row r="389" spans="2:2" ht="15.5" x14ac:dyDescent="0.35">
      <c r="B389" s="167"/>
    </row>
    <row r="390" spans="2:2" ht="15.5" x14ac:dyDescent="0.35">
      <c r="B390" s="167"/>
    </row>
    <row r="391" spans="2:2" ht="15.5" x14ac:dyDescent="0.35">
      <c r="B391" s="167"/>
    </row>
    <row r="392" spans="2:2" ht="15.5" x14ac:dyDescent="0.35">
      <c r="B392" s="167"/>
    </row>
    <row r="393" spans="2:2" ht="15.5" x14ac:dyDescent="0.35">
      <c r="B393" s="167"/>
    </row>
    <row r="394" spans="2:2" ht="15.5" x14ac:dyDescent="0.35">
      <c r="B394" s="167"/>
    </row>
    <row r="395" spans="2:2" ht="15.5" x14ac:dyDescent="0.35">
      <c r="B395" s="167"/>
    </row>
    <row r="396" spans="2:2" ht="15.5" x14ac:dyDescent="0.35">
      <c r="B396" s="167"/>
    </row>
    <row r="397" spans="2:2" ht="15.5" x14ac:dyDescent="0.35">
      <c r="B397" s="167"/>
    </row>
    <row r="398" spans="2:2" ht="15.5" x14ac:dyDescent="0.35">
      <c r="B398" s="167"/>
    </row>
    <row r="399" spans="2:2" ht="15.5" x14ac:dyDescent="0.35">
      <c r="B399" s="167"/>
    </row>
    <row r="400" spans="2:2" ht="15.5" x14ac:dyDescent="0.35">
      <c r="B400" s="167"/>
    </row>
    <row r="401" spans="2:2" ht="15.5" x14ac:dyDescent="0.35">
      <c r="B401" s="167"/>
    </row>
    <row r="402" spans="2:2" ht="15.5" x14ac:dyDescent="0.35">
      <c r="B402" s="167"/>
    </row>
    <row r="403" spans="2:2" ht="15.5" x14ac:dyDescent="0.35">
      <c r="B403" s="167"/>
    </row>
    <row r="404" spans="2:2" ht="15.5" x14ac:dyDescent="0.35">
      <c r="B404" s="167"/>
    </row>
    <row r="405" spans="2:2" ht="15.5" x14ac:dyDescent="0.35">
      <c r="B405" s="167"/>
    </row>
    <row r="406" spans="2:2" ht="15.5" x14ac:dyDescent="0.35">
      <c r="B406" s="167"/>
    </row>
    <row r="407" spans="2:2" ht="15.5" x14ac:dyDescent="0.35">
      <c r="B407" s="167"/>
    </row>
    <row r="408" spans="2:2" ht="15.5" x14ac:dyDescent="0.35">
      <c r="B408" s="167"/>
    </row>
    <row r="409" spans="2:2" ht="15.5" x14ac:dyDescent="0.35">
      <c r="B409" s="167"/>
    </row>
    <row r="410" spans="2:2" ht="15.5" x14ac:dyDescent="0.35">
      <c r="B410" s="167"/>
    </row>
    <row r="411" spans="2:2" ht="15.5" x14ac:dyDescent="0.35">
      <c r="B411" s="167"/>
    </row>
    <row r="412" spans="2:2" ht="15.5" x14ac:dyDescent="0.35">
      <c r="B412" s="167"/>
    </row>
    <row r="413" spans="2:2" ht="15.5" x14ac:dyDescent="0.35">
      <c r="B413" s="167"/>
    </row>
    <row r="414" spans="2:2" ht="15.5" x14ac:dyDescent="0.35">
      <c r="B414" s="167"/>
    </row>
    <row r="415" spans="2:2" ht="15.5" x14ac:dyDescent="0.35">
      <c r="B415" s="167"/>
    </row>
    <row r="416" spans="2:2" ht="15.5" x14ac:dyDescent="0.35">
      <c r="B416" s="167"/>
    </row>
    <row r="417" spans="2:2" ht="15.5" x14ac:dyDescent="0.35">
      <c r="B417" s="167"/>
    </row>
    <row r="418" spans="2:2" ht="15.5" x14ac:dyDescent="0.35">
      <c r="B418" s="167"/>
    </row>
    <row r="419" spans="2:2" ht="15.5" x14ac:dyDescent="0.35">
      <c r="B419" s="167"/>
    </row>
    <row r="420" spans="2:2" ht="15.5" x14ac:dyDescent="0.35">
      <c r="B420" s="167"/>
    </row>
    <row r="421" spans="2:2" ht="15.5" x14ac:dyDescent="0.35">
      <c r="B421" s="167"/>
    </row>
    <row r="422" spans="2:2" ht="15.5" x14ac:dyDescent="0.35">
      <c r="B422" s="167"/>
    </row>
    <row r="423" spans="2:2" ht="15.5" x14ac:dyDescent="0.35">
      <c r="B423" s="167"/>
    </row>
    <row r="424" spans="2:2" ht="15.5" x14ac:dyDescent="0.35">
      <c r="B424" s="167"/>
    </row>
    <row r="425" spans="2:2" ht="15.5" x14ac:dyDescent="0.35">
      <c r="B425" s="167"/>
    </row>
    <row r="426" spans="2:2" ht="15.5" x14ac:dyDescent="0.35">
      <c r="B426" s="167"/>
    </row>
    <row r="427" spans="2:2" ht="15.5" x14ac:dyDescent="0.35">
      <c r="B427" s="167"/>
    </row>
    <row r="428" spans="2:2" ht="15.5" x14ac:dyDescent="0.35">
      <c r="B428" s="167"/>
    </row>
    <row r="429" spans="2:2" ht="15.5" x14ac:dyDescent="0.35">
      <c r="B429" s="167"/>
    </row>
    <row r="430" spans="2:2" ht="15.5" x14ac:dyDescent="0.35">
      <c r="B430" s="167"/>
    </row>
    <row r="431" spans="2:2" ht="15.5" x14ac:dyDescent="0.35">
      <c r="B431" s="167"/>
    </row>
    <row r="432" spans="2:2" ht="15.5" x14ac:dyDescent="0.35">
      <c r="B432" s="167"/>
    </row>
    <row r="433" spans="2:2" ht="15.5" x14ac:dyDescent="0.35">
      <c r="B433" s="167"/>
    </row>
    <row r="434" spans="2:2" ht="15.5" x14ac:dyDescent="0.35">
      <c r="B434" s="167"/>
    </row>
    <row r="435" spans="2:2" ht="15.5" x14ac:dyDescent="0.35">
      <c r="B435" s="167"/>
    </row>
    <row r="436" spans="2:2" ht="15.5" x14ac:dyDescent="0.35">
      <c r="B436" s="167"/>
    </row>
    <row r="437" spans="2:2" ht="15.5" x14ac:dyDescent="0.35">
      <c r="B437" s="167"/>
    </row>
    <row r="438" spans="2:2" ht="15.5" x14ac:dyDescent="0.35">
      <c r="B438" s="167"/>
    </row>
    <row r="439" spans="2:2" ht="15.5" x14ac:dyDescent="0.35">
      <c r="B439" s="167"/>
    </row>
    <row r="440" spans="2:2" ht="15.5" x14ac:dyDescent="0.35">
      <c r="B440" s="167"/>
    </row>
    <row r="441" spans="2:2" ht="15.5" x14ac:dyDescent="0.35">
      <c r="B441" s="167"/>
    </row>
    <row r="442" spans="2:2" ht="15.5" x14ac:dyDescent="0.35">
      <c r="B442" s="167"/>
    </row>
    <row r="443" spans="2:2" ht="15.5" x14ac:dyDescent="0.35">
      <c r="B443" s="167"/>
    </row>
    <row r="444" spans="2:2" ht="15.5" x14ac:dyDescent="0.35">
      <c r="B444" s="167"/>
    </row>
    <row r="445" spans="2:2" ht="15.5" x14ac:dyDescent="0.35">
      <c r="B445" s="167"/>
    </row>
    <row r="446" spans="2:2" ht="15.5" x14ac:dyDescent="0.35">
      <c r="B446" s="167"/>
    </row>
    <row r="447" spans="2:2" ht="15.5" x14ac:dyDescent="0.35">
      <c r="B447" s="167"/>
    </row>
    <row r="448" spans="2:2" ht="15.5" x14ac:dyDescent="0.35">
      <c r="B448" s="167"/>
    </row>
    <row r="449" spans="2:2" ht="15.5" x14ac:dyDescent="0.35">
      <c r="B449" s="167"/>
    </row>
    <row r="450" spans="2:2" ht="15.5" x14ac:dyDescent="0.35">
      <c r="B450" s="167"/>
    </row>
    <row r="451" spans="2:2" ht="15.5" x14ac:dyDescent="0.35">
      <c r="B451" s="167"/>
    </row>
    <row r="452" spans="2:2" ht="15.5" x14ac:dyDescent="0.35">
      <c r="B452" s="167"/>
    </row>
    <row r="453" spans="2:2" ht="15.5" x14ac:dyDescent="0.35">
      <c r="B453" s="167"/>
    </row>
    <row r="454" spans="2:2" ht="15.5" x14ac:dyDescent="0.35">
      <c r="B454" s="167"/>
    </row>
    <row r="455" spans="2:2" ht="15.5" x14ac:dyDescent="0.35">
      <c r="B455" s="167"/>
    </row>
    <row r="456" spans="2:2" ht="15.5" x14ac:dyDescent="0.35">
      <c r="B456" s="167"/>
    </row>
    <row r="457" spans="2:2" ht="15.5" x14ac:dyDescent="0.35">
      <c r="B457" s="167"/>
    </row>
    <row r="458" spans="2:2" ht="15.5" x14ac:dyDescent="0.35">
      <c r="B458" s="167"/>
    </row>
    <row r="459" spans="2:2" ht="15.5" x14ac:dyDescent="0.35">
      <c r="B459" s="167"/>
    </row>
    <row r="460" spans="2:2" ht="15.5" x14ac:dyDescent="0.35">
      <c r="B460" s="167"/>
    </row>
    <row r="461" spans="2:2" ht="15.5" x14ac:dyDescent="0.35">
      <c r="B461" s="167"/>
    </row>
    <row r="462" spans="2:2" ht="15.5" x14ac:dyDescent="0.35">
      <c r="B462" s="167"/>
    </row>
    <row r="463" spans="2:2" ht="15.5" x14ac:dyDescent="0.35">
      <c r="B463" s="167"/>
    </row>
    <row r="464" spans="2:2" ht="15.5" x14ac:dyDescent="0.35">
      <c r="B464" s="167"/>
    </row>
    <row r="465" spans="2:2" ht="15.5" x14ac:dyDescent="0.35">
      <c r="B465" s="167"/>
    </row>
    <row r="466" spans="2:2" ht="15.5" x14ac:dyDescent="0.35">
      <c r="B466" s="167"/>
    </row>
    <row r="467" spans="2:2" ht="15.5" x14ac:dyDescent="0.35">
      <c r="B467" s="167"/>
    </row>
    <row r="468" spans="2:2" ht="15.5" x14ac:dyDescent="0.35">
      <c r="B468" s="167"/>
    </row>
    <row r="469" spans="2:2" ht="15.5" x14ac:dyDescent="0.35">
      <c r="B469" s="167"/>
    </row>
    <row r="470" spans="2:2" ht="15.5" x14ac:dyDescent="0.35">
      <c r="B470" s="167"/>
    </row>
    <row r="471" spans="2:2" ht="15.5" x14ac:dyDescent="0.35">
      <c r="B471" s="167"/>
    </row>
    <row r="472" spans="2:2" ht="15.5" x14ac:dyDescent="0.35">
      <c r="B472" s="167"/>
    </row>
    <row r="473" spans="2:2" ht="15.5" x14ac:dyDescent="0.35">
      <c r="B473" s="167"/>
    </row>
    <row r="474" spans="2:2" ht="15.5" x14ac:dyDescent="0.35">
      <c r="B474" s="167"/>
    </row>
    <row r="475" spans="2:2" ht="15.5" x14ac:dyDescent="0.35">
      <c r="B475" s="167"/>
    </row>
    <row r="476" spans="2:2" ht="15.5" x14ac:dyDescent="0.35">
      <c r="B476" s="167"/>
    </row>
    <row r="477" spans="2:2" ht="15.5" x14ac:dyDescent="0.35">
      <c r="B477" s="167"/>
    </row>
    <row r="478" spans="2:2" ht="15.5" x14ac:dyDescent="0.35">
      <c r="B478" s="167"/>
    </row>
    <row r="479" spans="2:2" ht="15.5" x14ac:dyDescent="0.35">
      <c r="B479" s="167"/>
    </row>
    <row r="480" spans="2:2" ht="15.5" x14ac:dyDescent="0.35">
      <c r="B480" s="167"/>
    </row>
    <row r="481" spans="2:2" ht="15.5" x14ac:dyDescent="0.35">
      <c r="B481" s="167"/>
    </row>
    <row r="482" spans="2:2" ht="15.5" x14ac:dyDescent="0.35">
      <c r="B482" s="167"/>
    </row>
    <row r="483" spans="2:2" ht="15.5" x14ac:dyDescent="0.35">
      <c r="B483" s="167"/>
    </row>
    <row r="484" spans="2:2" ht="15.5" x14ac:dyDescent="0.35">
      <c r="B484" s="167"/>
    </row>
    <row r="485" spans="2:2" ht="15.5" x14ac:dyDescent="0.35">
      <c r="B485" s="167"/>
    </row>
    <row r="486" spans="2:2" ht="15.5" x14ac:dyDescent="0.35">
      <c r="B486" s="167"/>
    </row>
    <row r="487" spans="2:2" ht="15.5" x14ac:dyDescent="0.35">
      <c r="B487" s="167"/>
    </row>
    <row r="488" spans="2:2" ht="15.5" x14ac:dyDescent="0.35">
      <c r="B488" s="167"/>
    </row>
    <row r="489" spans="2:2" ht="15.5" x14ac:dyDescent="0.35">
      <c r="B489" s="167"/>
    </row>
    <row r="490" spans="2:2" ht="15.5" x14ac:dyDescent="0.35">
      <c r="B490" s="167"/>
    </row>
    <row r="491" spans="2:2" ht="15.5" x14ac:dyDescent="0.35">
      <c r="B491" s="167"/>
    </row>
    <row r="492" spans="2:2" ht="15.5" x14ac:dyDescent="0.35">
      <c r="B492" s="167"/>
    </row>
    <row r="493" spans="2:2" ht="15.5" x14ac:dyDescent="0.35">
      <c r="B493" s="167"/>
    </row>
    <row r="494" spans="2:2" ht="15.5" x14ac:dyDescent="0.35">
      <c r="B494" s="167"/>
    </row>
    <row r="495" spans="2:2" ht="15.5" x14ac:dyDescent="0.35">
      <c r="B495" s="167"/>
    </row>
    <row r="496" spans="2:2" ht="15.5" x14ac:dyDescent="0.35">
      <c r="B496" s="167"/>
    </row>
    <row r="497" spans="2:2" ht="15.5" x14ac:dyDescent="0.35">
      <c r="B497" s="167"/>
    </row>
    <row r="498" spans="2:2" ht="15.5" x14ac:dyDescent="0.35">
      <c r="B498" s="167"/>
    </row>
    <row r="499" spans="2:2" ht="15.5" x14ac:dyDescent="0.35">
      <c r="B499" s="167"/>
    </row>
    <row r="500" spans="2:2" ht="15.5" x14ac:dyDescent="0.35">
      <c r="B500" s="167"/>
    </row>
    <row r="501" spans="2:2" ht="15.5" x14ac:dyDescent="0.35">
      <c r="B501" s="167"/>
    </row>
    <row r="502" spans="2:2" ht="15.5" x14ac:dyDescent="0.35">
      <c r="B502" s="167"/>
    </row>
    <row r="503" spans="2:2" ht="15.5" x14ac:dyDescent="0.35">
      <c r="B503" s="167"/>
    </row>
    <row r="504" spans="2:2" ht="15.5" x14ac:dyDescent="0.35">
      <c r="B504" s="167"/>
    </row>
    <row r="505" spans="2:2" ht="15.5" x14ac:dyDescent="0.35">
      <c r="B505" s="167"/>
    </row>
    <row r="506" spans="2:2" ht="15.5" x14ac:dyDescent="0.35">
      <c r="B506" s="167"/>
    </row>
    <row r="507" spans="2:2" ht="15.5" x14ac:dyDescent="0.35">
      <c r="B507" s="167"/>
    </row>
    <row r="508" spans="2:2" ht="15.5" x14ac:dyDescent="0.35">
      <c r="B508" s="167"/>
    </row>
    <row r="509" spans="2:2" ht="15.5" x14ac:dyDescent="0.35">
      <c r="B509" s="167"/>
    </row>
    <row r="510" spans="2:2" ht="15.5" x14ac:dyDescent="0.35">
      <c r="B510" s="167"/>
    </row>
    <row r="511" spans="2:2" ht="15.5" x14ac:dyDescent="0.35">
      <c r="B511" s="167"/>
    </row>
    <row r="512" spans="2:2" ht="15.5" x14ac:dyDescent="0.35">
      <c r="B512" s="167"/>
    </row>
    <row r="513" spans="2:2" ht="15.5" x14ac:dyDescent="0.35">
      <c r="B513" s="167"/>
    </row>
    <row r="514" spans="2:2" ht="15.5" x14ac:dyDescent="0.35">
      <c r="B514" s="167"/>
    </row>
    <row r="515" spans="2:2" ht="15.5" x14ac:dyDescent="0.35">
      <c r="B515" s="167"/>
    </row>
    <row r="516" spans="2:2" ht="15.5" x14ac:dyDescent="0.35">
      <c r="B516" s="167"/>
    </row>
    <row r="517" spans="2:2" ht="15.5" x14ac:dyDescent="0.35">
      <c r="B517" s="167"/>
    </row>
    <row r="518" spans="2:2" ht="15.5" x14ac:dyDescent="0.35">
      <c r="B518" s="167"/>
    </row>
    <row r="519" spans="2:2" ht="15.5" x14ac:dyDescent="0.35">
      <c r="B519" s="167"/>
    </row>
    <row r="520" spans="2:2" ht="15.5" x14ac:dyDescent="0.35">
      <c r="B520" s="167"/>
    </row>
    <row r="521" spans="2:2" ht="15.5" x14ac:dyDescent="0.35">
      <c r="B521" s="167"/>
    </row>
    <row r="522" spans="2:2" ht="15.5" x14ac:dyDescent="0.35">
      <c r="B522" s="167"/>
    </row>
    <row r="523" spans="2:2" ht="15.5" x14ac:dyDescent="0.35">
      <c r="B523" s="167"/>
    </row>
    <row r="524" spans="2:2" ht="15.5" x14ac:dyDescent="0.35">
      <c r="B524" s="167"/>
    </row>
    <row r="525" spans="2:2" ht="15.5" x14ac:dyDescent="0.35">
      <c r="B525" s="167"/>
    </row>
    <row r="526" spans="2:2" ht="15.5" x14ac:dyDescent="0.35">
      <c r="B526" s="167"/>
    </row>
    <row r="527" spans="2:2" ht="15.5" x14ac:dyDescent="0.35">
      <c r="B527" s="167"/>
    </row>
    <row r="528" spans="2:2" ht="15.5" x14ac:dyDescent="0.35">
      <c r="B528" s="167"/>
    </row>
    <row r="529" spans="2:2" ht="15.5" x14ac:dyDescent="0.35">
      <c r="B529" s="167"/>
    </row>
    <row r="530" spans="2:2" ht="15.5" x14ac:dyDescent="0.35">
      <c r="B530" s="167"/>
    </row>
    <row r="531" spans="2:2" ht="15.5" x14ac:dyDescent="0.35">
      <c r="B531" s="167"/>
    </row>
    <row r="532" spans="2:2" ht="15.5" x14ac:dyDescent="0.35">
      <c r="B532" s="167"/>
    </row>
    <row r="533" spans="2:2" ht="15.5" x14ac:dyDescent="0.35">
      <c r="B533" s="167"/>
    </row>
    <row r="534" spans="2:2" ht="15.5" x14ac:dyDescent="0.35">
      <c r="B534" s="167"/>
    </row>
    <row r="535" spans="2:2" ht="15.5" x14ac:dyDescent="0.35">
      <c r="B535" s="167"/>
    </row>
    <row r="536" spans="2:2" ht="15.5" x14ac:dyDescent="0.35">
      <c r="B536" s="167"/>
    </row>
    <row r="537" spans="2:2" ht="15.5" x14ac:dyDescent="0.35">
      <c r="B537" s="167"/>
    </row>
    <row r="538" spans="2:2" ht="15.5" x14ac:dyDescent="0.35">
      <c r="B538" s="167"/>
    </row>
    <row r="539" spans="2:2" ht="15.5" x14ac:dyDescent="0.35">
      <c r="B539" s="167"/>
    </row>
    <row r="540" spans="2:2" ht="15.5" x14ac:dyDescent="0.35">
      <c r="B540" s="167"/>
    </row>
    <row r="541" spans="2:2" ht="15.5" x14ac:dyDescent="0.35">
      <c r="B541" s="167"/>
    </row>
    <row r="542" spans="2:2" ht="15.5" x14ac:dyDescent="0.35">
      <c r="B542" s="167"/>
    </row>
    <row r="543" spans="2:2" ht="15.5" x14ac:dyDescent="0.35">
      <c r="B543" s="167"/>
    </row>
    <row r="544" spans="2:2" ht="15.5" x14ac:dyDescent="0.35">
      <c r="B544" s="167"/>
    </row>
    <row r="545" spans="2:2" ht="15.5" x14ac:dyDescent="0.35">
      <c r="B545" s="167"/>
    </row>
    <row r="546" spans="2:2" ht="15.5" x14ac:dyDescent="0.35">
      <c r="B546" s="167"/>
    </row>
    <row r="547" spans="2:2" ht="15.5" x14ac:dyDescent="0.35">
      <c r="B547" s="167"/>
    </row>
    <row r="548" spans="2:2" ht="15.5" x14ac:dyDescent="0.35">
      <c r="B548" s="167"/>
    </row>
    <row r="549" spans="2:2" ht="15.5" x14ac:dyDescent="0.35">
      <c r="B549" s="167"/>
    </row>
    <row r="550" spans="2:2" ht="15.5" x14ac:dyDescent="0.35">
      <c r="B550" s="167"/>
    </row>
    <row r="551" spans="2:2" ht="15.5" x14ac:dyDescent="0.35">
      <c r="B551" s="167"/>
    </row>
    <row r="552" spans="2:2" ht="15.5" x14ac:dyDescent="0.35">
      <c r="B552" s="167"/>
    </row>
    <row r="553" spans="2:2" ht="15.5" x14ac:dyDescent="0.35">
      <c r="B553" s="167"/>
    </row>
    <row r="554" spans="2:2" ht="15.5" x14ac:dyDescent="0.35">
      <c r="B554" s="167"/>
    </row>
    <row r="555" spans="2:2" ht="15.5" x14ac:dyDescent="0.35">
      <c r="B555" s="167"/>
    </row>
    <row r="556" spans="2:2" ht="15.5" x14ac:dyDescent="0.35">
      <c r="B556" s="167"/>
    </row>
    <row r="557" spans="2:2" ht="15.5" x14ac:dyDescent="0.35">
      <c r="B557" s="167"/>
    </row>
    <row r="558" spans="2:2" ht="15.5" x14ac:dyDescent="0.35">
      <c r="B558" s="167"/>
    </row>
    <row r="559" spans="2:2" ht="15.5" x14ac:dyDescent="0.35">
      <c r="B559" s="167"/>
    </row>
    <row r="560" spans="2:2" ht="15.5" x14ac:dyDescent="0.35">
      <c r="B560" s="167"/>
    </row>
    <row r="561" spans="2:2" ht="15.5" x14ac:dyDescent="0.35">
      <c r="B561" s="167"/>
    </row>
    <row r="562" spans="2:2" ht="15.5" x14ac:dyDescent="0.35">
      <c r="B562" s="167"/>
    </row>
    <row r="563" spans="2:2" ht="15.5" x14ac:dyDescent="0.35">
      <c r="B563" s="167"/>
    </row>
    <row r="564" spans="2:2" ht="15.5" x14ac:dyDescent="0.35">
      <c r="B564" s="167"/>
    </row>
    <row r="565" spans="2:2" ht="15.5" x14ac:dyDescent="0.35">
      <c r="B565" s="167"/>
    </row>
    <row r="566" spans="2:2" ht="15.5" x14ac:dyDescent="0.35">
      <c r="B566" s="167"/>
    </row>
    <row r="567" spans="2:2" ht="15.5" x14ac:dyDescent="0.35">
      <c r="B567" s="167"/>
    </row>
    <row r="568" spans="2:2" ht="15.5" x14ac:dyDescent="0.35">
      <c r="B568" s="167"/>
    </row>
    <row r="569" spans="2:2" ht="15.5" x14ac:dyDescent="0.35">
      <c r="B569" s="167"/>
    </row>
    <row r="570" spans="2:2" ht="15.5" x14ac:dyDescent="0.35">
      <c r="B570" s="167"/>
    </row>
    <row r="571" spans="2:2" ht="15.5" x14ac:dyDescent="0.35">
      <c r="B571" s="167"/>
    </row>
    <row r="572" spans="2:2" ht="15.5" x14ac:dyDescent="0.35">
      <c r="B572" s="167"/>
    </row>
    <row r="573" spans="2:2" ht="15.5" x14ac:dyDescent="0.35">
      <c r="B573" s="167"/>
    </row>
    <row r="574" spans="2:2" ht="15.5" x14ac:dyDescent="0.35">
      <c r="B574" s="167"/>
    </row>
    <row r="575" spans="2:2" ht="15.5" x14ac:dyDescent="0.35">
      <c r="B575" s="167"/>
    </row>
    <row r="576" spans="2:2" ht="15.5" x14ac:dyDescent="0.35">
      <c r="B576" s="167"/>
    </row>
    <row r="577" spans="2:2" ht="15.5" x14ac:dyDescent="0.35">
      <c r="B577" s="167"/>
    </row>
    <row r="578" spans="2:2" ht="15.5" x14ac:dyDescent="0.35">
      <c r="B578" s="167"/>
    </row>
    <row r="579" spans="2:2" ht="15.5" x14ac:dyDescent="0.35">
      <c r="B579" s="167"/>
    </row>
    <row r="580" spans="2:2" ht="15.5" x14ac:dyDescent="0.35">
      <c r="B580" s="167"/>
    </row>
    <row r="581" spans="2:2" ht="15.5" x14ac:dyDescent="0.35">
      <c r="B581" s="167"/>
    </row>
    <row r="582" spans="2:2" ht="15.5" x14ac:dyDescent="0.35">
      <c r="B582" s="167"/>
    </row>
    <row r="583" spans="2:2" ht="15.5" x14ac:dyDescent="0.35">
      <c r="B583" s="167"/>
    </row>
    <row r="584" spans="2:2" ht="15.5" x14ac:dyDescent="0.35">
      <c r="B584" s="167"/>
    </row>
    <row r="585" spans="2:2" ht="15.5" x14ac:dyDescent="0.35">
      <c r="B585" s="167"/>
    </row>
    <row r="586" spans="2:2" ht="15.5" x14ac:dyDescent="0.35">
      <c r="B586" s="167"/>
    </row>
    <row r="587" spans="2:2" ht="15.5" x14ac:dyDescent="0.35">
      <c r="B587" s="167"/>
    </row>
    <row r="588" spans="2:2" ht="15.5" x14ac:dyDescent="0.35">
      <c r="B588" s="167"/>
    </row>
    <row r="589" spans="2:2" ht="15.5" x14ac:dyDescent="0.35">
      <c r="B589" s="167"/>
    </row>
    <row r="590" spans="2:2" ht="15.5" x14ac:dyDescent="0.35">
      <c r="B590" s="167"/>
    </row>
    <row r="591" spans="2:2" ht="15.5" x14ac:dyDescent="0.35">
      <c r="B591" s="167"/>
    </row>
    <row r="592" spans="2:2" ht="15.5" x14ac:dyDescent="0.35">
      <c r="B592" s="167"/>
    </row>
    <row r="593" spans="2:2" ht="15.5" x14ac:dyDescent="0.35">
      <c r="B593" s="167"/>
    </row>
    <row r="594" spans="2:2" ht="15.5" x14ac:dyDescent="0.35">
      <c r="B594" s="167"/>
    </row>
    <row r="595" spans="2:2" ht="15.5" x14ac:dyDescent="0.35">
      <c r="B595" s="167"/>
    </row>
    <row r="596" spans="2:2" ht="15.5" x14ac:dyDescent="0.35">
      <c r="B596" s="167"/>
    </row>
    <row r="597" spans="2:2" ht="15.5" x14ac:dyDescent="0.35">
      <c r="B597" s="167"/>
    </row>
    <row r="598" spans="2:2" ht="15.5" x14ac:dyDescent="0.35">
      <c r="B598" s="167"/>
    </row>
    <row r="599" spans="2:2" ht="15.5" x14ac:dyDescent="0.35">
      <c r="B599" s="167"/>
    </row>
    <row r="600" spans="2:2" ht="15.5" x14ac:dyDescent="0.35">
      <c r="B600" s="167"/>
    </row>
    <row r="601" spans="2:2" ht="15.5" x14ac:dyDescent="0.35">
      <c r="B601" s="167"/>
    </row>
    <row r="602" spans="2:2" ht="15.5" x14ac:dyDescent="0.35">
      <c r="B602" s="167"/>
    </row>
    <row r="603" spans="2:2" ht="15.5" x14ac:dyDescent="0.35">
      <c r="B603" s="167"/>
    </row>
    <row r="604" spans="2:2" ht="15.5" x14ac:dyDescent="0.35">
      <c r="B604" s="167"/>
    </row>
    <row r="605" spans="2:2" ht="15.5" x14ac:dyDescent="0.35">
      <c r="B605" s="167"/>
    </row>
    <row r="606" spans="2:2" ht="15.5" x14ac:dyDescent="0.35">
      <c r="B606" s="167"/>
    </row>
    <row r="607" spans="2:2" ht="15.5" x14ac:dyDescent="0.35">
      <c r="B607" s="167"/>
    </row>
    <row r="608" spans="2:2" ht="15.5" x14ac:dyDescent="0.35">
      <c r="B608" s="167"/>
    </row>
    <row r="609" spans="2:2" ht="15.5" x14ac:dyDescent="0.35">
      <c r="B609" s="167"/>
    </row>
    <row r="610" spans="2:2" ht="15.5" x14ac:dyDescent="0.35">
      <c r="B610" s="167"/>
    </row>
    <row r="611" spans="2:2" ht="15.5" x14ac:dyDescent="0.35">
      <c r="B611" s="167"/>
    </row>
    <row r="612" spans="2:2" ht="15.5" x14ac:dyDescent="0.35">
      <c r="B612" s="167"/>
    </row>
    <row r="613" spans="2:2" ht="15.5" x14ac:dyDescent="0.35">
      <c r="B613" s="167"/>
    </row>
    <row r="614" spans="2:2" ht="15.5" x14ac:dyDescent="0.35">
      <c r="B614" s="167"/>
    </row>
    <row r="615" spans="2:2" ht="15.5" x14ac:dyDescent="0.35">
      <c r="B615" s="167"/>
    </row>
    <row r="616" spans="2:2" ht="15.5" x14ac:dyDescent="0.35">
      <c r="B616" s="167"/>
    </row>
    <row r="617" spans="2:2" ht="15.5" x14ac:dyDescent="0.35">
      <c r="B617" s="167"/>
    </row>
    <row r="618" spans="2:2" ht="15.5" x14ac:dyDescent="0.35">
      <c r="B618" s="167"/>
    </row>
    <row r="619" spans="2:2" ht="15.5" x14ac:dyDescent="0.35">
      <c r="B619" s="167"/>
    </row>
    <row r="620" spans="2:2" ht="15.5" x14ac:dyDescent="0.35">
      <c r="B620" s="167"/>
    </row>
    <row r="621" spans="2:2" ht="15.5" x14ac:dyDescent="0.35">
      <c r="B621" s="167"/>
    </row>
    <row r="622" spans="2:2" ht="15.5" x14ac:dyDescent="0.35">
      <c r="B622" s="167"/>
    </row>
    <row r="623" spans="2:2" ht="15.5" x14ac:dyDescent="0.35">
      <c r="B623" s="167"/>
    </row>
    <row r="624" spans="2:2" ht="15.5" x14ac:dyDescent="0.35">
      <c r="B624" s="167"/>
    </row>
    <row r="625" spans="2:2" ht="15.5" x14ac:dyDescent="0.35">
      <c r="B625" s="167"/>
    </row>
    <row r="626" spans="2:2" ht="15.5" x14ac:dyDescent="0.35">
      <c r="B626" s="167"/>
    </row>
    <row r="627" spans="2:2" ht="15.5" x14ac:dyDescent="0.35">
      <c r="B627" s="167"/>
    </row>
    <row r="628" spans="2:2" ht="15.5" x14ac:dyDescent="0.35">
      <c r="B628" s="167"/>
    </row>
    <row r="629" spans="2:2" ht="15.5" x14ac:dyDescent="0.35">
      <c r="B629" s="167"/>
    </row>
    <row r="630" spans="2:2" ht="15.5" x14ac:dyDescent="0.35">
      <c r="B630" s="167"/>
    </row>
    <row r="631" spans="2:2" ht="15.5" x14ac:dyDescent="0.35">
      <c r="B631" s="167"/>
    </row>
    <row r="632" spans="2:2" ht="15.5" x14ac:dyDescent="0.35">
      <c r="B632" s="167"/>
    </row>
    <row r="633" spans="2:2" ht="15.5" x14ac:dyDescent="0.35">
      <c r="B633" s="167"/>
    </row>
    <row r="634" spans="2:2" ht="15.5" x14ac:dyDescent="0.35">
      <c r="B634" s="167"/>
    </row>
    <row r="635" spans="2:2" ht="15.5" x14ac:dyDescent="0.35">
      <c r="B635" s="167"/>
    </row>
    <row r="636" spans="2:2" ht="15.5" x14ac:dyDescent="0.35">
      <c r="B636" s="167"/>
    </row>
    <row r="637" spans="2:2" ht="15.5" x14ac:dyDescent="0.35">
      <c r="B637" s="167"/>
    </row>
    <row r="638" spans="2:2" ht="15.5" x14ac:dyDescent="0.35">
      <c r="B638" s="167"/>
    </row>
    <row r="639" spans="2:2" ht="15.5" x14ac:dyDescent="0.35">
      <c r="B639" s="167"/>
    </row>
    <row r="640" spans="2:2" ht="15.5" x14ac:dyDescent="0.35">
      <c r="B640" s="167"/>
    </row>
    <row r="641" spans="2:2" ht="15.5" x14ac:dyDescent="0.35">
      <c r="B641" s="167"/>
    </row>
    <row r="642" spans="2:2" ht="15.5" x14ac:dyDescent="0.35">
      <c r="B642" s="167"/>
    </row>
    <row r="643" spans="2:2" ht="15.5" x14ac:dyDescent="0.35">
      <c r="B643" s="167"/>
    </row>
    <row r="644" spans="2:2" ht="15.5" x14ac:dyDescent="0.35">
      <c r="B644" s="167"/>
    </row>
    <row r="645" spans="2:2" ht="15.5" x14ac:dyDescent="0.35">
      <c r="B645" s="167"/>
    </row>
    <row r="646" spans="2:2" ht="15.5" x14ac:dyDescent="0.35">
      <c r="B646" s="167"/>
    </row>
    <row r="647" spans="2:2" ht="15.5" x14ac:dyDescent="0.35">
      <c r="B647" s="167"/>
    </row>
    <row r="648" spans="2:2" ht="15.5" x14ac:dyDescent="0.35">
      <c r="B648" s="167"/>
    </row>
    <row r="649" spans="2:2" ht="15.5" x14ac:dyDescent="0.35">
      <c r="B649" s="167"/>
    </row>
    <row r="650" spans="2:2" ht="15.5" x14ac:dyDescent="0.35">
      <c r="B650" s="167"/>
    </row>
    <row r="651" spans="2:2" ht="15.5" x14ac:dyDescent="0.35">
      <c r="B651" s="167"/>
    </row>
    <row r="652" spans="2:2" ht="15.5" x14ac:dyDescent="0.35">
      <c r="B652" s="167"/>
    </row>
    <row r="653" spans="2:2" ht="15.5" x14ac:dyDescent="0.35">
      <c r="B653" s="167"/>
    </row>
    <row r="654" spans="2:2" ht="15.5" x14ac:dyDescent="0.35">
      <c r="B654" s="167"/>
    </row>
    <row r="655" spans="2:2" ht="15.5" x14ac:dyDescent="0.35">
      <c r="B655" s="167"/>
    </row>
    <row r="656" spans="2:2" ht="15.5" x14ac:dyDescent="0.35">
      <c r="B656" s="167"/>
    </row>
    <row r="657" spans="2:2" ht="15.5" x14ac:dyDescent="0.35">
      <c r="B657" s="167"/>
    </row>
    <row r="658" spans="2:2" ht="15.5" x14ac:dyDescent="0.35">
      <c r="B658" s="167"/>
    </row>
    <row r="659" spans="2:2" ht="15.5" x14ac:dyDescent="0.35">
      <c r="B659" s="167"/>
    </row>
    <row r="660" spans="2:2" ht="15.5" x14ac:dyDescent="0.35">
      <c r="B660" s="167"/>
    </row>
    <row r="661" spans="2:2" ht="15.5" x14ac:dyDescent="0.35">
      <c r="B661" s="167"/>
    </row>
    <row r="662" spans="2:2" ht="15.5" x14ac:dyDescent="0.35">
      <c r="B662" s="167"/>
    </row>
    <row r="663" spans="2:2" ht="15.5" x14ac:dyDescent="0.35">
      <c r="B663" s="167"/>
    </row>
    <row r="664" spans="2:2" ht="15.5" x14ac:dyDescent="0.35">
      <c r="B664" s="167"/>
    </row>
    <row r="665" spans="2:2" ht="15.5" x14ac:dyDescent="0.35">
      <c r="B665" s="167"/>
    </row>
    <row r="666" spans="2:2" ht="15.5" x14ac:dyDescent="0.35">
      <c r="B666" s="167"/>
    </row>
    <row r="667" spans="2:2" ht="15.5" x14ac:dyDescent="0.35">
      <c r="B667" s="167"/>
    </row>
    <row r="668" spans="2:2" ht="15.5" x14ac:dyDescent="0.35">
      <c r="B668" s="167"/>
    </row>
    <row r="669" spans="2:2" ht="15.5" x14ac:dyDescent="0.35">
      <c r="B669" s="167"/>
    </row>
    <row r="670" spans="2:2" ht="15.5" x14ac:dyDescent="0.35">
      <c r="B670" s="167"/>
    </row>
    <row r="671" spans="2:2" ht="15.5" x14ac:dyDescent="0.35">
      <c r="B671" s="167"/>
    </row>
    <row r="672" spans="2:2" ht="15.5" x14ac:dyDescent="0.35">
      <c r="B672" s="167"/>
    </row>
    <row r="673" spans="2:2" ht="15.5" x14ac:dyDescent="0.35">
      <c r="B673" s="167"/>
    </row>
    <row r="674" spans="2:2" ht="15.5" x14ac:dyDescent="0.35">
      <c r="B674" s="167"/>
    </row>
    <row r="675" spans="2:2" ht="15.5" x14ac:dyDescent="0.35">
      <c r="B675" s="167"/>
    </row>
    <row r="676" spans="2:2" ht="15.5" x14ac:dyDescent="0.35">
      <c r="B676" s="167"/>
    </row>
    <row r="677" spans="2:2" ht="15.5" x14ac:dyDescent="0.35">
      <c r="B677" s="167"/>
    </row>
    <row r="678" spans="2:2" ht="15.5" x14ac:dyDescent="0.35">
      <c r="B678" s="167"/>
    </row>
    <row r="679" spans="2:2" ht="15.5" x14ac:dyDescent="0.35">
      <c r="B679" s="167"/>
    </row>
    <row r="680" spans="2:2" ht="15.5" x14ac:dyDescent="0.35">
      <c r="B680" s="167"/>
    </row>
    <row r="681" spans="2:2" ht="15.5" x14ac:dyDescent="0.35">
      <c r="B681" s="167"/>
    </row>
    <row r="682" spans="2:2" ht="15.5" x14ac:dyDescent="0.35">
      <c r="B682" s="167"/>
    </row>
    <row r="683" spans="2:2" ht="15.5" x14ac:dyDescent="0.35">
      <c r="B683" s="167"/>
    </row>
    <row r="684" spans="2:2" ht="15.5" x14ac:dyDescent="0.35">
      <c r="B684" s="167"/>
    </row>
    <row r="685" spans="2:2" ht="15.5" x14ac:dyDescent="0.35">
      <c r="B685" s="167"/>
    </row>
    <row r="686" spans="2:2" ht="15.5" x14ac:dyDescent="0.35">
      <c r="B686" s="167"/>
    </row>
    <row r="687" spans="2:2" ht="15.5" x14ac:dyDescent="0.35">
      <c r="B687" s="167"/>
    </row>
    <row r="688" spans="2:2" ht="15.5" x14ac:dyDescent="0.35">
      <c r="B688" s="167"/>
    </row>
    <row r="689" spans="2:2" ht="15.5" x14ac:dyDescent="0.35">
      <c r="B689" s="167"/>
    </row>
    <row r="690" spans="2:2" ht="15.5" x14ac:dyDescent="0.35">
      <c r="B690" s="167"/>
    </row>
    <row r="691" spans="2:2" ht="15.5" x14ac:dyDescent="0.35">
      <c r="B691" s="167"/>
    </row>
    <row r="692" spans="2:2" ht="15.5" x14ac:dyDescent="0.35">
      <c r="B692" s="167"/>
    </row>
    <row r="693" spans="2:2" ht="15.5" x14ac:dyDescent="0.35">
      <c r="B693" s="167"/>
    </row>
    <row r="694" spans="2:2" ht="15.5" x14ac:dyDescent="0.35">
      <c r="B694" s="167"/>
    </row>
    <row r="695" spans="2:2" ht="15.5" x14ac:dyDescent="0.35">
      <c r="B695" s="167"/>
    </row>
    <row r="696" spans="2:2" ht="15.5" x14ac:dyDescent="0.35">
      <c r="B696" s="167"/>
    </row>
    <row r="697" spans="2:2" ht="15.5" x14ac:dyDescent="0.35">
      <c r="B697" s="167"/>
    </row>
    <row r="698" spans="2:2" ht="15.5" x14ac:dyDescent="0.35">
      <c r="B698" s="167"/>
    </row>
    <row r="699" spans="2:2" ht="15.5" x14ac:dyDescent="0.35">
      <c r="B699" s="167"/>
    </row>
    <row r="700" spans="2:2" ht="15.5" x14ac:dyDescent="0.35">
      <c r="B700" s="167"/>
    </row>
    <row r="701" spans="2:2" ht="15.5" x14ac:dyDescent="0.35">
      <c r="B701" s="167"/>
    </row>
    <row r="702" spans="2:2" ht="15.5" x14ac:dyDescent="0.35">
      <c r="B702" s="167"/>
    </row>
    <row r="703" spans="2:2" ht="15.5" x14ac:dyDescent="0.35">
      <c r="B703" s="167"/>
    </row>
    <row r="704" spans="2:2" ht="15.5" x14ac:dyDescent="0.35">
      <c r="B704" s="167"/>
    </row>
    <row r="705" spans="2:2" ht="15.5" x14ac:dyDescent="0.35">
      <c r="B705" s="167"/>
    </row>
    <row r="706" spans="2:2" ht="15.5" x14ac:dyDescent="0.35">
      <c r="B706" s="167"/>
    </row>
    <row r="707" spans="2:2" ht="15.5" x14ac:dyDescent="0.35">
      <c r="B707" s="167"/>
    </row>
    <row r="708" spans="2:2" ht="15.5" x14ac:dyDescent="0.35">
      <c r="B708" s="167"/>
    </row>
    <row r="709" spans="2:2" ht="15.5" x14ac:dyDescent="0.35">
      <c r="B709" s="167"/>
    </row>
    <row r="710" spans="2:2" ht="15.5" x14ac:dyDescent="0.35">
      <c r="B710" s="167"/>
    </row>
    <row r="711" spans="2:2" ht="15.5" x14ac:dyDescent="0.35">
      <c r="B711" s="167"/>
    </row>
    <row r="712" spans="2:2" ht="15.5" x14ac:dyDescent="0.35">
      <c r="B712" s="167"/>
    </row>
    <row r="713" spans="2:2" ht="15.5" x14ac:dyDescent="0.35">
      <c r="B713" s="167"/>
    </row>
    <row r="714" spans="2:2" ht="15.5" x14ac:dyDescent="0.35">
      <c r="B714" s="167"/>
    </row>
    <row r="715" spans="2:2" ht="15.5" x14ac:dyDescent="0.35">
      <c r="B715" s="167"/>
    </row>
    <row r="716" spans="2:2" ht="15.5" x14ac:dyDescent="0.35">
      <c r="B716" s="167"/>
    </row>
    <row r="717" spans="2:2" ht="15.5" x14ac:dyDescent="0.35">
      <c r="B717" s="167"/>
    </row>
    <row r="718" spans="2:2" ht="15.5" x14ac:dyDescent="0.35">
      <c r="B718" s="167"/>
    </row>
    <row r="719" spans="2:2" ht="15.5" x14ac:dyDescent="0.35">
      <c r="B719" s="167"/>
    </row>
    <row r="720" spans="2:2" ht="15.5" x14ac:dyDescent="0.35">
      <c r="B720" s="167"/>
    </row>
    <row r="721" spans="2:2" ht="15.5" x14ac:dyDescent="0.35">
      <c r="B721" s="167"/>
    </row>
    <row r="722" spans="2:2" ht="15.5" x14ac:dyDescent="0.35">
      <c r="B722" s="167"/>
    </row>
    <row r="723" spans="2:2" ht="15.5" x14ac:dyDescent="0.35">
      <c r="B723" s="167"/>
    </row>
    <row r="724" spans="2:2" ht="15.5" x14ac:dyDescent="0.35">
      <c r="B724" s="167"/>
    </row>
    <row r="725" spans="2:2" ht="15.5" x14ac:dyDescent="0.35">
      <c r="B725" s="167"/>
    </row>
    <row r="726" spans="2:2" ht="15.5" x14ac:dyDescent="0.35">
      <c r="B726" s="167"/>
    </row>
    <row r="727" spans="2:2" ht="15.5" x14ac:dyDescent="0.35">
      <c r="B727" s="167"/>
    </row>
    <row r="728" spans="2:2" ht="15.5" x14ac:dyDescent="0.35">
      <c r="B728" s="167"/>
    </row>
    <row r="729" spans="2:2" ht="15.5" x14ac:dyDescent="0.35">
      <c r="B729" s="167"/>
    </row>
    <row r="730" spans="2:2" ht="15.5" x14ac:dyDescent="0.35">
      <c r="B730" s="167"/>
    </row>
    <row r="731" spans="2:2" ht="15.5" x14ac:dyDescent="0.35">
      <c r="B731" s="167"/>
    </row>
    <row r="732" spans="2:2" ht="15.5" x14ac:dyDescent="0.35">
      <c r="B732" s="167"/>
    </row>
    <row r="733" spans="2:2" ht="15.5" x14ac:dyDescent="0.35">
      <c r="B733" s="167"/>
    </row>
    <row r="734" spans="2:2" ht="15.5" x14ac:dyDescent="0.35">
      <c r="B734" s="167"/>
    </row>
    <row r="735" spans="2:2" ht="15.5" x14ac:dyDescent="0.35">
      <c r="B735" s="167"/>
    </row>
    <row r="736" spans="2:2" ht="15.5" x14ac:dyDescent="0.35">
      <c r="B736" s="167"/>
    </row>
    <row r="737" spans="2:2" ht="15.5" x14ac:dyDescent="0.35">
      <c r="B737" s="167"/>
    </row>
    <row r="738" spans="2:2" ht="15.5" x14ac:dyDescent="0.35">
      <c r="B738" s="167"/>
    </row>
    <row r="739" spans="2:2" ht="15.5" x14ac:dyDescent="0.35">
      <c r="B739" s="167"/>
    </row>
    <row r="740" spans="2:2" ht="15.5" x14ac:dyDescent="0.35">
      <c r="B740" s="167"/>
    </row>
    <row r="741" spans="2:2" ht="15.5" x14ac:dyDescent="0.35">
      <c r="B741" s="167"/>
    </row>
    <row r="742" spans="2:2" ht="15.5" x14ac:dyDescent="0.35">
      <c r="B742" s="167"/>
    </row>
    <row r="743" spans="2:2" ht="15.5" x14ac:dyDescent="0.35">
      <c r="B743" s="167"/>
    </row>
    <row r="744" spans="2:2" ht="15.5" x14ac:dyDescent="0.35">
      <c r="B744" s="167"/>
    </row>
    <row r="745" spans="2:2" ht="15.5" x14ac:dyDescent="0.35">
      <c r="B745" s="167"/>
    </row>
    <row r="746" spans="2:2" ht="15.5" x14ac:dyDescent="0.35">
      <c r="B746" s="167"/>
    </row>
    <row r="747" spans="2:2" ht="15.5" x14ac:dyDescent="0.35">
      <c r="B747" s="167"/>
    </row>
    <row r="748" spans="2:2" ht="15.5" x14ac:dyDescent="0.35">
      <c r="B748" s="167"/>
    </row>
    <row r="749" spans="2:2" ht="15.5" x14ac:dyDescent="0.35">
      <c r="B749" s="167"/>
    </row>
    <row r="750" spans="2:2" ht="15.5" x14ac:dyDescent="0.35">
      <c r="B750" s="167"/>
    </row>
    <row r="751" spans="2:2" ht="15.5" x14ac:dyDescent="0.35">
      <c r="B751" s="167"/>
    </row>
    <row r="752" spans="2:2" ht="15.5" x14ac:dyDescent="0.35">
      <c r="B752" s="167"/>
    </row>
    <row r="753" spans="2:2" ht="15.5" x14ac:dyDescent="0.35">
      <c r="B753" s="167"/>
    </row>
    <row r="754" spans="2:2" ht="15.5" x14ac:dyDescent="0.35">
      <c r="B754" s="167"/>
    </row>
    <row r="755" spans="2:2" ht="15.5" x14ac:dyDescent="0.35">
      <c r="B755" s="167"/>
    </row>
    <row r="756" spans="2:2" ht="15.5" x14ac:dyDescent="0.35">
      <c r="B756" s="167"/>
    </row>
    <row r="757" spans="2:2" ht="15.5" x14ac:dyDescent="0.35">
      <c r="B757" s="167"/>
    </row>
    <row r="758" spans="2:2" ht="15.5" x14ac:dyDescent="0.35">
      <c r="B758" s="167"/>
    </row>
    <row r="759" spans="2:2" ht="15.5" x14ac:dyDescent="0.35">
      <c r="B759" s="167"/>
    </row>
    <row r="760" spans="2:2" ht="15.5" x14ac:dyDescent="0.35">
      <c r="B760" s="167"/>
    </row>
    <row r="761" spans="2:2" ht="15.5" x14ac:dyDescent="0.35">
      <c r="B761" s="167"/>
    </row>
    <row r="762" spans="2:2" ht="15.5" x14ac:dyDescent="0.35">
      <c r="B762" s="167"/>
    </row>
    <row r="763" spans="2:2" ht="15.5" x14ac:dyDescent="0.35">
      <c r="B763" s="167"/>
    </row>
    <row r="764" spans="2:2" ht="15.5" x14ac:dyDescent="0.35">
      <c r="B764" s="167"/>
    </row>
    <row r="765" spans="2:2" ht="15.5" x14ac:dyDescent="0.35">
      <c r="B765" s="167"/>
    </row>
    <row r="766" spans="2:2" ht="15.5" x14ac:dyDescent="0.35">
      <c r="B766" s="167"/>
    </row>
    <row r="767" spans="2:2" ht="15.5" x14ac:dyDescent="0.35">
      <c r="B767" s="167"/>
    </row>
    <row r="768" spans="2:2" ht="15.5" x14ac:dyDescent="0.35">
      <c r="B768" s="167"/>
    </row>
    <row r="769" spans="2:2" ht="15.5" x14ac:dyDescent="0.35">
      <c r="B769" s="167"/>
    </row>
    <row r="770" spans="2:2" ht="15.5" x14ac:dyDescent="0.35">
      <c r="B770" s="167"/>
    </row>
    <row r="771" spans="2:2" ht="15.5" x14ac:dyDescent="0.35">
      <c r="B771" s="167"/>
    </row>
    <row r="772" spans="2:2" ht="15.5" x14ac:dyDescent="0.35">
      <c r="B772" s="167"/>
    </row>
    <row r="773" spans="2:2" ht="15.5" x14ac:dyDescent="0.35">
      <c r="B773" s="167"/>
    </row>
    <row r="774" spans="2:2" ht="15.5" x14ac:dyDescent="0.35">
      <c r="B774" s="167"/>
    </row>
    <row r="775" spans="2:2" ht="15.5" x14ac:dyDescent="0.35">
      <c r="B775" s="167"/>
    </row>
    <row r="776" spans="2:2" ht="15.5" x14ac:dyDescent="0.35">
      <c r="B776" s="167"/>
    </row>
    <row r="777" spans="2:2" ht="15.5" x14ac:dyDescent="0.35">
      <c r="B777" s="167"/>
    </row>
    <row r="778" spans="2:2" ht="15.5" x14ac:dyDescent="0.35">
      <c r="B778" s="167"/>
    </row>
    <row r="779" spans="2:2" ht="15.5" x14ac:dyDescent="0.35">
      <c r="B779" s="167"/>
    </row>
    <row r="780" spans="2:2" ht="15.5" x14ac:dyDescent="0.35">
      <c r="B780" s="167"/>
    </row>
    <row r="781" spans="2:2" ht="15.5" x14ac:dyDescent="0.35">
      <c r="B781" s="167"/>
    </row>
    <row r="782" spans="2:2" ht="15.5" x14ac:dyDescent="0.35">
      <c r="B782" s="167"/>
    </row>
    <row r="783" spans="2:2" ht="15.5" x14ac:dyDescent="0.35">
      <c r="B783" s="167"/>
    </row>
    <row r="784" spans="2:2" ht="15.5" x14ac:dyDescent="0.35">
      <c r="B784" s="167"/>
    </row>
    <row r="785" spans="2:2" ht="15.5" x14ac:dyDescent="0.35">
      <c r="B785" s="167"/>
    </row>
    <row r="786" spans="2:2" ht="15.5" x14ac:dyDescent="0.35">
      <c r="B786" s="167"/>
    </row>
    <row r="787" spans="2:2" ht="15.5" x14ac:dyDescent="0.35">
      <c r="B787" s="167"/>
    </row>
    <row r="788" spans="2:2" ht="15.5" x14ac:dyDescent="0.35">
      <c r="B788" s="167"/>
    </row>
    <row r="789" spans="2:2" ht="15.5" x14ac:dyDescent="0.35">
      <c r="B789" s="167"/>
    </row>
    <row r="790" spans="2:2" ht="15.5" x14ac:dyDescent="0.35">
      <c r="B790" s="167"/>
    </row>
    <row r="791" spans="2:2" ht="15.5" x14ac:dyDescent="0.35">
      <c r="B791" s="167"/>
    </row>
    <row r="792" spans="2:2" ht="15.5" x14ac:dyDescent="0.35">
      <c r="B792" s="167"/>
    </row>
    <row r="793" spans="2:2" ht="15.5" x14ac:dyDescent="0.35">
      <c r="B793" s="167"/>
    </row>
    <row r="794" spans="2:2" ht="15.5" x14ac:dyDescent="0.35">
      <c r="B794" s="167"/>
    </row>
    <row r="795" spans="2:2" ht="15.5" x14ac:dyDescent="0.35">
      <c r="B795" s="167"/>
    </row>
    <row r="796" spans="2:2" ht="15.5" x14ac:dyDescent="0.35">
      <c r="B796" s="167"/>
    </row>
    <row r="797" spans="2:2" ht="15.5" x14ac:dyDescent="0.35">
      <c r="B797" s="167"/>
    </row>
    <row r="798" spans="2:2" ht="15.5" x14ac:dyDescent="0.35">
      <c r="B798" s="167"/>
    </row>
    <row r="799" spans="2:2" ht="15.5" x14ac:dyDescent="0.35">
      <c r="B799" s="167"/>
    </row>
    <row r="800" spans="2:2" ht="15.5" x14ac:dyDescent="0.35">
      <c r="B800" s="167"/>
    </row>
    <row r="801" spans="2:2" ht="15.5" x14ac:dyDescent="0.35">
      <c r="B801" s="167"/>
    </row>
    <row r="802" spans="2:2" ht="15.5" x14ac:dyDescent="0.35">
      <c r="B802" s="167"/>
    </row>
    <row r="803" spans="2:2" ht="15.5" x14ac:dyDescent="0.35">
      <c r="B803" s="167"/>
    </row>
    <row r="804" spans="2:2" ht="15.5" x14ac:dyDescent="0.35">
      <c r="B804" s="167"/>
    </row>
    <row r="805" spans="2:2" ht="15.5" x14ac:dyDescent="0.35">
      <c r="B805" s="167"/>
    </row>
    <row r="806" spans="2:2" ht="15.5" x14ac:dyDescent="0.35">
      <c r="B806" s="167"/>
    </row>
    <row r="807" spans="2:2" ht="15.5" x14ac:dyDescent="0.35">
      <c r="B807" s="167"/>
    </row>
    <row r="808" spans="2:2" ht="15.5" x14ac:dyDescent="0.35">
      <c r="B808" s="167"/>
    </row>
    <row r="809" spans="2:2" ht="15.5" x14ac:dyDescent="0.35">
      <c r="B809" s="167"/>
    </row>
    <row r="810" spans="2:2" ht="15.5" x14ac:dyDescent="0.35">
      <c r="B810" s="167"/>
    </row>
    <row r="811" spans="2:2" ht="15.5" x14ac:dyDescent="0.35">
      <c r="B811" s="167"/>
    </row>
    <row r="812" spans="2:2" ht="15.5" x14ac:dyDescent="0.35">
      <c r="B812" s="167"/>
    </row>
    <row r="813" spans="2:2" ht="15.5" x14ac:dyDescent="0.35">
      <c r="B813" s="167"/>
    </row>
    <row r="814" spans="2:2" ht="15.5" x14ac:dyDescent="0.35">
      <c r="B814" s="167"/>
    </row>
    <row r="815" spans="2:2" ht="15.5" x14ac:dyDescent="0.35">
      <c r="B815" s="167"/>
    </row>
    <row r="816" spans="2:2" ht="15.5" x14ac:dyDescent="0.35">
      <c r="B816" s="167"/>
    </row>
    <row r="817" spans="2:2" ht="15.5" x14ac:dyDescent="0.35">
      <c r="B817" s="167"/>
    </row>
    <row r="818" spans="2:2" ht="15.5" x14ac:dyDescent="0.35">
      <c r="B818" s="167"/>
    </row>
    <row r="819" spans="2:2" ht="15.5" x14ac:dyDescent="0.35">
      <c r="B819" s="167"/>
    </row>
    <row r="820" spans="2:2" ht="15.5" x14ac:dyDescent="0.35">
      <c r="B820" s="167"/>
    </row>
    <row r="821" spans="2:2" ht="15.5" x14ac:dyDescent="0.35">
      <c r="B821" s="167"/>
    </row>
    <row r="822" spans="2:2" ht="15.5" x14ac:dyDescent="0.35">
      <c r="B822" s="167"/>
    </row>
    <row r="823" spans="2:2" ht="15.5" x14ac:dyDescent="0.35">
      <c r="B823" s="167"/>
    </row>
    <row r="824" spans="2:2" ht="15.5" x14ac:dyDescent="0.35">
      <c r="B824" s="167"/>
    </row>
    <row r="825" spans="2:2" ht="15.5" x14ac:dyDescent="0.35">
      <c r="B825" s="167"/>
    </row>
    <row r="826" spans="2:2" ht="15.5" x14ac:dyDescent="0.35">
      <c r="B826" s="167"/>
    </row>
    <row r="827" spans="2:2" ht="15.5" x14ac:dyDescent="0.35">
      <c r="B827" s="167"/>
    </row>
    <row r="828" spans="2:2" ht="15.5" x14ac:dyDescent="0.35">
      <c r="B828" s="167"/>
    </row>
    <row r="829" spans="2:2" ht="15.5" x14ac:dyDescent="0.35">
      <c r="B829" s="167"/>
    </row>
    <row r="830" spans="2:2" ht="15.5" x14ac:dyDescent="0.35">
      <c r="B830" s="167"/>
    </row>
    <row r="831" spans="2:2" ht="15.5" x14ac:dyDescent="0.35">
      <c r="B831" s="167"/>
    </row>
    <row r="832" spans="2:2" ht="15.5" x14ac:dyDescent="0.35">
      <c r="B832" s="167"/>
    </row>
    <row r="833" spans="2:2" ht="15.5" x14ac:dyDescent="0.35">
      <c r="B833" s="167"/>
    </row>
    <row r="834" spans="2:2" ht="15.5" x14ac:dyDescent="0.35">
      <c r="B834" s="167"/>
    </row>
    <row r="835" spans="2:2" ht="15.5" x14ac:dyDescent="0.35">
      <c r="B835" s="167"/>
    </row>
    <row r="836" spans="2:2" ht="15.5" x14ac:dyDescent="0.35">
      <c r="B836" s="167"/>
    </row>
    <row r="837" spans="2:2" ht="15.5" x14ac:dyDescent="0.35">
      <c r="B837" s="167"/>
    </row>
    <row r="838" spans="2:2" ht="15.5" x14ac:dyDescent="0.35">
      <c r="B838" s="167"/>
    </row>
    <row r="839" spans="2:2" ht="15.5" x14ac:dyDescent="0.35">
      <c r="B839" s="167"/>
    </row>
    <row r="840" spans="2:2" ht="15.5" x14ac:dyDescent="0.35">
      <c r="B840" s="167"/>
    </row>
    <row r="841" spans="2:2" ht="15.5" x14ac:dyDescent="0.35">
      <c r="B841" s="167"/>
    </row>
    <row r="842" spans="2:2" ht="15.5" x14ac:dyDescent="0.35">
      <c r="B842" s="167"/>
    </row>
    <row r="843" spans="2:2" ht="15.5" x14ac:dyDescent="0.35">
      <c r="B843" s="167"/>
    </row>
    <row r="844" spans="2:2" ht="15.5" x14ac:dyDescent="0.35">
      <c r="B844" s="167"/>
    </row>
    <row r="845" spans="2:2" ht="15.5" x14ac:dyDescent="0.35">
      <c r="B845" s="167"/>
    </row>
    <row r="846" spans="2:2" ht="15.5" x14ac:dyDescent="0.35">
      <c r="B846" s="167"/>
    </row>
    <row r="847" spans="2:2" ht="15.5" x14ac:dyDescent="0.35">
      <c r="B847" s="167"/>
    </row>
    <row r="848" spans="2:2" ht="15.5" x14ac:dyDescent="0.35">
      <c r="B848" s="167"/>
    </row>
    <row r="849" spans="2:2" ht="15.5" x14ac:dyDescent="0.35">
      <c r="B849" s="167"/>
    </row>
    <row r="850" spans="2:2" ht="15.5" x14ac:dyDescent="0.35">
      <c r="B850" s="167"/>
    </row>
    <row r="851" spans="2:2" ht="15.5" x14ac:dyDescent="0.35">
      <c r="B851" s="167"/>
    </row>
    <row r="852" spans="2:2" ht="15.5" x14ac:dyDescent="0.35">
      <c r="B852" s="167"/>
    </row>
    <row r="853" spans="2:2" ht="15.5" x14ac:dyDescent="0.35">
      <c r="B853" s="167"/>
    </row>
    <row r="854" spans="2:2" ht="15.5" x14ac:dyDescent="0.35">
      <c r="B854" s="167"/>
    </row>
    <row r="855" spans="2:2" ht="15.5" x14ac:dyDescent="0.35">
      <c r="B855" s="167"/>
    </row>
    <row r="856" spans="2:2" ht="15.5" x14ac:dyDescent="0.35">
      <c r="B856" s="167"/>
    </row>
    <row r="857" spans="2:2" ht="15.5" x14ac:dyDescent="0.35">
      <c r="B857" s="167"/>
    </row>
    <row r="858" spans="2:2" ht="15.5" x14ac:dyDescent="0.35">
      <c r="B858" s="167"/>
    </row>
    <row r="859" spans="2:2" ht="15.5" x14ac:dyDescent="0.35">
      <c r="B859" s="167"/>
    </row>
    <row r="860" spans="2:2" ht="15.5" x14ac:dyDescent="0.35">
      <c r="B860" s="167"/>
    </row>
    <row r="861" spans="2:2" ht="15.5" x14ac:dyDescent="0.35">
      <c r="B861" s="167"/>
    </row>
    <row r="862" spans="2:2" ht="15.5" x14ac:dyDescent="0.35">
      <c r="B862" s="167"/>
    </row>
    <row r="863" spans="2:2" ht="15.5" x14ac:dyDescent="0.35">
      <c r="B863" s="167"/>
    </row>
    <row r="864" spans="2:2" ht="15.5" x14ac:dyDescent="0.35">
      <c r="B864" s="167"/>
    </row>
    <row r="865" spans="2:2" ht="15.5" x14ac:dyDescent="0.35">
      <c r="B865" s="167"/>
    </row>
    <row r="866" spans="2:2" ht="15.5" x14ac:dyDescent="0.35">
      <c r="B866" s="167"/>
    </row>
    <row r="867" spans="2:2" ht="15.5" x14ac:dyDescent="0.35">
      <c r="B867" s="167"/>
    </row>
    <row r="868" spans="2:2" ht="15.5" x14ac:dyDescent="0.35">
      <c r="B868" s="167"/>
    </row>
    <row r="869" spans="2:2" ht="15.5" x14ac:dyDescent="0.35">
      <c r="B869" s="167"/>
    </row>
    <row r="870" spans="2:2" ht="15.5" x14ac:dyDescent="0.35">
      <c r="B870" s="167"/>
    </row>
    <row r="871" spans="2:2" ht="15.5" x14ac:dyDescent="0.35">
      <c r="B871" s="167"/>
    </row>
    <row r="872" spans="2:2" ht="15.5" x14ac:dyDescent="0.35">
      <c r="B872" s="167"/>
    </row>
    <row r="873" spans="2:2" ht="15.5" x14ac:dyDescent="0.35">
      <c r="B873" s="167"/>
    </row>
    <row r="874" spans="2:2" ht="15.5" x14ac:dyDescent="0.35">
      <c r="B874" s="167"/>
    </row>
    <row r="875" spans="2:2" ht="15.5" x14ac:dyDescent="0.35">
      <c r="B875" s="167"/>
    </row>
    <row r="876" spans="2:2" ht="15.5" x14ac:dyDescent="0.35">
      <c r="B876" s="167"/>
    </row>
    <row r="877" spans="2:2" ht="15.5" x14ac:dyDescent="0.35">
      <c r="B877" s="167"/>
    </row>
    <row r="878" spans="2:2" ht="15.5" x14ac:dyDescent="0.35">
      <c r="B878" s="167"/>
    </row>
    <row r="879" spans="2:2" ht="15.5" x14ac:dyDescent="0.35">
      <c r="B879" s="167"/>
    </row>
    <row r="880" spans="2:2" ht="15.5" x14ac:dyDescent="0.35">
      <c r="B880" s="167"/>
    </row>
    <row r="881" spans="2:2" ht="15.5" x14ac:dyDescent="0.35">
      <c r="B881" s="167"/>
    </row>
    <row r="882" spans="2:2" ht="15.5" x14ac:dyDescent="0.35">
      <c r="B882" s="167"/>
    </row>
    <row r="883" spans="2:2" ht="15.5" x14ac:dyDescent="0.35">
      <c r="B883" s="167"/>
    </row>
    <row r="884" spans="2:2" ht="15.5" x14ac:dyDescent="0.35">
      <c r="B884" s="167"/>
    </row>
    <row r="885" spans="2:2" ht="15.5" x14ac:dyDescent="0.35">
      <c r="B885" s="167"/>
    </row>
    <row r="886" spans="2:2" ht="15.5" x14ac:dyDescent="0.35">
      <c r="B886" s="167"/>
    </row>
    <row r="887" spans="2:2" ht="15.5" x14ac:dyDescent="0.35">
      <c r="B887" s="167"/>
    </row>
    <row r="888" spans="2:2" ht="15.5" x14ac:dyDescent="0.35">
      <c r="B888" s="167"/>
    </row>
    <row r="889" spans="2:2" ht="15.5" x14ac:dyDescent="0.35">
      <c r="B889" s="167"/>
    </row>
    <row r="890" spans="2:2" ht="15.5" x14ac:dyDescent="0.35">
      <c r="B890" s="167"/>
    </row>
    <row r="891" spans="2:2" ht="15.5" x14ac:dyDescent="0.35">
      <c r="B891" s="167"/>
    </row>
    <row r="892" spans="2:2" ht="15.5" x14ac:dyDescent="0.35">
      <c r="B892" s="167"/>
    </row>
    <row r="893" spans="2:2" ht="15.5" x14ac:dyDescent="0.35">
      <c r="B893" s="167"/>
    </row>
    <row r="894" spans="2:2" ht="15.5" x14ac:dyDescent="0.35">
      <c r="B894" s="167"/>
    </row>
    <row r="895" spans="2:2" ht="15.5" x14ac:dyDescent="0.35">
      <c r="B895" s="167"/>
    </row>
    <row r="896" spans="2:2" ht="15.5" x14ac:dyDescent="0.35">
      <c r="B896" s="167"/>
    </row>
    <row r="897" spans="2:2" ht="15.5" x14ac:dyDescent="0.35">
      <c r="B897" s="167"/>
    </row>
    <row r="898" spans="2:2" ht="15.5" x14ac:dyDescent="0.35">
      <c r="B898" s="167"/>
    </row>
    <row r="899" spans="2:2" ht="15.5" x14ac:dyDescent="0.35">
      <c r="B899" s="167"/>
    </row>
    <row r="900" spans="2:2" ht="15.5" x14ac:dyDescent="0.35">
      <c r="B900" s="167"/>
    </row>
    <row r="901" spans="2:2" ht="15.5" x14ac:dyDescent="0.35">
      <c r="B901" s="167"/>
    </row>
    <row r="902" spans="2:2" ht="15.5" x14ac:dyDescent="0.35">
      <c r="B902" s="167"/>
    </row>
    <row r="903" spans="2:2" ht="15.5" x14ac:dyDescent="0.35">
      <c r="B903" s="167"/>
    </row>
    <row r="904" spans="2:2" ht="15.5" x14ac:dyDescent="0.35">
      <c r="B904" s="167"/>
    </row>
    <row r="905" spans="2:2" ht="15.5" x14ac:dyDescent="0.35">
      <c r="B905" s="167"/>
    </row>
    <row r="906" spans="2:2" ht="15.5" x14ac:dyDescent="0.35">
      <c r="B906" s="167"/>
    </row>
    <row r="907" spans="2:2" ht="15.5" x14ac:dyDescent="0.35">
      <c r="B907" s="167"/>
    </row>
    <row r="908" spans="2:2" ht="15.5" x14ac:dyDescent="0.35">
      <c r="B908" s="167"/>
    </row>
    <row r="909" spans="2:2" ht="15.5" x14ac:dyDescent="0.35">
      <c r="B909" s="167"/>
    </row>
    <row r="910" spans="2:2" ht="15.5" x14ac:dyDescent="0.35">
      <c r="B910" s="167"/>
    </row>
    <row r="911" spans="2:2" ht="15.5" x14ac:dyDescent="0.35">
      <c r="B911" s="167"/>
    </row>
    <row r="912" spans="2:2" ht="15.5" x14ac:dyDescent="0.35">
      <c r="B912" s="167"/>
    </row>
    <row r="913" spans="2:2" ht="15.5" x14ac:dyDescent="0.35">
      <c r="B913" s="167"/>
    </row>
    <row r="914" spans="2:2" ht="15.5" x14ac:dyDescent="0.35">
      <c r="B914" s="167"/>
    </row>
    <row r="915" spans="2:2" ht="15.5" x14ac:dyDescent="0.35">
      <c r="B915" s="167"/>
    </row>
    <row r="916" spans="2:2" ht="15.5" x14ac:dyDescent="0.35">
      <c r="B916" s="167"/>
    </row>
    <row r="917" spans="2:2" ht="15.5" x14ac:dyDescent="0.35">
      <c r="B917" s="167"/>
    </row>
    <row r="918" spans="2:2" ht="15.5" x14ac:dyDescent="0.35">
      <c r="B918" s="167"/>
    </row>
    <row r="919" spans="2:2" ht="15.5" x14ac:dyDescent="0.35">
      <c r="B919" s="167"/>
    </row>
    <row r="920" spans="2:2" ht="15.5" x14ac:dyDescent="0.35">
      <c r="B920" s="167"/>
    </row>
    <row r="921" spans="2:2" ht="15.5" x14ac:dyDescent="0.35">
      <c r="B921" s="167"/>
    </row>
    <row r="922" spans="2:2" ht="15.5" x14ac:dyDescent="0.35">
      <c r="B922" s="167"/>
    </row>
    <row r="923" spans="2:2" ht="15.5" x14ac:dyDescent="0.35">
      <c r="B923" s="167"/>
    </row>
    <row r="924" spans="2:2" ht="15.5" x14ac:dyDescent="0.35">
      <c r="B924" s="167"/>
    </row>
    <row r="925" spans="2:2" ht="15.5" x14ac:dyDescent="0.35">
      <c r="B925" s="167"/>
    </row>
    <row r="926" spans="2:2" ht="15.5" x14ac:dyDescent="0.35">
      <c r="B926" s="167"/>
    </row>
    <row r="927" spans="2:2" ht="15.5" x14ac:dyDescent="0.35">
      <c r="B927" s="167"/>
    </row>
    <row r="928" spans="2:2" ht="15.5" x14ac:dyDescent="0.35">
      <c r="B928" s="167"/>
    </row>
    <row r="929" spans="2:2" ht="15.5" x14ac:dyDescent="0.35">
      <c r="B929" s="167"/>
    </row>
    <row r="930" spans="2:2" ht="15.5" x14ac:dyDescent="0.35">
      <c r="B930" s="167"/>
    </row>
    <row r="931" spans="2:2" ht="15.5" x14ac:dyDescent="0.35">
      <c r="B931" s="167"/>
    </row>
    <row r="932" spans="2:2" ht="15.5" x14ac:dyDescent="0.35">
      <c r="B932" s="167"/>
    </row>
    <row r="933" spans="2:2" ht="15.5" x14ac:dyDescent="0.35">
      <c r="B933" s="167"/>
    </row>
    <row r="934" spans="2:2" ht="15.5" x14ac:dyDescent="0.35">
      <c r="B934" s="167"/>
    </row>
    <row r="935" spans="2:2" ht="15.5" x14ac:dyDescent="0.35">
      <c r="B935" s="167"/>
    </row>
    <row r="936" spans="2:2" ht="15.5" x14ac:dyDescent="0.35">
      <c r="B936" s="167"/>
    </row>
    <row r="937" spans="2:2" ht="15.5" x14ac:dyDescent="0.35">
      <c r="B937" s="167"/>
    </row>
    <row r="938" spans="2:2" ht="15.5" x14ac:dyDescent="0.35">
      <c r="B938" s="167"/>
    </row>
    <row r="939" spans="2:2" ht="15.5" x14ac:dyDescent="0.35">
      <c r="B939" s="167"/>
    </row>
    <row r="940" spans="2:2" ht="15.5" x14ac:dyDescent="0.35">
      <c r="B940" s="167"/>
    </row>
    <row r="941" spans="2:2" ht="15.5" x14ac:dyDescent="0.35">
      <c r="B941" s="167"/>
    </row>
    <row r="942" spans="2:2" ht="15.5" x14ac:dyDescent="0.35">
      <c r="B942" s="167"/>
    </row>
    <row r="943" spans="2:2" ht="15.5" x14ac:dyDescent="0.35">
      <c r="B943" s="167"/>
    </row>
    <row r="944" spans="2:2" ht="15.5" x14ac:dyDescent="0.35">
      <c r="B944" s="167"/>
    </row>
    <row r="945" spans="2:2" ht="15.5" x14ac:dyDescent="0.35">
      <c r="B945" s="167"/>
    </row>
    <row r="946" spans="2:2" ht="15.5" x14ac:dyDescent="0.35">
      <c r="B946" s="167"/>
    </row>
    <row r="947" spans="2:2" ht="15.5" x14ac:dyDescent="0.35">
      <c r="B947" s="167"/>
    </row>
    <row r="948" spans="2:2" ht="15.5" x14ac:dyDescent="0.35">
      <c r="B948" s="167"/>
    </row>
    <row r="949" spans="2:2" ht="15.5" x14ac:dyDescent="0.35">
      <c r="B949" s="167"/>
    </row>
    <row r="950" spans="2:2" ht="15.5" x14ac:dyDescent="0.35">
      <c r="B950" s="167"/>
    </row>
    <row r="951" spans="2:2" ht="15.5" x14ac:dyDescent="0.35">
      <c r="B951" s="167"/>
    </row>
    <row r="952" spans="2:2" ht="15.5" x14ac:dyDescent="0.35">
      <c r="B952" s="167"/>
    </row>
    <row r="953" spans="2:2" ht="15.5" x14ac:dyDescent="0.35">
      <c r="B953" s="167"/>
    </row>
    <row r="954" spans="2:2" ht="15.5" x14ac:dyDescent="0.35">
      <c r="B954" s="167"/>
    </row>
    <row r="955" spans="2:2" ht="15.5" x14ac:dyDescent="0.35">
      <c r="B955" s="167"/>
    </row>
    <row r="956" spans="2:2" ht="15.5" x14ac:dyDescent="0.35">
      <c r="B956" s="167"/>
    </row>
    <row r="957" spans="2:2" ht="15.5" x14ac:dyDescent="0.35">
      <c r="B957" s="167"/>
    </row>
    <row r="958" spans="2:2" ht="15.5" x14ac:dyDescent="0.35">
      <c r="B958" s="167"/>
    </row>
    <row r="959" spans="2:2" ht="15.5" x14ac:dyDescent="0.35">
      <c r="B959" s="167"/>
    </row>
    <row r="960" spans="2:2" ht="15.5" x14ac:dyDescent="0.35">
      <c r="B960" s="167"/>
    </row>
    <row r="961" spans="2:2" ht="15.5" x14ac:dyDescent="0.35">
      <c r="B961" s="167"/>
    </row>
    <row r="962" spans="2:2" ht="15.5" x14ac:dyDescent="0.35">
      <c r="B962" s="167"/>
    </row>
    <row r="963" spans="2:2" ht="15.5" x14ac:dyDescent="0.35">
      <c r="B963" s="167"/>
    </row>
    <row r="964" spans="2:2" ht="15.5" x14ac:dyDescent="0.35">
      <c r="B964" s="167"/>
    </row>
    <row r="965" spans="2:2" ht="15.5" x14ac:dyDescent="0.35">
      <c r="B965" s="167"/>
    </row>
    <row r="966" spans="2:2" ht="15.5" x14ac:dyDescent="0.35">
      <c r="B966" s="167"/>
    </row>
    <row r="967" spans="2:2" ht="15.5" x14ac:dyDescent="0.35">
      <c r="B967" s="167"/>
    </row>
    <row r="968" spans="2:2" ht="15.5" x14ac:dyDescent="0.35">
      <c r="B968" s="167"/>
    </row>
    <row r="969" spans="2:2" ht="15.5" x14ac:dyDescent="0.35">
      <c r="B969" s="167"/>
    </row>
    <row r="970" spans="2:2" ht="15.5" x14ac:dyDescent="0.35">
      <c r="B970" s="167"/>
    </row>
    <row r="971" spans="2:2" ht="15.5" x14ac:dyDescent="0.35">
      <c r="B971" s="167"/>
    </row>
    <row r="972" spans="2:2" ht="15.5" x14ac:dyDescent="0.35">
      <c r="B972" s="167"/>
    </row>
    <row r="973" spans="2:2" ht="15.5" x14ac:dyDescent="0.35">
      <c r="B973" s="167"/>
    </row>
    <row r="974" spans="2:2" ht="15.5" x14ac:dyDescent="0.35">
      <c r="B974" s="167"/>
    </row>
    <row r="975" spans="2:2" ht="15.5" x14ac:dyDescent="0.35">
      <c r="B975" s="167"/>
    </row>
    <row r="976" spans="2:2" ht="15.5" x14ac:dyDescent="0.35">
      <c r="B976" s="167"/>
    </row>
    <row r="977" spans="2:2" ht="15.5" x14ac:dyDescent="0.35">
      <c r="B977" s="167"/>
    </row>
    <row r="978" spans="2:2" ht="15.5" x14ac:dyDescent="0.35">
      <c r="B978" s="167"/>
    </row>
    <row r="979" spans="2:2" ht="15.5" x14ac:dyDescent="0.35">
      <c r="B979" s="167"/>
    </row>
    <row r="980" spans="2:2" ht="15.5" x14ac:dyDescent="0.35">
      <c r="B980" s="167"/>
    </row>
    <row r="981" spans="2:2" ht="15.5" x14ac:dyDescent="0.35">
      <c r="B981" s="167"/>
    </row>
    <row r="982" spans="2:2" ht="15.5" x14ac:dyDescent="0.35">
      <c r="B982" s="167"/>
    </row>
    <row r="983" spans="2:2" ht="15.5" x14ac:dyDescent="0.35">
      <c r="B983" s="167"/>
    </row>
    <row r="984" spans="2:2" ht="15.5" x14ac:dyDescent="0.35">
      <c r="B984" s="167"/>
    </row>
    <row r="985" spans="2:2" ht="15.5" x14ac:dyDescent="0.35">
      <c r="B985" s="167"/>
    </row>
    <row r="986" spans="2:2" ht="15.5" x14ac:dyDescent="0.35">
      <c r="B986" s="167"/>
    </row>
    <row r="987" spans="2:2" ht="15.5" x14ac:dyDescent="0.35">
      <c r="B987" s="167"/>
    </row>
    <row r="988" spans="2:2" ht="15.5" x14ac:dyDescent="0.35">
      <c r="B988" s="167"/>
    </row>
    <row r="989" spans="2:2" ht="15.5" x14ac:dyDescent="0.35">
      <c r="B989" s="167"/>
    </row>
    <row r="990" spans="2:2" ht="15.5" x14ac:dyDescent="0.35">
      <c r="B990" s="167"/>
    </row>
    <row r="991" spans="2:2" ht="15.5" x14ac:dyDescent="0.35">
      <c r="B991" s="167"/>
    </row>
    <row r="992" spans="2:2" ht="15.5" x14ac:dyDescent="0.35">
      <c r="B992" s="167"/>
    </row>
    <row r="993" spans="2:2" ht="15.5" x14ac:dyDescent="0.35">
      <c r="B993" s="167"/>
    </row>
    <row r="994" spans="2:2" ht="15.5" x14ac:dyDescent="0.35">
      <c r="B994" s="167"/>
    </row>
    <row r="995" spans="2:2" ht="15.5" x14ac:dyDescent="0.35">
      <c r="B995" s="167"/>
    </row>
    <row r="996" spans="2:2" ht="15.5" x14ac:dyDescent="0.35">
      <c r="B996" s="167"/>
    </row>
    <row r="997" spans="2:2" ht="15.5" x14ac:dyDescent="0.35">
      <c r="B997" s="167"/>
    </row>
    <row r="998" spans="2:2" ht="15.5" x14ac:dyDescent="0.35">
      <c r="B998" s="167"/>
    </row>
    <row r="999" spans="2:2" ht="15.5" x14ac:dyDescent="0.35">
      <c r="B999" s="167"/>
    </row>
    <row r="1000" spans="2:2" ht="15.5" x14ac:dyDescent="0.35">
      <c r="B1000" s="167"/>
    </row>
    <row r="1001" spans="2:2" ht="15.5" x14ac:dyDescent="0.35">
      <c r="B1001" s="167"/>
    </row>
    <row r="1002" spans="2:2" ht="15.5" x14ac:dyDescent="0.35">
      <c r="B1002" s="167"/>
    </row>
    <row r="1003" spans="2:2" ht="15.5" x14ac:dyDescent="0.35">
      <c r="B1003" s="167"/>
    </row>
    <row r="1004" spans="2:2" ht="15.5" x14ac:dyDescent="0.35">
      <c r="B1004" s="167"/>
    </row>
    <row r="1005" spans="2:2" ht="15.5" x14ac:dyDescent="0.35">
      <c r="B1005" s="167"/>
    </row>
    <row r="1006" spans="2:2" ht="15.5" x14ac:dyDescent="0.35">
      <c r="B1006" s="167"/>
    </row>
    <row r="1007" spans="2:2" ht="15.5" x14ac:dyDescent="0.35">
      <c r="B1007" s="167"/>
    </row>
    <row r="1008" spans="2:2" ht="15.5" x14ac:dyDescent="0.35">
      <c r="B1008" s="167"/>
    </row>
    <row r="1009" spans="2:2" ht="15.5" x14ac:dyDescent="0.35">
      <c r="B1009" s="167"/>
    </row>
    <row r="1010" spans="2:2" ht="15.5" x14ac:dyDescent="0.35">
      <c r="B1010" s="167"/>
    </row>
    <row r="1011" spans="2:2" ht="15.5" x14ac:dyDescent="0.35">
      <c r="B1011" s="167"/>
    </row>
    <row r="1012" spans="2:2" ht="15.5" x14ac:dyDescent="0.35">
      <c r="B1012" s="167"/>
    </row>
    <row r="1013" spans="2:2" ht="15.5" x14ac:dyDescent="0.35">
      <c r="B1013" s="167"/>
    </row>
    <row r="1014" spans="2:2" ht="15.5" x14ac:dyDescent="0.35">
      <c r="B1014" s="167"/>
    </row>
    <row r="1015" spans="2:2" ht="15.5" x14ac:dyDescent="0.35">
      <c r="B1015" s="167"/>
    </row>
    <row r="1016" spans="2:2" ht="15.5" x14ac:dyDescent="0.35">
      <c r="B1016" s="167"/>
    </row>
    <row r="1017" spans="2:2" ht="15.5" x14ac:dyDescent="0.35">
      <c r="B1017" s="167"/>
    </row>
    <row r="1018" spans="2:2" ht="15.5" x14ac:dyDescent="0.35">
      <c r="B1018" s="167"/>
    </row>
    <row r="1019" spans="2:2" ht="15.5" x14ac:dyDescent="0.35">
      <c r="B1019" s="167"/>
    </row>
    <row r="1020" spans="2:2" ht="15.5" x14ac:dyDescent="0.35">
      <c r="B1020" s="167"/>
    </row>
    <row r="1021" spans="2:2" ht="15.5" x14ac:dyDescent="0.35">
      <c r="B1021" s="167"/>
    </row>
    <row r="1022" spans="2:2" ht="15.5" x14ac:dyDescent="0.35">
      <c r="B1022" s="167"/>
    </row>
    <row r="1023" spans="2:2" ht="15.5" x14ac:dyDescent="0.35">
      <c r="B1023" s="167"/>
    </row>
    <row r="1024" spans="2:2" ht="15.5" x14ac:dyDescent="0.35">
      <c r="B1024" s="167"/>
    </row>
    <row r="1025" spans="2:2" ht="15.5" x14ac:dyDescent="0.35">
      <c r="B1025" s="167"/>
    </row>
    <row r="1026" spans="2:2" ht="15.5" x14ac:dyDescent="0.35">
      <c r="B1026" s="167"/>
    </row>
    <row r="1027" spans="2:2" ht="15.5" x14ac:dyDescent="0.35">
      <c r="B1027" s="167"/>
    </row>
    <row r="1028" spans="2:2" ht="15.5" x14ac:dyDescent="0.35">
      <c r="B1028" s="167"/>
    </row>
    <row r="1029" spans="2:2" ht="15.5" x14ac:dyDescent="0.35">
      <c r="B1029" s="167"/>
    </row>
    <row r="1030" spans="2:2" ht="15.5" x14ac:dyDescent="0.35">
      <c r="B1030" s="167"/>
    </row>
    <row r="1031" spans="2:2" ht="15.5" x14ac:dyDescent="0.35">
      <c r="B1031" s="167"/>
    </row>
    <row r="1032" spans="2:2" ht="15.5" x14ac:dyDescent="0.35">
      <c r="B1032" s="167"/>
    </row>
    <row r="1033" spans="2:2" ht="15.5" x14ac:dyDescent="0.35">
      <c r="B1033" s="167"/>
    </row>
    <row r="1034" spans="2:2" ht="15.5" x14ac:dyDescent="0.35">
      <c r="B1034" s="167"/>
    </row>
    <row r="1035" spans="2:2" ht="15.5" x14ac:dyDescent="0.35">
      <c r="B1035" s="167"/>
    </row>
    <row r="1036" spans="2:2" ht="15.5" x14ac:dyDescent="0.35">
      <c r="B1036" s="167"/>
    </row>
    <row r="1037" spans="2:2" ht="15.5" x14ac:dyDescent="0.35">
      <c r="B1037" s="167"/>
    </row>
    <row r="1038" spans="2:2" ht="15.5" x14ac:dyDescent="0.35">
      <c r="B1038" s="167"/>
    </row>
    <row r="1039" spans="2:2" ht="15.5" x14ac:dyDescent="0.35">
      <c r="B1039" s="167"/>
    </row>
    <row r="1040" spans="2:2" ht="15.5" x14ac:dyDescent="0.35">
      <c r="B1040" s="167"/>
    </row>
    <row r="1041" spans="2:2" ht="15.5" x14ac:dyDescent="0.35">
      <c r="B1041" s="167"/>
    </row>
    <row r="1042" spans="2:2" ht="15.5" x14ac:dyDescent="0.35">
      <c r="B1042" s="167"/>
    </row>
    <row r="1043" spans="2:2" ht="15.5" x14ac:dyDescent="0.35">
      <c r="B1043" s="167"/>
    </row>
    <row r="1044" spans="2:2" ht="15.5" x14ac:dyDescent="0.35">
      <c r="B1044" s="167"/>
    </row>
    <row r="1045" spans="2:2" ht="15.5" x14ac:dyDescent="0.35">
      <c r="B1045" s="167"/>
    </row>
    <row r="1046" spans="2:2" ht="15.5" x14ac:dyDescent="0.35">
      <c r="B1046" s="167"/>
    </row>
    <row r="1047" spans="2:2" ht="15.5" x14ac:dyDescent="0.35">
      <c r="B1047" s="167"/>
    </row>
    <row r="1048" spans="2:2" ht="15.5" x14ac:dyDescent="0.35">
      <c r="B1048" s="167"/>
    </row>
    <row r="1049" spans="2:2" ht="15.5" x14ac:dyDescent="0.35">
      <c r="B1049" s="167"/>
    </row>
    <row r="1050" spans="2:2" ht="15.5" x14ac:dyDescent="0.35">
      <c r="B1050" s="167"/>
    </row>
    <row r="1051" spans="2:2" ht="15.5" x14ac:dyDescent="0.35">
      <c r="B1051" s="167"/>
    </row>
    <row r="1052" spans="2:2" ht="15.5" x14ac:dyDescent="0.35">
      <c r="B1052" s="167"/>
    </row>
    <row r="1053" spans="2:2" ht="15.5" x14ac:dyDescent="0.35">
      <c r="B1053" s="167"/>
    </row>
    <row r="1054" spans="2:2" ht="15.5" x14ac:dyDescent="0.35">
      <c r="B1054" s="167"/>
    </row>
    <row r="1055" spans="2:2" ht="15.5" x14ac:dyDescent="0.35">
      <c r="B1055" s="167"/>
    </row>
    <row r="1056" spans="2:2" ht="15.5" x14ac:dyDescent="0.35">
      <c r="B1056" s="167"/>
    </row>
    <row r="1057" spans="2:2" ht="15.5" x14ac:dyDescent="0.35">
      <c r="B1057" s="167"/>
    </row>
    <row r="1058" spans="2:2" ht="15.5" x14ac:dyDescent="0.35">
      <c r="B1058" s="167"/>
    </row>
    <row r="1059" spans="2:2" ht="15.5" x14ac:dyDescent="0.35">
      <c r="B1059" s="167"/>
    </row>
    <row r="1060" spans="2:2" ht="15.5" x14ac:dyDescent="0.35">
      <c r="B1060" s="167"/>
    </row>
    <row r="1061" spans="2:2" ht="15.5" x14ac:dyDescent="0.35">
      <c r="B1061" s="167"/>
    </row>
    <row r="1062" spans="2:2" ht="15.5" x14ac:dyDescent="0.35">
      <c r="B1062" s="167"/>
    </row>
    <row r="1063" spans="2:2" ht="15.5" x14ac:dyDescent="0.35">
      <c r="B1063" s="167"/>
    </row>
    <row r="1064" spans="2:2" ht="15.5" x14ac:dyDescent="0.35">
      <c r="B1064" s="167"/>
    </row>
    <row r="1065" spans="2:2" ht="15.5" x14ac:dyDescent="0.35">
      <c r="B1065" s="167"/>
    </row>
    <row r="1066" spans="2:2" ht="15.5" x14ac:dyDescent="0.35">
      <c r="B1066" s="167"/>
    </row>
    <row r="1067" spans="2:2" ht="15.5" x14ac:dyDescent="0.35">
      <c r="B1067" s="167"/>
    </row>
    <row r="1068" spans="2:2" ht="15.5" x14ac:dyDescent="0.35">
      <c r="B1068" s="167"/>
    </row>
    <row r="1069" spans="2:2" ht="15.5" x14ac:dyDescent="0.35">
      <c r="B1069" s="167"/>
    </row>
    <row r="1070" spans="2:2" ht="15.5" x14ac:dyDescent="0.35">
      <c r="B1070" s="167"/>
    </row>
    <row r="1071" spans="2:2" ht="15.5" x14ac:dyDescent="0.35">
      <c r="B1071" s="167"/>
    </row>
    <row r="1072" spans="2:2" ht="15.5" x14ac:dyDescent="0.35">
      <c r="B1072" s="167"/>
    </row>
    <row r="1073" spans="2:2" ht="15.5" x14ac:dyDescent="0.35">
      <c r="B1073" s="167"/>
    </row>
    <row r="1074" spans="2:2" ht="15.5" x14ac:dyDescent="0.35">
      <c r="B1074" s="167"/>
    </row>
    <row r="1075" spans="2:2" ht="15.5" x14ac:dyDescent="0.35">
      <c r="B1075" s="167"/>
    </row>
    <row r="1076" spans="2:2" ht="15.5" x14ac:dyDescent="0.35">
      <c r="B1076" s="167"/>
    </row>
    <row r="1077" spans="2:2" ht="15.5" x14ac:dyDescent="0.35">
      <c r="B1077" s="167"/>
    </row>
    <row r="1078" spans="2:2" ht="15.5" x14ac:dyDescent="0.35">
      <c r="B1078" s="167"/>
    </row>
    <row r="1079" spans="2:2" ht="15.5" x14ac:dyDescent="0.35">
      <c r="B1079" s="167"/>
    </row>
    <row r="1080" spans="2:2" ht="15.5" x14ac:dyDescent="0.35">
      <c r="B1080" s="167"/>
    </row>
    <row r="1081" spans="2:2" ht="15.5" x14ac:dyDescent="0.35">
      <c r="B1081" s="167"/>
    </row>
    <row r="1082" spans="2:2" ht="15.5" x14ac:dyDescent="0.35">
      <c r="B1082" s="167"/>
    </row>
    <row r="1083" spans="2:2" ht="15.5" x14ac:dyDescent="0.35">
      <c r="B1083" s="167"/>
    </row>
    <row r="1084" spans="2:2" ht="15.5" x14ac:dyDescent="0.35">
      <c r="B1084" s="167"/>
    </row>
    <row r="1085" spans="2:2" ht="15.5" x14ac:dyDescent="0.35">
      <c r="B1085" s="167"/>
    </row>
    <row r="1086" spans="2:2" ht="15.5" x14ac:dyDescent="0.35">
      <c r="B1086" s="167"/>
    </row>
    <row r="1087" spans="2:2" ht="15.5" x14ac:dyDescent="0.35">
      <c r="B1087" s="167"/>
    </row>
    <row r="1088" spans="2:2" ht="15.5" x14ac:dyDescent="0.35">
      <c r="B1088" s="167"/>
    </row>
    <row r="1089" spans="2:2" ht="15.5" x14ac:dyDescent="0.35">
      <c r="B1089" s="167"/>
    </row>
    <row r="1090" spans="2:2" ht="15.5" x14ac:dyDescent="0.35">
      <c r="B1090" s="167"/>
    </row>
    <row r="1091" spans="2:2" ht="15.5" x14ac:dyDescent="0.35">
      <c r="B1091" s="167"/>
    </row>
    <row r="1092" spans="2:2" ht="15.5" x14ac:dyDescent="0.35">
      <c r="B1092" s="167"/>
    </row>
    <row r="1093" spans="2:2" ht="15.5" x14ac:dyDescent="0.35">
      <c r="B1093" s="167"/>
    </row>
    <row r="1094" spans="2:2" ht="15.5" x14ac:dyDescent="0.35">
      <c r="B1094" s="167"/>
    </row>
    <row r="1095" spans="2:2" ht="15.5" x14ac:dyDescent="0.35">
      <c r="B1095" s="167"/>
    </row>
    <row r="1096" spans="2:2" ht="15.5" x14ac:dyDescent="0.35">
      <c r="B1096" s="167"/>
    </row>
    <row r="1097" spans="2:2" ht="15.5" x14ac:dyDescent="0.35">
      <c r="B1097" s="167"/>
    </row>
    <row r="1098" spans="2:2" ht="15.5" x14ac:dyDescent="0.35">
      <c r="B1098" s="167"/>
    </row>
    <row r="1099" spans="2:2" ht="15.5" x14ac:dyDescent="0.35">
      <c r="B1099" s="167"/>
    </row>
    <row r="1100" spans="2:2" ht="15.5" x14ac:dyDescent="0.35">
      <c r="B1100" s="167"/>
    </row>
    <row r="1101" spans="2:2" ht="15.5" x14ac:dyDescent="0.35">
      <c r="B1101" s="167"/>
    </row>
    <row r="1102" spans="2:2" ht="15.5" x14ac:dyDescent="0.35">
      <c r="B1102" s="167"/>
    </row>
    <row r="1103" spans="2:2" ht="15.5" x14ac:dyDescent="0.35">
      <c r="B1103" s="167"/>
    </row>
    <row r="1104" spans="2:2" ht="15.5" x14ac:dyDescent="0.35">
      <c r="B1104" s="167"/>
    </row>
    <row r="1105" spans="2:2" ht="15.5" x14ac:dyDescent="0.35">
      <c r="B1105" s="167"/>
    </row>
    <row r="1106" spans="2:2" ht="15.5" x14ac:dyDescent="0.35">
      <c r="B1106" s="167"/>
    </row>
    <row r="1107" spans="2:2" ht="15.5" x14ac:dyDescent="0.35">
      <c r="B1107" s="167"/>
    </row>
    <row r="1108" spans="2:2" ht="15.5" x14ac:dyDescent="0.35">
      <c r="B1108" s="167"/>
    </row>
    <row r="1109" spans="2:2" ht="15.5" x14ac:dyDescent="0.35">
      <c r="B1109" s="167"/>
    </row>
    <row r="1110" spans="2:2" ht="15.5" x14ac:dyDescent="0.35">
      <c r="B1110" s="167"/>
    </row>
    <row r="1111" spans="2:2" ht="15.5" x14ac:dyDescent="0.35">
      <c r="B1111" s="167"/>
    </row>
    <row r="1112" spans="2:2" ht="15.5" x14ac:dyDescent="0.35">
      <c r="B1112" s="167"/>
    </row>
    <row r="1113" spans="2:2" ht="15.5" x14ac:dyDescent="0.35">
      <c r="B1113" s="167"/>
    </row>
    <row r="1114" spans="2:2" ht="15.5" x14ac:dyDescent="0.35">
      <c r="B1114" s="167"/>
    </row>
    <row r="1115" spans="2:2" ht="15.5" x14ac:dyDescent="0.35">
      <c r="B1115" s="167"/>
    </row>
    <row r="1116" spans="2:2" ht="15.5" x14ac:dyDescent="0.35">
      <c r="B1116" s="167"/>
    </row>
    <row r="1117" spans="2:2" ht="15.5" x14ac:dyDescent="0.35">
      <c r="B1117" s="167"/>
    </row>
    <row r="1118" spans="2:2" ht="15.5" x14ac:dyDescent="0.35">
      <c r="B1118" s="167"/>
    </row>
    <row r="1119" spans="2:2" ht="15.5" x14ac:dyDescent="0.35">
      <c r="B1119" s="167"/>
    </row>
    <row r="1120" spans="2:2" ht="15.5" x14ac:dyDescent="0.35">
      <c r="B1120" s="167"/>
    </row>
    <row r="1121" spans="2:2" ht="15.5" x14ac:dyDescent="0.35">
      <c r="B1121" s="167"/>
    </row>
    <row r="1122" spans="2:2" ht="15.5" x14ac:dyDescent="0.35">
      <c r="B1122" s="167"/>
    </row>
    <row r="1123" spans="2:2" ht="15.5" x14ac:dyDescent="0.35">
      <c r="B1123" s="167"/>
    </row>
    <row r="1124" spans="2:2" ht="15.5" x14ac:dyDescent="0.35">
      <c r="B1124" s="167"/>
    </row>
    <row r="1125" spans="2:2" ht="15.5" x14ac:dyDescent="0.35">
      <c r="B1125" s="167"/>
    </row>
    <row r="1126" spans="2:2" ht="15.5" x14ac:dyDescent="0.35">
      <c r="B1126" s="167"/>
    </row>
    <row r="1127" spans="2:2" ht="15.5" x14ac:dyDescent="0.35">
      <c r="B1127" s="167"/>
    </row>
    <row r="1128" spans="2:2" ht="15.5" x14ac:dyDescent="0.35">
      <c r="B1128" s="167"/>
    </row>
    <row r="1129" spans="2:2" ht="15.5" x14ac:dyDescent="0.35">
      <c r="B1129" s="167"/>
    </row>
    <row r="1130" spans="2:2" ht="15.5" x14ac:dyDescent="0.35">
      <c r="B1130" s="167"/>
    </row>
    <row r="1131" spans="2:2" ht="15.5" x14ac:dyDescent="0.35">
      <c r="B1131" s="167"/>
    </row>
    <row r="1132" spans="2:2" ht="15.5" x14ac:dyDescent="0.35">
      <c r="B1132" s="167"/>
    </row>
    <row r="1133" spans="2:2" ht="15.5" x14ac:dyDescent="0.35">
      <c r="B1133" s="167"/>
    </row>
    <row r="1134" spans="2:2" ht="15.5" x14ac:dyDescent="0.35">
      <c r="B1134" s="167"/>
    </row>
    <row r="1135" spans="2:2" ht="15.5" x14ac:dyDescent="0.35">
      <c r="B1135" s="167"/>
    </row>
    <row r="1136" spans="2:2" ht="15.5" x14ac:dyDescent="0.35">
      <c r="B1136" s="167"/>
    </row>
    <row r="1137" spans="2:2" ht="15.5" x14ac:dyDescent="0.35">
      <c r="B1137" s="167"/>
    </row>
    <row r="1138" spans="2:2" ht="15.5" x14ac:dyDescent="0.35">
      <c r="B1138" s="167"/>
    </row>
    <row r="1139" spans="2:2" ht="15.5" x14ac:dyDescent="0.35">
      <c r="B1139" s="167"/>
    </row>
    <row r="1140" spans="2:2" ht="15.5" x14ac:dyDescent="0.35">
      <c r="B1140" s="167"/>
    </row>
    <row r="1141" spans="2:2" ht="15.5" x14ac:dyDescent="0.35">
      <c r="B1141" s="167"/>
    </row>
    <row r="1142" spans="2:2" ht="15.5" x14ac:dyDescent="0.35">
      <c r="B1142" s="167"/>
    </row>
    <row r="1143" spans="2:2" ht="15.5" x14ac:dyDescent="0.35">
      <c r="B1143" s="167"/>
    </row>
    <row r="1144" spans="2:2" ht="15.5" x14ac:dyDescent="0.35">
      <c r="B1144" s="167"/>
    </row>
    <row r="1145" spans="2:2" ht="15.5" x14ac:dyDescent="0.35">
      <c r="B1145" s="167"/>
    </row>
    <row r="1146" spans="2:2" ht="15.5" x14ac:dyDescent="0.35">
      <c r="B1146" s="167"/>
    </row>
    <row r="1147" spans="2:2" ht="15.5" x14ac:dyDescent="0.35">
      <c r="B1147" s="167"/>
    </row>
    <row r="1148" spans="2:2" ht="15.5" x14ac:dyDescent="0.35">
      <c r="B1148" s="167"/>
    </row>
    <row r="1149" spans="2:2" ht="15.5" x14ac:dyDescent="0.35">
      <c r="B1149" s="167"/>
    </row>
    <row r="1150" spans="2:2" ht="15.5" x14ac:dyDescent="0.35">
      <c r="B1150" s="167"/>
    </row>
    <row r="1151" spans="2:2" ht="15.5" x14ac:dyDescent="0.35">
      <c r="B1151" s="167"/>
    </row>
    <row r="1152" spans="2:2" ht="15.5" x14ac:dyDescent="0.35">
      <c r="B1152" s="167"/>
    </row>
    <row r="1153" spans="2:2" ht="15.5" x14ac:dyDescent="0.35">
      <c r="B1153" s="167"/>
    </row>
    <row r="1154" spans="2:2" ht="15.5" x14ac:dyDescent="0.35">
      <c r="B1154" s="167"/>
    </row>
    <row r="1155" spans="2:2" ht="15.5" x14ac:dyDescent="0.35">
      <c r="B1155" s="167"/>
    </row>
    <row r="1156" spans="2:2" ht="15.5" x14ac:dyDescent="0.35">
      <c r="B1156" s="167"/>
    </row>
    <row r="1157" spans="2:2" ht="15.5" x14ac:dyDescent="0.35">
      <c r="B1157" s="167"/>
    </row>
    <row r="1158" spans="2:2" ht="15.5" x14ac:dyDescent="0.35">
      <c r="B1158" s="167"/>
    </row>
    <row r="1159" spans="2:2" ht="15.5" x14ac:dyDescent="0.35">
      <c r="B1159" s="167"/>
    </row>
    <row r="1160" spans="2:2" ht="15.5" x14ac:dyDescent="0.35">
      <c r="B1160" s="167"/>
    </row>
    <row r="1161" spans="2:2" ht="15.5" x14ac:dyDescent="0.35">
      <c r="B1161" s="167"/>
    </row>
    <row r="1162" spans="2:2" ht="15.5" x14ac:dyDescent="0.35">
      <c r="B1162" s="167"/>
    </row>
    <row r="1163" spans="2:2" ht="15.5" x14ac:dyDescent="0.35">
      <c r="B1163" s="167"/>
    </row>
    <row r="1164" spans="2:2" ht="15.5" x14ac:dyDescent="0.35">
      <c r="B1164" s="167"/>
    </row>
    <row r="1165" spans="2:2" ht="15.5" x14ac:dyDescent="0.35">
      <c r="B1165" s="167"/>
    </row>
    <row r="1166" spans="2:2" ht="15.5" x14ac:dyDescent="0.35">
      <c r="B1166" s="167"/>
    </row>
    <row r="1167" spans="2:2" ht="15.5" x14ac:dyDescent="0.35">
      <c r="B1167" s="167"/>
    </row>
    <row r="1168" spans="2:2" ht="15.5" x14ac:dyDescent="0.35">
      <c r="B1168" s="167"/>
    </row>
    <row r="1169" spans="2:2" ht="15.5" x14ac:dyDescent="0.35">
      <c r="B1169" s="167"/>
    </row>
    <row r="1170" spans="2:2" ht="15.5" x14ac:dyDescent="0.35">
      <c r="B1170" s="167"/>
    </row>
    <row r="1171" spans="2:2" ht="15.5" x14ac:dyDescent="0.35">
      <c r="B1171" s="167"/>
    </row>
    <row r="1172" spans="2:2" ht="15.5" x14ac:dyDescent="0.35">
      <c r="B1172" s="167"/>
    </row>
    <row r="1173" spans="2:2" ht="15.5" x14ac:dyDescent="0.35">
      <c r="B1173" s="167"/>
    </row>
    <row r="1174" spans="2:2" ht="15.5" x14ac:dyDescent="0.35">
      <c r="B1174" s="167"/>
    </row>
    <row r="1175" spans="2:2" ht="15.5" x14ac:dyDescent="0.35">
      <c r="B1175" s="167"/>
    </row>
    <row r="1176" spans="2:2" ht="15.5" x14ac:dyDescent="0.35">
      <c r="B1176" s="167"/>
    </row>
    <row r="1177" spans="2:2" ht="15.5" x14ac:dyDescent="0.35">
      <c r="B1177" s="167"/>
    </row>
    <row r="1178" spans="2:2" ht="15.5" x14ac:dyDescent="0.35">
      <c r="B1178" s="167"/>
    </row>
    <row r="1179" spans="2:2" ht="15.5" x14ac:dyDescent="0.35">
      <c r="B1179" s="167"/>
    </row>
    <row r="1180" spans="2:2" ht="15.5" x14ac:dyDescent="0.35">
      <c r="B1180" s="167"/>
    </row>
    <row r="1181" spans="2:2" ht="15.5" x14ac:dyDescent="0.35">
      <c r="B1181" s="167"/>
    </row>
    <row r="1182" spans="2:2" ht="15.5" x14ac:dyDescent="0.35">
      <c r="B1182" s="167"/>
    </row>
    <row r="1183" spans="2:2" ht="15.5" x14ac:dyDescent="0.35">
      <c r="B1183" s="167"/>
    </row>
    <row r="1184" spans="2:2" ht="15.5" x14ac:dyDescent="0.35">
      <c r="B1184" s="167"/>
    </row>
    <row r="1185" spans="2:2" ht="15.5" x14ac:dyDescent="0.35">
      <c r="B1185" s="167"/>
    </row>
    <row r="1186" spans="2:2" ht="15.5" x14ac:dyDescent="0.35">
      <c r="B1186" s="167"/>
    </row>
    <row r="1187" spans="2:2" ht="15.5" x14ac:dyDescent="0.35">
      <c r="B1187" s="167"/>
    </row>
    <row r="1188" spans="2:2" ht="15.5" x14ac:dyDescent="0.35">
      <c r="B1188" s="167"/>
    </row>
    <row r="1189" spans="2:2" ht="15.5" x14ac:dyDescent="0.35">
      <c r="B1189" s="167"/>
    </row>
    <row r="1190" spans="2:2" ht="15.5" x14ac:dyDescent="0.35">
      <c r="B1190" s="167"/>
    </row>
    <row r="1191" spans="2:2" ht="15.5" x14ac:dyDescent="0.35">
      <c r="B1191" s="167"/>
    </row>
    <row r="1192" spans="2:2" ht="15.5" x14ac:dyDescent="0.35">
      <c r="B1192" s="167"/>
    </row>
    <row r="1193" spans="2:2" ht="15.5" x14ac:dyDescent="0.35">
      <c r="B1193" s="167"/>
    </row>
    <row r="1194" spans="2:2" ht="15.5" x14ac:dyDescent="0.35">
      <c r="B1194" s="167"/>
    </row>
    <row r="1195" spans="2:2" ht="15.5" x14ac:dyDescent="0.35">
      <c r="B1195" s="167"/>
    </row>
    <row r="1196" spans="2:2" ht="15.5" x14ac:dyDescent="0.35">
      <c r="B1196" s="167"/>
    </row>
    <row r="1197" spans="2:2" ht="15.5" x14ac:dyDescent="0.35">
      <c r="B1197" s="167"/>
    </row>
    <row r="1198" spans="2:2" ht="15.5" x14ac:dyDescent="0.35">
      <c r="B1198" s="167"/>
    </row>
    <row r="1199" spans="2:2" ht="15.5" x14ac:dyDescent="0.35">
      <c r="B1199" s="167"/>
    </row>
    <row r="1200" spans="2:2" ht="15.5" x14ac:dyDescent="0.35">
      <c r="B1200" s="167"/>
    </row>
    <row r="1201" spans="2:2" ht="15.5" x14ac:dyDescent="0.35">
      <c r="B1201" s="167"/>
    </row>
    <row r="1202" spans="2:2" ht="15.5" x14ac:dyDescent="0.35">
      <c r="B1202" s="167"/>
    </row>
    <row r="1203" spans="2:2" ht="15.5" x14ac:dyDescent="0.35">
      <c r="B1203" s="167"/>
    </row>
    <row r="1204" spans="2:2" ht="15.5" x14ac:dyDescent="0.35">
      <c r="B1204" s="167"/>
    </row>
    <row r="1205" spans="2:2" ht="15.5" x14ac:dyDescent="0.35">
      <c r="B1205" s="167"/>
    </row>
    <row r="1206" spans="2:2" ht="15.5" x14ac:dyDescent="0.35">
      <c r="B1206" s="167"/>
    </row>
    <row r="1207" spans="2:2" ht="15.5" x14ac:dyDescent="0.35">
      <c r="B1207" s="167"/>
    </row>
    <row r="1208" spans="2:2" ht="15.5" x14ac:dyDescent="0.35">
      <c r="B1208" s="167"/>
    </row>
    <row r="1209" spans="2:2" ht="15.5" x14ac:dyDescent="0.35">
      <c r="B1209" s="167"/>
    </row>
    <row r="1210" spans="2:2" ht="15.5" x14ac:dyDescent="0.35">
      <c r="B1210" s="167"/>
    </row>
    <row r="1211" spans="2:2" ht="15.5" x14ac:dyDescent="0.35">
      <c r="B1211" s="167"/>
    </row>
    <row r="1212" spans="2:2" ht="15.5" x14ac:dyDescent="0.35">
      <c r="B1212" s="167"/>
    </row>
    <row r="1213" spans="2:2" ht="15.5" x14ac:dyDescent="0.35">
      <c r="B1213" s="167"/>
    </row>
    <row r="1214" spans="2:2" ht="15.5" x14ac:dyDescent="0.35">
      <c r="B1214" s="167"/>
    </row>
    <row r="1215" spans="2:2" ht="15.5" x14ac:dyDescent="0.35">
      <c r="B1215" s="167"/>
    </row>
    <row r="1216" spans="2:2" ht="15.5" x14ac:dyDescent="0.35">
      <c r="B1216" s="167"/>
    </row>
    <row r="1217" spans="2:2" ht="15.5" x14ac:dyDescent="0.35">
      <c r="B1217" s="167"/>
    </row>
    <row r="1218" spans="2:2" ht="15.5" x14ac:dyDescent="0.35">
      <c r="B1218" s="167"/>
    </row>
    <row r="1219" spans="2:2" ht="15.5" x14ac:dyDescent="0.35">
      <c r="B1219" s="167"/>
    </row>
    <row r="1220" spans="2:2" ht="15.5" x14ac:dyDescent="0.35">
      <c r="B1220" s="167"/>
    </row>
    <row r="1221" spans="2:2" ht="15.5" x14ac:dyDescent="0.35">
      <c r="B1221" s="167"/>
    </row>
    <row r="1222" spans="2:2" ht="15.5" x14ac:dyDescent="0.35">
      <c r="B1222" s="167"/>
    </row>
    <row r="1223" spans="2:2" ht="15.5" x14ac:dyDescent="0.35">
      <c r="B1223" s="167"/>
    </row>
    <row r="1224" spans="2:2" ht="15.5" x14ac:dyDescent="0.35">
      <c r="B1224" s="167"/>
    </row>
    <row r="1225" spans="2:2" ht="15.5" x14ac:dyDescent="0.35">
      <c r="B1225" s="167"/>
    </row>
    <row r="1226" spans="2:2" ht="15.5" x14ac:dyDescent="0.35">
      <c r="B1226" s="167"/>
    </row>
    <row r="1227" spans="2:2" ht="15.5" x14ac:dyDescent="0.35">
      <c r="B1227" s="167"/>
    </row>
    <row r="1228" spans="2:2" ht="15.5" x14ac:dyDescent="0.35">
      <c r="B1228" s="167"/>
    </row>
    <row r="1229" spans="2:2" ht="15.5" x14ac:dyDescent="0.35">
      <c r="B1229" s="167"/>
    </row>
    <row r="1230" spans="2:2" ht="15.5" x14ac:dyDescent="0.35">
      <c r="B1230" s="167"/>
    </row>
    <row r="1231" spans="2:2" ht="15.5" x14ac:dyDescent="0.35">
      <c r="B1231" s="167"/>
    </row>
    <row r="1232" spans="2:2" ht="15.5" x14ac:dyDescent="0.35">
      <c r="B1232" s="167"/>
    </row>
    <row r="1233" spans="2:2" ht="15.5" x14ac:dyDescent="0.35">
      <c r="B1233" s="167"/>
    </row>
    <row r="1234" spans="2:2" ht="15.5" x14ac:dyDescent="0.35">
      <c r="B1234" s="167"/>
    </row>
    <row r="1235" spans="2:2" ht="15.5" x14ac:dyDescent="0.35">
      <c r="B1235" s="167"/>
    </row>
    <row r="1236" spans="2:2" ht="15.5" x14ac:dyDescent="0.35">
      <c r="B1236" s="167"/>
    </row>
    <row r="1237" spans="2:2" ht="15.5" x14ac:dyDescent="0.35">
      <c r="B1237" s="167"/>
    </row>
    <row r="1238" spans="2:2" ht="15.5" x14ac:dyDescent="0.35">
      <c r="B1238" s="167"/>
    </row>
    <row r="1239" spans="2:2" ht="15.5" x14ac:dyDescent="0.35">
      <c r="B1239" s="167"/>
    </row>
    <row r="1240" spans="2:2" ht="15.5" x14ac:dyDescent="0.35">
      <c r="B1240" s="167"/>
    </row>
    <row r="1241" spans="2:2" ht="15.5" x14ac:dyDescent="0.35">
      <c r="B1241" s="167"/>
    </row>
    <row r="1242" spans="2:2" ht="15.5" x14ac:dyDescent="0.35">
      <c r="B1242" s="167"/>
    </row>
    <row r="1243" spans="2:2" ht="15.5" x14ac:dyDescent="0.35">
      <c r="B1243" s="167"/>
    </row>
    <row r="1244" spans="2:2" ht="15.5" x14ac:dyDescent="0.35">
      <c r="B1244" s="167"/>
    </row>
    <row r="1245" spans="2:2" ht="15.5" x14ac:dyDescent="0.35">
      <c r="B1245" s="167"/>
    </row>
    <row r="1246" spans="2:2" ht="15.5" x14ac:dyDescent="0.35">
      <c r="B1246" s="167"/>
    </row>
    <row r="1247" spans="2:2" ht="15.5" x14ac:dyDescent="0.35">
      <c r="B1247" s="167"/>
    </row>
    <row r="1248" spans="2:2" ht="15.5" x14ac:dyDescent="0.35">
      <c r="B1248" s="167"/>
    </row>
    <row r="1249" spans="2:2" ht="15.5" x14ac:dyDescent="0.35">
      <c r="B1249" s="167"/>
    </row>
    <row r="1250" spans="2:2" ht="15.5" x14ac:dyDescent="0.35">
      <c r="B1250" s="167"/>
    </row>
    <row r="1251" spans="2:2" ht="15.5" x14ac:dyDescent="0.35">
      <c r="B1251" s="167"/>
    </row>
    <row r="1252" spans="2:2" ht="15.5" x14ac:dyDescent="0.35">
      <c r="B1252" s="167"/>
    </row>
    <row r="1253" spans="2:2" ht="15.5" x14ac:dyDescent="0.35">
      <c r="B1253" s="167"/>
    </row>
    <row r="1254" spans="2:2" ht="15.5" x14ac:dyDescent="0.35">
      <c r="B1254" s="167"/>
    </row>
    <row r="1255" spans="2:2" ht="15.5" x14ac:dyDescent="0.35">
      <c r="B1255" s="167"/>
    </row>
    <row r="1256" spans="2:2" ht="15.5" x14ac:dyDescent="0.35">
      <c r="B1256" s="167"/>
    </row>
    <row r="1257" spans="2:2" ht="15.5" x14ac:dyDescent="0.35">
      <c r="B1257" s="167"/>
    </row>
    <row r="1258" spans="2:2" ht="15.5" x14ac:dyDescent="0.35">
      <c r="B1258" s="167"/>
    </row>
    <row r="1259" spans="2:2" ht="15.5" x14ac:dyDescent="0.35">
      <c r="B1259" s="167"/>
    </row>
    <row r="1260" spans="2:2" ht="15.5" x14ac:dyDescent="0.35">
      <c r="B1260" s="167"/>
    </row>
    <row r="1261" spans="2:2" ht="15.5" x14ac:dyDescent="0.35">
      <c r="B1261" s="167"/>
    </row>
    <row r="1262" spans="2:2" ht="15.5" x14ac:dyDescent="0.35">
      <c r="B1262" s="167"/>
    </row>
    <row r="1263" spans="2:2" ht="15.5" x14ac:dyDescent="0.35">
      <c r="B1263" s="167"/>
    </row>
    <row r="1264" spans="2:2" ht="15.5" x14ac:dyDescent="0.35">
      <c r="B1264" s="167"/>
    </row>
    <row r="1265" spans="2:2" ht="15.5" x14ac:dyDescent="0.35">
      <c r="B1265" s="167"/>
    </row>
    <row r="1266" spans="2:2" ht="15.5" x14ac:dyDescent="0.35">
      <c r="B1266" s="167"/>
    </row>
    <row r="1267" spans="2:2" ht="15.5" x14ac:dyDescent="0.35">
      <c r="B1267" s="167"/>
    </row>
    <row r="1268" spans="2:2" ht="15.5" x14ac:dyDescent="0.35">
      <c r="B1268" s="167"/>
    </row>
    <row r="1269" spans="2:2" ht="15.5" x14ac:dyDescent="0.35">
      <c r="B1269" s="167"/>
    </row>
    <row r="1270" spans="2:2" ht="15.5" x14ac:dyDescent="0.35">
      <c r="B1270" s="167"/>
    </row>
    <row r="1271" spans="2:2" ht="15.5" x14ac:dyDescent="0.35">
      <c r="B1271" s="167"/>
    </row>
    <row r="1272" spans="2:2" ht="15.5" x14ac:dyDescent="0.35">
      <c r="B1272" s="167"/>
    </row>
    <row r="1273" spans="2:2" ht="15.5" x14ac:dyDescent="0.35">
      <c r="B1273" s="167"/>
    </row>
    <row r="1274" spans="2:2" ht="15.5" x14ac:dyDescent="0.35">
      <c r="B1274" s="167"/>
    </row>
    <row r="1275" spans="2:2" ht="15.5" x14ac:dyDescent="0.35">
      <c r="B1275" s="167"/>
    </row>
    <row r="1276" spans="2:2" ht="15.5" x14ac:dyDescent="0.35">
      <c r="B1276" s="167"/>
    </row>
    <row r="1277" spans="2:2" ht="15.5" x14ac:dyDescent="0.35">
      <c r="B1277" s="167"/>
    </row>
    <row r="1278" spans="2:2" ht="15.5" x14ac:dyDescent="0.35">
      <c r="B1278" s="167"/>
    </row>
    <row r="1279" spans="2:2" ht="15.5" x14ac:dyDescent="0.35">
      <c r="B1279" s="167"/>
    </row>
    <row r="1280" spans="2:2" ht="15.5" x14ac:dyDescent="0.35">
      <c r="B1280" s="167"/>
    </row>
    <row r="1281" spans="2:2" ht="15.5" x14ac:dyDescent="0.35">
      <c r="B1281" s="167"/>
    </row>
    <row r="1282" spans="2:2" ht="15.5" x14ac:dyDescent="0.35">
      <c r="B1282" s="167"/>
    </row>
    <row r="1283" spans="2:2" ht="15.5" x14ac:dyDescent="0.35">
      <c r="B1283" s="167"/>
    </row>
    <row r="1284" spans="2:2" ht="15.5" x14ac:dyDescent="0.35">
      <c r="B1284" s="167"/>
    </row>
    <row r="1285" spans="2:2" ht="15.5" x14ac:dyDescent="0.35">
      <c r="B1285" s="167"/>
    </row>
    <row r="1286" spans="2:2" ht="15.5" x14ac:dyDescent="0.35">
      <c r="B1286" s="167"/>
    </row>
    <row r="1287" spans="2:2" ht="15.5" x14ac:dyDescent="0.35">
      <c r="B1287" s="167"/>
    </row>
    <row r="1288" spans="2:2" ht="15.5" x14ac:dyDescent="0.35">
      <c r="B1288" s="167"/>
    </row>
    <row r="1289" spans="2:2" ht="15.5" x14ac:dyDescent="0.35">
      <c r="B1289" s="167"/>
    </row>
    <row r="1290" spans="2:2" ht="15.5" x14ac:dyDescent="0.35">
      <c r="B1290" s="167"/>
    </row>
    <row r="1291" spans="2:2" ht="15.5" x14ac:dyDescent="0.35">
      <c r="B1291" s="167"/>
    </row>
    <row r="1292" spans="2:2" ht="15.5" x14ac:dyDescent="0.35">
      <c r="B1292" s="167"/>
    </row>
    <row r="1293" spans="2:2" ht="15.5" x14ac:dyDescent="0.35">
      <c r="B1293" s="167"/>
    </row>
    <row r="1294" spans="2:2" ht="15.5" x14ac:dyDescent="0.35">
      <c r="B1294" s="167"/>
    </row>
    <row r="1295" spans="2:2" ht="15.5" x14ac:dyDescent="0.35">
      <c r="B1295" s="167"/>
    </row>
    <row r="1296" spans="2:2" ht="15.5" x14ac:dyDescent="0.35">
      <c r="B1296" s="167"/>
    </row>
    <row r="1297" spans="2:2" ht="15.5" x14ac:dyDescent="0.35">
      <c r="B1297" s="167"/>
    </row>
    <row r="1298" spans="2:2" ht="15.5" x14ac:dyDescent="0.35">
      <c r="B1298" s="167"/>
    </row>
    <row r="1299" spans="2:2" ht="15.5" x14ac:dyDescent="0.35">
      <c r="B1299" s="167"/>
    </row>
    <row r="1300" spans="2:2" ht="15.5" x14ac:dyDescent="0.35">
      <c r="B1300" s="167"/>
    </row>
    <row r="1301" spans="2:2" ht="15.5" x14ac:dyDescent="0.35">
      <c r="B1301" s="167"/>
    </row>
    <row r="1302" spans="2:2" ht="15.5" x14ac:dyDescent="0.35">
      <c r="B1302" s="167"/>
    </row>
    <row r="1303" spans="2:2" ht="15.5" x14ac:dyDescent="0.35">
      <c r="B1303" s="167"/>
    </row>
    <row r="1304" spans="2:2" ht="15.5" x14ac:dyDescent="0.35">
      <c r="B1304" s="167"/>
    </row>
    <row r="1305" spans="2:2" ht="15.5" x14ac:dyDescent="0.35">
      <c r="B1305" s="167"/>
    </row>
    <row r="1306" spans="2:2" ht="15.5" x14ac:dyDescent="0.35">
      <c r="B1306" s="167"/>
    </row>
    <row r="1307" spans="2:2" ht="15.5" x14ac:dyDescent="0.35">
      <c r="B1307" s="167"/>
    </row>
    <row r="1308" spans="2:2" ht="15.5" x14ac:dyDescent="0.35">
      <c r="B1308" s="167"/>
    </row>
    <row r="1309" spans="2:2" ht="15.5" x14ac:dyDescent="0.35">
      <c r="B1309" s="167"/>
    </row>
    <row r="1310" spans="2:2" ht="15.5" x14ac:dyDescent="0.35">
      <c r="B1310" s="167"/>
    </row>
    <row r="1311" spans="2:2" ht="15.5" x14ac:dyDescent="0.35">
      <c r="B1311" s="167"/>
    </row>
    <row r="1312" spans="2:2" ht="15.5" x14ac:dyDescent="0.35">
      <c r="B1312" s="167"/>
    </row>
    <row r="1313" spans="2:2" ht="15.5" x14ac:dyDescent="0.35">
      <c r="B1313" s="167"/>
    </row>
    <row r="1314" spans="2:2" ht="15.5" x14ac:dyDescent="0.35">
      <c r="B1314" s="167"/>
    </row>
    <row r="1315" spans="2:2" ht="15.5" x14ac:dyDescent="0.35">
      <c r="B1315" s="167"/>
    </row>
    <row r="1316" spans="2:2" ht="15.5" x14ac:dyDescent="0.35">
      <c r="B1316" s="167"/>
    </row>
    <row r="1317" spans="2:2" ht="15.5" x14ac:dyDescent="0.35">
      <c r="B1317" s="167"/>
    </row>
    <row r="1318" spans="2:2" ht="15.5" x14ac:dyDescent="0.35">
      <c r="B1318" s="167"/>
    </row>
    <row r="1319" spans="2:2" ht="15.5" x14ac:dyDescent="0.35">
      <c r="B1319" s="167"/>
    </row>
    <row r="1320" spans="2:2" ht="15.5" x14ac:dyDescent="0.35">
      <c r="B1320" s="167"/>
    </row>
    <row r="1321" spans="2:2" ht="15.5" x14ac:dyDescent="0.35">
      <c r="B1321" s="167"/>
    </row>
    <row r="1322" spans="2:2" ht="15.5" x14ac:dyDescent="0.35">
      <c r="B1322" s="167"/>
    </row>
    <row r="1323" spans="2:2" ht="15.5" x14ac:dyDescent="0.35">
      <c r="B1323" s="167"/>
    </row>
    <row r="1324" spans="2:2" ht="15.5" x14ac:dyDescent="0.35">
      <c r="B1324" s="167"/>
    </row>
    <row r="1325" spans="2:2" ht="15.5" x14ac:dyDescent="0.35">
      <c r="B1325" s="167"/>
    </row>
    <row r="1326" spans="2:2" ht="15.5" x14ac:dyDescent="0.35">
      <c r="B1326" s="167"/>
    </row>
    <row r="1327" spans="2:2" ht="15.5" x14ac:dyDescent="0.35">
      <c r="B1327" s="167"/>
    </row>
    <row r="1328" spans="2:2" ht="15.5" x14ac:dyDescent="0.35">
      <c r="B1328" s="167"/>
    </row>
    <row r="1329" spans="2:2" ht="15.5" x14ac:dyDescent="0.35">
      <c r="B1329" s="167"/>
    </row>
    <row r="1330" spans="2:2" ht="15.5" x14ac:dyDescent="0.35">
      <c r="B1330" s="167"/>
    </row>
    <row r="1331" spans="2:2" ht="15.5" x14ac:dyDescent="0.35">
      <c r="B1331" s="167"/>
    </row>
    <row r="1332" spans="2:2" ht="15.5" x14ac:dyDescent="0.35">
      <c r="B1332" s="167"/>
    </row>
    <row r="1333" spans="2:2" ht="15.5" x14ac:dyDescent="0.35">
      <c r="B1333" s="167"/>
    </row>
    <row r="1334" spans="2:2" ht="15.5" x14ac:dyDescent="0.35">
      <c r="B1334" s="167"/>
    </row>
    <row r="1335" spans="2:2" ht="15.5" x14ac:dyDescent="0.35">
      <c r="B1335" s="167"/>
    </row>
    <row r="1336" spans="2:2" ht="15.5" x14ac:dyDescent="0.35">
      <c r="B1336" s="167"/>
    </row>
    <row r="1337" spans="2:2" ht="15.5" x14ac:dyDescent="0.35">
      <c r="B1337" s="167"/>
    </row>
    <row r="1338" spans="2:2" ht="15.5" x14ac:dyDescent="0.35">
      <c r="B1338" s="167"/>
    </row>
    <row r="1339" spans="2:2" ht="15.5" x14ac:dyDescent="0.35">
      <c r="B1339" s="167"/>
    </row>
    <row r="1340" spans="2:2" ht="15.5" x14ac:dyDescent="0.35">
      <c r="B1340" s="167"/>
    </row>
    <row r="1341" spans="2:2" ht="15.5" x14ac:dyDescent="0.35">
      <c r="B1341" s="167"/>
    </row>
    <row r="1342" spans="2:2" ht="15.5" x14ac:dyDescent="0.35">
      <c r="B1342" s="167"/>
    </row>
    <row r="1343" spans="2:2" ht="15.5" x14ac:dyDescent="0.35">
      <c r="B1343" s="167"/>
    </row>
    <row r="1344" spans="2:2" ht="15.5" x14ac:dyDescent="0.35">
      <c r="B1344" s="167"/>
    </row>
    <row r="1345" spans="2:2" ht="15.5" x14ac:dyDescent="0.35">
      <c r="B1345" s="167"/>
    </row>
    <row r="1346" spans="2:2" ht="15.5" x14ac:dyDescent="0.35">
      <c r="B1346" s="167"/>
    </row>
    <row r="1347" spans="2:2" ht="15.5" x14ac:dyDescent="0.35">
      <c r="B1347" s="167"/>
    </row>
    <row r="1348" spans="2:2" ht="15.5" x14ac:dyDescent="0.35">
      <c r="B1348" s="167"/>
    </row>
    <row r="1349" spans="2:2" ht="15.5" x14ac:dyDescent="0.35">
      <c r="B1349" s="167"/>
    </row>
    <row r="1350" spans="2:2" ht="15.5" x14ac:dyDescent="0.35">
      <c r="B1350" s="167"/>
    </row>
    <row r="1351" spans="2:2" ht="15.5" x14ac:dyDescent="0.35">
      <c r="B1351" s="167"/>
    </row>
    <row r="1352" spans="2:2" ht="15.5" x14ac:dyDescent="0.35">
      <c r="B1352" s="167"/>
    </row>
    <row r="1353" spans="2:2" ht="15.5" x14ac:dyDescent="0.35">
      <c r="B1353" s="167"/>
    </row>
    <row r="1354" spans="2:2" ht="15.5" x14ac:dyDescent="0.35">
      <c r="B1354" s="167"/>
    </row>
    <row r="1355" spans="2:2" ht="15.5" x14ac:dyDescent="0.35">
      <c r="B1355" s="167"/>
    </row>
    <row r="1356" spans="2:2" ht="15.5" x14ac:dyDescent="0.35">
      <c r="B1356" s="167"/>
    </row>
    <row r="1357" spans="2:2" ht="15.5" x14ac:dyDescent="0.35">
      <c r="B1357" s="167"/>
    </row>
    <row r="1358" spans="2:2" ht="15.5" x14ac:dyDescent="0.35">
      <c r="B1358" s="167"/>
    </row>
    <row r="1359" spans="2:2" ht="15.5" x14ac:dyDescent="0.35">
      <c r="B1359" s="167"/>
    </row>
    <row r="1360" spans="2:2" ht="15.5" x14ac:dyDescent="0.35">
      <c r="B1360" s="167"/>
    </row>
    <row r="1361" spans="2:2" ht="15.5" x14ac:dyDescent="0.35">
      <c r="B1361" s="167"/>
    </row>
    <row r="1362" spans="2:2" ht="15.5" x14ac:dyDescent="0.35">
      <c r="B1362" s="167"/>
    </row>
    <row r="1363" spans="2:2" ht="15.5" x14ac:dyDescent="0.35">
      <c r="B1363" s="167"/>
    </row>
    <row r="1364" spans="2:2" ht="15.5" x14ac:dyDescent="0.35">
      <c r="B1364" s="167"/>
    </row>
    <row r="1365" spans="2:2" ht="15.5" x14ac:dyDescent="0.35">
      <c r="B1365" s="167"/>
    </row>
    <row r="1366" spans="2:2" ht="15.5" x14ac:dyDescent="0.35">
      <c r="B1366" s="167"/>
    </row>
    <row r="1367" spans="2:2" ht="15.5" x14ac:dyDescent="0.35">
      <c r="B1367" s="167"/>
    </row>
    <row r="1368" spans="2:2" ht="15.5" x14ac:dyDescent="0.35">
      <c r="B1368" s="167"/>
    </row>
    <row r="1369" spans="2:2" ht="15.5" x14ac:dyDescent="0.35">
      <c r="B1369" s="167"/>
    </row>
    <row r="1370" spans="2:2" ht="15.5" x14ac:dyDescent="0.35">
      <c r="B1370" s="167"/>
    </row>
    <row r="1371" spans="2:2" ht="15.5" x14ac:dyDescent="0.35">
      <c r="B1371" s="167"/>
    </row>
    <row r="1372" spans="2:2" ht="15.5" x14ac:dyDescent="0.35">
      <c r="B1372" s="167"/>
    </row>
    <row r="1373" spans="2:2" ht="15.5" x14ac:dyDescent="0.35">
      <c r="B1373" s="167"/>
    </row>
    <row r="1374" spans="2:2" ht="15.5" x14ac:dyDescent="0.35">
      <c r="B1374" s="167"/>
    </row>
    <row r="1375" spans="2:2" ht="15.5" x14ac:dyDescent="0.35">
      <c r="B1375" s="167"/>
    </row>
    <row r="1376" spans="2:2" ht="15.5" x14ac:dyDescent="0.35">
      <c r="B1376" s="167"/>
    </row>
    <row r="1377" spans="2:2" ht="15.5" x14ac:dyDescent="0.35">
      <c r="B1377" s="167"/>
    </row>
    <row r="1378" spans="2:2" ht="15.5" x14ac:dyDescent="0.35">
      <c r="B1378" s="167"/>
    </row>
    <row r="1379" spans="2:2" ht="15.5" x14ac:dyDescent="0.35">
      <c r="B1379" s="167"/>
    </row>
    <row r="1380" spans="2:2" ht="15.5" x14ac:dyDescent="0.35">
      <c r="B1380" s="167"/>
    </row>
    <row r="1381" spans="2:2" ht="15.5" x14ac:dyDescent="0.35">
      <c r="B1381" s="167"/>
    </row>
    <row r="1382" spans="2:2" ht="15.5" x14ac:dyDescent="0.35">
      <c r="B1382" s="167"/>
    </row>
    <row r="1383" spans="2:2" ht="15.5" x14ac:dyDescent="0.35">
      <c r="B1383" s="167"/>
    </row>
    <row r="1384" spans="2:2" ht="15.5" x14ac:dyDescent="0.35">
      <c r="B1384" s="167"/>
    </row>
    <row r="1385" spans="2:2" ht="15.5" x14ac:dyDescent="0.35">
      <c r="B1385" s="167"/>
    </row>
    <row r="1386" spans="2:2" ht="15.5" x14ac:dyDescent="0.35">
      <c r="B1386" s="167"/>
    </row>
    <row r="1387" spans="2:2" ht="15.5" x14ac:dyDescent="0.35">
      <c r="B1387" s="167"/>
    </row>
    <row r="1388" spans="2:2" ht="15.5" x14ac:dyDescent="0.35">
      <c r="B1388" s="167"/>
    </row>
    <row r="1389" spans="2:2" ht="15.5" x14ac:dyDescent="0.35">
      <c r="B1389" s="167"/>
    </row>
    <row r="1390" spans="2:2" ht="15.5" x14ac:dyDescent="0.35">
      <c r="B1390" s="167"/>
    </row>
    <row r="1391" spans="2:2" ht="15.5" x14ac:dyDescent="0.35">
      <c r="B1391" s="167"/>
    </row>
    <row r="1392" spans="2:2" ht="15.5" x14ac:dyDescent="0.35">
      <c r="B1392" s="167"/>
    </row>
    <row r="1393" spans="2:2" ht="15.5" x14ac:dyDescent="0.35">
      <c r="B1393" s="167"/>
    </row>
    <row r="1394" spans="2:2" ht="15.5" x14ac:dyDescent="0.35">
      <c r="B1394" s="167"/>
    </row>
    <row r="1395" spans="2:2" ht="15.5" x14ac:dyDescent="0.35">
      <c r="B1395" s="167"/>
    </row>
    <row r="1396" spans="2:2" ht="15.5" x14ac:dyDescent="0.35">
      <c r="B1396" s="167"/>
    </row>
    <row r="1397" spans="2:2" ht="15.5" x14ac:dyDescent="0.35">
      <c r="B1397" s="167"/>
    </row>
    <row r="1398" spans="2:2" ht="15.5" x14ac:dyDescent="0.35">
      <c r="B1398" s="167"/>
    </row>
    <row r="1399" spans="2:2" ht="15.5" x14ac:dyDescent="0.35">
      <c r="B1399" s="167"/>
    </row>
    <row r="1400" spans="2:2" ht="15.5" x14ac:dyDescent="0.35">
      <c r="B1400" s="167"/>
    </row>
    <row r="1401" spans="2:2" ht="15.5" x14ac:dyDescent="0.35">
      <c r="B1401" s="167"/>
    </row>
    <row r="1402" spans="2:2" ht="15.5" x14ac:dyDescent="0.35">
      <c r="B1402" s="167"/>
    </row>
    <row r="1403" spans="2:2" ht="15.5" x14ac:dyDescent="0.35">
      <c r="B1403" s="167"/>
    </row>
    <row r="1404" spans="2:2" ht="15.5" x14ac:dyDescent="0.35">
      <c r="B1404" s="167"/>
    </row>
    <row r="1405" spans="2:2" ht="15.5" x14ac:dyDescent="0.35">
      <c r="B1405" s="167"/>
    </row>
    <row r="1406" spans="2:2" ht="15.5" x14ac:dyDescent="0.35">
      <c r="B1406" s="167"/>
    </row>
    <row r="1407" spans="2:2" ht="15.5" x14ac:dyDescent="0.35">
      <c r="B1407" s="167"/>
    </row>
    <row r="1408" spans="2:2" ht="15.5" x14ac:dyDescent="0.35">
      <c r="B1408" s="167"/>
    </row>
    <row r="1409" spans="2:2" ht="15.5" x14ac:dyDescent="0.35">
      <c r="B1409" s="167"/>
    </row>
    <row r="1410" spans="2:2" ht="15.5" x14ac:dyDescent="0.35">
      <c r="B1410" s="167"/>
    </row>
    <row r="1411" spans="2:2" ht="15.5" x14ac:dyDescent="0.35">
      <c r="B1411" s="167"/>
    </row>
    <row r="1412" spans="2:2" ht="15.5" x14ac:dyDescent="0.35">
      <c r="B1412" s="167"/>
    </row>
    <row r="1413" spans="2:2" ht="15.5" x14ac:dyDescent="0.35">
      <c r="B1413" s="167"/>
    </row>
    <row r="1414" spans="2:2" ht="15.5" x14ac:dyDescent="0.35">
      <c r="B1414" s="167"/>
    </row>
    <row r="1415" spans="2:2" ht="15.5" x14ac:dyDescent="0.35">
      <c r="B1415" s="167"/>
    </row>
    <row r="1416" spans="2:2" ht="15.5" x14ac:dyDescent="0.35">
      <c r="B1416" s="167"/>
    </row>
    <row r="1417" spans="2:2" ht="15.5" x14ac:dyDescent="0.35">
      <c r="B1417" s="167"/>
    </row>
    <row r="1418" spans="2:2" ht="15.5" x14ac:dyDescent="0.35">
      <c r="B1418" s="167"/>
    </row>
    <row r="1419" spans="2:2" ht="15.5" x14ac:dyDescent="0.35">
      <c r="B1419" s="167"/>
    </row>
    <row r="1420" spans="2:2" ht="15.5" x14ac:dyDescent="0.35">
      <c r="B1420" s="167"/>
    </row>
    <row r="1421" spans="2:2" ht="15.5" x14ac:dyDescent="0.35">
      <c r="B1421" s="167"/>
    </row>
    <row r="1422" spans="2:2" ht="15.5" x14ac:dyDescent="0.35">
      <c r="B1422" s="167"/>
    </row>
    <row r="1423" spans="2:2" ht="15.5" x14ac:dyDescent="0.35">
      <c r="B1423" s="167"/>
    </row>
    <row r="1424" spans="2:2" ht="15.5" x14ac:dyDescent="0.35">
      <c r="B1424" s="167"/>
    </row>
    <row r="1425" spans="2:2" ht="15.5" x14ac:dyDescent="0.35">
      <c r="B1425" s="167"/>
    </row>
    <row r="1426" spans="2:2" ht="15.5" x14ac:dyDescent="0.35">
      <c r="B1426" s="167"/>
    </row>
    <row r="1427" spans="2:2" ht="15.5" x14ac:dyDescent="0.35">
      <c r="B1427" s="167"/>
    </row>
    <row r="1428" spans="2:2" ht="15.5" x14ac:dyDescent="0.35">
      <c r="B1428" s="167"/>
    </row>
    <row r="1429" spans="2:2" ht="15.5" x14ac:dyDescent="0.35">
      <c r="B1429" s="167"/>
    </row>
    <row r="1430" spans="2:2" ht="15.5" x14ac:dyDescent="0.35">
      <c r="B1430" s="167"/>
    </row>
    <row r="1431" spans="2:2" ht="15.5" x14ac:dyDescent="0.35">
      <c r="B1431" s="167"/>
    </row>
    <row r="1432" spans="2:2" ht="15.5" x14ac:dyDescent="0.35">
      <c r="B1432" s="167"/>
    </row>
    <row r="1433" spans="2:2" ht="15.5" x14ac:dyDescent="0.35">
      <c r="B1433" s="167"/>
    </row>
    <row r="1434" spans="2:2" ht="15.5" x14ac:dyDescent="0.35">
      <c r="B1434" s="167"/>
    </row>
    <row r="1435" spans="2:2" ht="15.5" x14ac:dyDescent="0.35">
      <c r="B1435" s="167"/>
    </row>
    <row r="1436" spans="2:2" ht="15.5" x14ac:dyDescent="0.35">
      <c r="B1436" s="167"/>
    </row>
    <row r="1437" spans="2:2" ht="15.5" x14ac:dyDescent="0.35">
      <c r="B1437" s="167"/>
    </row>
    <row r="1438" spans="2:2" ht="15.5" x14ac:dyDescent="0.35">
      <c r="B1438" s="167"/>
    </row>
    <row r="1439" spans="2:2" ht="15.5" x14ac:dyDescent="0.35">
      <c r="B1439" s="167"/>
    </row>
    <row r="1440" spans="2:2" ht="15.5" x14ac:dyDescent="0.35">
      <c r="B1440" s="167"/>
    </row>
    <row r="1441" spans="2:2" ht="15.5" x14ac:dyDescent="0.35">
      <c r="B1441" s="167"/>
    </row>
    <row r="1442" spans="2:2" ht="15.5" x14ac:dyDescent="0.35">
      <c r="B1442" s="167"/>
    </row>
    <row r="1443" spans="2:2" ht="15.5" x14ac:dyDescent="0.35">
      <c r="B1443" s="167"/>
    </row>
    <row r="1444" spans="2:2" ht="15.5" x14ac:dyDescent="0.35">
      <c r="B1444" s="167"/>
    </row>
    <row r="1445" spans="2:2" ht="15.5" x14ac:dyDescent="0.35">
      <c r="B1445" s="167"/>
    </row>
    <row r="1446" spans="2:2" ht="15.5" x14ac:dyDescent="0.35">
      <c r="B1446" s="167"/>
    </row>
    <row r="1447" spans="2:2" ht="15.5" x14ac:dyDescent="0.35">
      <c r="B1447" s="167"/>
    </row>
    <row r="1448" spans="2:2" ht="15.5" x14ac:dyDescent="0.35">
      <c r="B1448" s="167"/>
    </row>
    <row r="1449" spans="2:2" ht="15.5" x14ac:dyDescent="0.35">
      <c r="B1449" s="167"/>
    </row>
    <row r="1450" spans="2:2" ht="15.5" x14ac:dyDescent="0.35">
      <c r="B1450" s="167"/>
    </row>
    <row r="1451" spans="2:2" ht="15.5" x14ac:dyDescent="0.35">
      <c r="B1451" s="167"/>
    </row>
    <row r="1452" spans="2:2" ht="15.5" x14ac:dyDescent="0.35">
      <c r="B1452" s="167"/>
    </row>
    <row r="1453" spans="2:2" ht="15.5" x14ac:dyDescent="0.35">
      <c r="B1453" s="167"/>
    </row>
    <row r="1454" spans="2:2" ht="15.5" x14ac:dyDescent="0.35">
      <c r="B1454" s="167"/>
    </row>
    <row r="1455" spans="2:2" ht="15.5" x14ac:dyDescent="0.35">
      <c r="B1455" s="167"/>
    </row>
    <row r="1456" spans="2:2" ht="15.5" x14ac:dyDescent="0.35">
      <c r="B1456" s="167"/>
    </row>
    <row r="1457" spans="2:2" ht="15.5" x14ac:dyDescent="0.35">
      <c r="B1457" s="167"/>
    </row>
    <row r="1458" spans="2:2" ht="15.5" x14ac:dyDescent="0.35">
      <c r="B1458" s="167"/>
    </row>
    <row r="1459" spans="2:2" ht="15.5" x14ac:dyDescent="0.35">
      <c r="B1459" s="167"/>
    </row>
    <row r="1460" spans="2:2" ht="15.5" x14ac:dyDescent="0.35">
      <c r="B1460" s="167"/>
    </row>
    <row r="1461" spans="2:2" ht="15.5" x14ac:dyDescent="0.35">
      <c r="B1461" s="167"/>
    </row>
    <row r="1462" spans="2:2" ht="15.5" x14ac:dyDescent="0.35">
      <c r="B1462" s="167"/>
    </row>
    <row r="1463" spans="2:2" ht="15.5" x14ac:dyDescent="0.35">
      <c r="B1463" s="167"/>
    </row>
    <row r="1464" spans="2:2" ht="15.5" x14ac:dyDescent="0.35">
      <c r="B1464" s="167"/>
    </row>
    <row r="1465" spans="2:2" ht="15.5" x14ac:dyDescent="0.35">
      <c r="B1465" s="167"/>
    </row>
    <row r="1466" spans="2:2" ht="15.5" x14ac:dyDescent="0.35">
      <c r="B1466" s="167"/>
    </row>
    <row r="1467" spans="2:2" ht="15.5" x14ac:dyDescent="0.35">
      <c r="B1467" s="167"/>
    </row>
    <row r="1468" spans="2:2" ht="15.5" x14ac:dyDescent="0.35">
      <c r="B1468" s="167"/>
    </row>
    <row r="1469" spans="2:2" ht="15.5" x14ac:dyDescent="0.35">
      <c r="B1469" s="167"/>
    </row>
    <row r="1470" spans="2:2" ht="15.5" x14ac:dyDescent="0.35">
      <c r="B1470" s="167"/>
    </row>
    <row r="1471" spans="2:2" ht="15.5" x14ac:dyDescent="0.35">
      <c r="B1471" s="167"/>
    </row>
    <row r="1472" spans="2:2" ht="15.5" x14ac:dyDescent="0.35">
      <c r="B1472" s="167"/>
    </row>
    <row r="1473" spans="2:2" ht="15.5" x14ac:dyDescent="0.35">
      <c r="B1473" s="167"/>
    </row>
    <row r="1474" spans="2:2" ht="15.5" x14ac:dyDescent="0.35">
      <c r="B1474" s="167"/>
    </row>
    <row r="1475" spans="2:2" ht="15.5" x14ac:dyDescent="0.35">
      <c r="B1475" s="167"/>
    </row>
    <row r="1476" spans="2:2" ht="15.5" x14ac:dyDescent="0.35">
      <c r="B1476" s="167"/>
    </row>
    <row r="1477" spans="2:2" ht="15.5" x14ac:dyDescent="0.35">
      <c r="B1477" s="167"/>
    </row>
    <row r="1478" spans="2:2" ht="15.5" x14ac:dyDescent="0.35">
      <c r="B1478" s="167"/>
    </row>
    <row r="1479" spans="2:2" ht="15.5" x14ac:dyDescent="0.35">
      <c r="B1479" s="167"/>
    </row>
    <row r="1480" spans="2:2" ht="15.5" x14ac:dyDescent="0.35">
      <c r="B1480" s="167"/>
    </row>
    <row r="1481" spans="2:2" ht="15.5" x14ac:dyDescent="0.35">
      <c r="B1481" s="167"/>
    </row>
    <row r="1482" spans="2:2" ht="15.5" x14ac:dyDescent="0.35">
      <c r="B1482" s="167"/>
    </row>
    <row r="1483" spans="2:2" ht="15.5" x14ac:dyDescent="0.35">
      <c r="B1483" s="167"/>
    </row>
    <row r="1484" spans="2:2" ht="15.5" x14ac:dyDescent="0.35">
      <c r="B1484" s="167"/>
    </row>
    <row r="1485" spans="2:2" ht="15.5" x14ac:dyDescent="0.35">
      <c r="B1485" s="167"/>
    </row>
    <row r="1486" spans="2:2" ht="15.5" x14ac:dyDescent="0.35">
      <c r="B1486" s="167"/>
    </row>
    <row r="1487" spans="2:2" ht="15.5" x14ac:dyDescent="0.35">
      <c r="B1487" s="167"/>
    </row>
    <row r="1488" spans="2:2" ht="15.5" x14ac:dyDescent="0.35">
      <c r="B1488" s="167"/>
    </row>
    <row r="1489" spans="2:2" ht="15.5" x14ac:dyDescent="0.35">
      <c r="B1489" s="167"/>
    </row>
    <row r="1490" spans="2:2" ht="15.5" x14ac:dyDescent="0.35">
      <c r="B1490" s="167"/>
    </row>
    <row r="1491" spans="2:2" ht="15.5" x14ac:dyDescent="0.35">
      <c r="B1491" s="167"/>
    </row>
    <row r="1492" spans="2:2" ht="15.5" x14ac:dyDescent="0.35">
      <c r="B1492" s="167"/>
    </row>
    <row r="1493" spans="2:2" ht="15.5" x14ac:dyDescent="0.35">
      <c r="B1493" s="167"/>
    </row>
    <row r="1494" spans="2:2" ht="15.5" x14ac:dyDescent="0.35">
      <c r="B1494" s="167"/>
    </row>
    <row r="1495" spans="2:2" ht="15.5" x14ac:dyDescent="0.35">
      <c r="B1495" s="167"/>
    </row>
    <row r="1496" spans="2:2" ht="15.5" x14ac:dyDescent="0.35">
      <c r="B1496" s="167"/>
    </row>
    <row r="1497" spans="2:2" ht="15.5" x14ac:dyDescent="0.35">
      <c r="B1497" s="167"/>
    </row>
    <row r="1498" spans="2:2" ht="15.5" x14ac:dyDescent="0.35">
      <c r="B1498" s="167"/>
    </row>
    <row r="1499" spans="2:2" ht="15.5" x14ac:dyDescent="0.35">
      <c r="B1499" s="167"/>
    </row>
    <row r="1500" spans="2:2" ht="15.5" x14ac:dyDescent="0.35">
      <c r="B1500" s="167"/>
    </row>
    <row r="1501" spans="2:2" ht="15.5" x14ac:dyDescent="0.35">
      <c r="B1501" s="167"/>
    </row>
    <row r="1502" spans="2:2" ht="15.5" x14ac:dyDescent="0.35">
      <c r="B1502" s="167"/>
    </row>
    <row r="1503" spans="2:2" ht="15.5" x14ac:dyDescent="0.35">
      <c r="B1503" s="167"/>
    </row>
    <row r="1504" spans="2:2" ht="15.5" x14ac:dyDescent="0.35">
      <c r="B1504" s="167"/>
    </row>
    <row r="1505" spans="2:2" ht="15.5" x14ac:dyDescent="0.35">
      <c r="B1505" s="167"/>
    </row>
    <row r="1506" spans="2:2" ht="15.5" x14ac:dyDescent="0.35">
      <c r="B1506" s="167"/>
    </row>
    <row r="1507" spans="2:2" ht="15.5" x14ac:dyDescent="0.35">
      <c r="B1507" s="167"/>
    </row>
    <row r="1508" spans="2:2" ht="15.5" x14ac:dyDescent="0.35">
      <c r="B1508" s="167"/>
    </row>
    <row r="1509" spans="2:2" ht="15.5" x14ac:dyDescent="0.35">
      <c r="B1509" s="167"/>
    </row>
    <row r="1510" spans="2:2" ht="15.5" x14ac:dyDescent="0.35">
      <c r="B1510" s="167"/>
    </row>
    <row r="1511" spans="2:2" ht="15.5" x14ac:dyDescent="0.35">
      <c r="B1511" s="167"/>
    </row>
    <row r="1512" spans="2:2" ht="15.5" x14ac:dyDescent="0.35">
      <c r="B1512" s="167"/>
    </row>
    <row r="1513" spans="2:2" ht="15.5" x14ac:dyDescent="0.35">
      <c r="B1513" s="167"/>
    </row>
    <row r="1514" spans="2:2" ht="15.5" x14ac:dyDescent="0.35">
      <c r="B1514" s="167"/>
    </row>
    <row r="1515" spans="2:2" ht="15.5" x14ac:dyDescent="0.35">
      <c r="B1515" s="167"/>
    </row>
    <row r="1516" spans="2:2" ht="15.5" x14ac:dyDescent="0.35">
      <c r="B1516" s="167"/>
    </row>
    <row r="1517" spans="2:2" ht="15.5" x14ac:dyDescent="0.35">
      <c r="B1517" s="167"/>
    </row>
    <row r="1518" spans="2:2" ht="15.5" x14ac:dyDescent="0.35">
      <c r="B1518" s="167"/>
    </row>
    <row r="1519" spans="2:2" ht="15.5" x14ac:dyDescent="0.35">
      <c r="B1519" s="167"/>
    </row>
    <row r="1520" spans="2:2" ht="15.5" x14ac:dyDescent="0.35">
      <c r="B1520" s="167"/>
    </row>
    <row r="1521" spans="2:2" ht="15.5" x14ac:dyDescent="0.35">
      <c r="B1521" s="167"/>
    </row>
    <row r="1522" spans="2:2" ht="15.5" x14ac:dyDescent="0.35">
      <c r="B1522" s="167"/>
    </row>
    <row r="1523" spans="2:2" ht="15.5" x14ac:dyDescent="0.35">
      <c r="B1523" s="167"/>
    </row>
    <row r="1524" spans="2:2" ht="15.5" x14ac:dyDescent="0.35">
      <c r="B1524" s="167"/>
    </row>
    <row r="1525" spans="2:2" ht="15.5" x14ac:dyDescent="0.35">
      <c r="B1525" s="167"/>
    </row>
    <row r="1526" spans="2:2" ht="15.5" x14ac:dyDescent="0.35">
      <c r="B1526" s="167"/>
    </row>
    <row r="1527" spans="2:2" ht="15.5" x14ac:dyDescent="0.35">
      <c r="B1527" s="167"/>
    </row>
    <row r="1528" spans="2:2" ht="15.5" x14ac:dyDescent="0.35">
      <c r="B1528" s="167"/>
    </row>
    <row r="1529" spans="2:2" ht="15.5" x14ac:dyDescent="0.35">
      <c r="B1529" s="167"/>
    </row>
    <row r="1530" spans="2:2" ht="15.5" x14ac:dyDescent="0.35">
      <c r="B1530" s="167"/>
    </row>
    <row r="1531" spans="2:2" ht="15.5" x14ac:dyDescent="0.35">
      <c r="B1531" s="167"/>
    </row>
    <row r="1532" spans="2:2" ht="15.5" x14ac:dyDescent="0.35">
      <c r="B1532" s="167"/>
    </row>
    <row r="1533" spans="2:2" ht="15.5" x14ac:dyDescent="0.35">
      <c r="B1533" s="167"/>
    </row>
    <row r="1534" spans="2:2" ht="15.5" x14ac:dyDescent="0.35">
      <c r="B1534" s="167"/>
    </row>
    <row r="1535" spans="2:2" ht="15.5" x14ac:dyDescent="0.35">
      <c r="B1535" s="167"/>
    </row>
    <row r="1536" spans="2:2" ht="15.5" x14ac:dyDescent="0.35">
      <c r="B1536" s="167"/>
    </row>
    <row r="1537" spans="2:2" ht="15.5" x14ac:dyDescent="0.35">
      <c r="B1537" s="167"/>
    </row>
    <row r="1538" spans="2:2" ht="15.5" x14ac:dyDescent="0.35">
      <c r="B1538" s="167"/>
    </row>
    <row r="1539" spans="2:2" ht="15.5" x14ac:dyDescent="0.35">
      <c r="B1539" s="167"/>
    </row>
    <row r="1540" spans="2:2" ht="15.5" x14ac:dyDescent="0.35">
      <c r="B1540" s="167"/>
    </row>
    <row r="1541" spans="2:2" ht="15.5" x14ac:dyDescent="0.35">
      <c r="B1541" s="167"/>
    </row>
    <row r="1542" spans="2:2" ht="15.5" x14ac:dyDescent="0.35">
      <c r="B1542" s="167"/>
    </row>
    <row r="1543" spans="2:2" ht="15.5" x14ac:dyDescent="0.35">
      <c r="B1543" s="167"/>
    </row>
    <row r="1544" spans="2:2" ht="15.5" x14ac:dyDescent="0.35">
      <c r="B1544" s="167"/>
    </row>
    <row r="1545" spans="2:2" ht="15.5" x14ac:dyDescent="0.35">
      <c r="B1545" s="167"/>
    </row>
    <row r="1546" spans="2:2" ht="15.5" x14ac:dyDescent="0.35">
      <c r="B1546" s="167"/>
    </row>
    <row r="1547" spans="2:2" ht="15.5" x14ac:dyDescent="0.35">
      <c r="B1547" s="167"/>
    </row>
    <row r="1548" spans="2:2" ht="15.5" x14ac:dyDescent="0.35">
      <c r="B1548" s="167"/>
    </row>
    <row r="1549" spans="2:2" ht="15.5" x14ac:dyDescent="0.35">
      <c r="B1549" s="167"/>
    </row>
    <row r="1550" spans="2:2" ht="15.5" x14ac:dyDescent="0.35">
      <c r="B1550" s="167"/>
    </row>
    <row r="1551" spans="2:2" ht="15.5" x14ac:dyDescent="0.35">
      <c r="B1551" s="167"/>
    </row>
    <row r="1552" spans="2:2" ht="15.5" x14ac:dyDescent="0.35">
      <c r="B1552" s="167"/>
    </row>
    <row r="1553" spans="2:2" ht="15.5" x14ac:dyDescent="0.35">
      <c r="B1553" s="167"/>
    </row>
    <row r="1554" spans="2:2" ht="15.5" x14ac:dyDescent="0.35">
      <c r="B1554" s="167"/>
    </row>
    <row r="1555" spans="2:2" ht="15.5" x14ac:dyDescent="0.35">
      <c r="B1555" s="167"/>
    </row>
    <row r="1556" spans="2:2" ht="15.5" x14ac:dyDescent="0.35">
      <c r="B1556" s="167"/>
    </row>
    <row r="1557" spans="2:2" ht="15.5" x14ac:dyDescent="0.35">
      <c r="B1557" s="167"/>
    </row>
    <row r="1558" spans="2:2" ht="15.5" x14ac:dyDescent="0.35">
      <c r="B1558" s="167"/>
    </row>
    <row r="1559" spans="2:2" ht="15.5" x14ac:dyDescent="0.35">
      <c r="B1559" s="167"/>
    </row>
    <row r="1560" spans="2:2" ht="15.5" x14ac:dyDescent="0.35">
      <c r="B1560" s="167"/>
    </row>
    <row r="1561" spans="2:2" ht="15.5" x14ac:dyDescent="0.35">
      <c r="B1561" s="167"/>
    </row>
    <row r="1562" spans="2:2" ht="15.5" x14ac:dyDescent="0.35">
      <c r="B1562" s="167"/>
    </row>
    <row r="1563" spans="2:2" ht="15.5" x14ac:dyDescent="0.35">
      <c r="B1563" s="167"/>
    </row>
    <row r="1564" spans="2:2" ht="15.5" x14ac:dyDescent="0.35">
      <c r="B1564" s="167"/>
    </row>
    <row r="1565" spans="2:2" ht="15.5" x14ac:dyDescent="0.35">
      <c r="B1565" s="167"/>
    </row>
    <row r="1566" spans="2:2" ht="15.5" x14ac:dyDescent="0.35">
      <c r="B1566" s="167"/>
    </row>
    <row r="1567" spans="2:2" ht="15.5" x14ac:dyDescent="0.35">
      <c r="B1567" s="167"/>
    </row>
    <row r="1568" spans="2:2" ht="15.5" x14ac:dyDescent="0.35">
      <c r="B1568" s="167"/>
    </row>
    <row r="1569" spans="2:2" ht="15.5" x14ac:dyDescent="0.35">
      <c r="B1569" s="167"/>
    </row>
    <row r="1570" spans="2:2" ht="15.5" x14ac:dyDescent="0.35">
      <c r="B1570" s="167"/>
    </row>
    <row r="1571" spans="2:2" ht="15.5" x14ac:dyDescent="0.35">
      <c r="B1571" s="167"/>
    </row>
    <row r="1572" spans="2:2" ht="15.5" x14ac:dyDescent="0.35">
      <c r="B1572" s="167"/>
    </row>
    <row r="1573" spans="2:2" ht="15.5" x14ac:dyDescent="0.35">
      <c r="B1573" s="167"/>
    </row>
    <row r="1574" spans="2:2" ht="15.5" x14ac:dyDescent="0.35">
      <c r="B1574" s="167"/>
    </row>
    <row r="1575" spans="2:2" ht="15.5" x14ac:dyDescent="0.35">
      <c r="B1575" s="167"/>
    </row>
    <row r="1576" spans="2:2" ht="15.5" x14ac:dyDescent="0.35">
      <c r="B1576" s="167"/>
    </row>
    <row r="1577" spans="2:2" ht="15.5" x14ac:dyDescent="0.35">
      <c r="B1577" s="167"/>
    </row>
    <row r="1578" spans="2:2" ht="15.5" x14ac:dyDescent="0.35">
      <c r="B1578" s="167"/>
    </row>
    <row r="1579" spans="2:2" ht="15.5" x14ac:dyDescent="0.35">
      <c r="B1579" s="167"/>
    </row>
    <row r="1580" spans="2:2" ht="15.5" x14ac:dyDescent="0.35">
      <c r="B1580" s="167"/>
    </row>
    <row r="1581" spans="2:2" ht="15.5" x14ac:dyDescent="0.35">
      <c r="B1581" s="167"/>
    </row>
    <row r="1582" spans="2:2" ht="15.5" x14ac:dyDescent="0.35">
      <c r="B1582" s="167"/>
    </row>
    <row r="1583" spans="2:2" ht="15.5" x14ac:dyDescent="0.35">
      <c r="B1583" s="167"/>
    </row>
    <row r="1584" spans="2:2" ht="15.5" x14ac:dyDescent="0.35">
      <c r="B1584" s="167"/>
    </row>
    <row r="1585" spans="2:2" ht="15.5" x14ac:dyDescent="0.35">
      <c r="B1585" s="167"/>
    </row>
    <row r="1586" spans="2:2" ht="15.5" x14ac:dyDescent="0.35">
      <c r="B1586" s="167"/>
    </row>
    <row r="1587" spans="2:2" ht="15.5" x14ac:dyDescent="0.35">
      <c r="B1587" s="167"/>
    </row>
    <row r="1588" spans="2:2" ht="15.5" x14ac:dyDescent="0.35">
      <c r="B1588" s="167"/>
    </row>
    <row r="1589" spans="2:2" ht="15.5" x14ac:dyDescent="0.35">
      <c r="B1589" s="167"/>
    </row>
    <row r="1590" spans="2:2" ht="15.5" x14ac:dyDescent="0.35">
      <c r="B1590" s="167"/>
    </row>
    <row r="1591" spans="2:2" ht="15.5" x14ac:dyDescent="0.35">
      <c r="B1591" s="167"/>
    </row>
    <row r="1592" spans="2:2" ht="15.5" x14ac:dyDescent="0.35">
      <c r="B1592" s="167"/>
    </row>
    <row r="1593" spans="2:2" ht="15.5" x14ac:dyDescent="0.35">
      <c r="B1593" s="167"/>
    </row>
    <row r="1594" spans="2:2" ht="15.5" x14ac:dyDescent="0.35">
      <c r="B1594" s="167"/>
    </row>
    <row r="1595" spans="2:2" ht="15.5" x14ac:dyDescent="0.35">
      <c r="B1595" s="167"/>
    </row>
    <row r="1596" spans="2:2" ht="15.5" x14ac:dyDescent="0.35">
      <c r="B1596" s="167"/>
    </row>
    <row r="1597" spans="2:2" ht="15.5" x14ac:dyDescent="0.35">
      <c r="B1597" s="167"/>
    </row>
    <row r="1598" spans="2:2" ht="15.5" x14ac:dyDescent="0.35">
      <c r="B1598" s="167"/>
    </row>
    <row r="1599" spans="2:2" ht="15.5" x14ac:dyDescent="0.35">
      <c r="B1599" s="167"/>
    </row>
    <row r="1600" spans="2:2" ht="15.5" x14ac:dyDescent="0.35">
      <c r="B1600" s="167"/>
    </row>
    <row r="1601" spans="2:2" ht="15.5" x14ac:dyDescent="0.35">
      <c r="B1601" s="167"/>
    </row>
    <row r="1602" spans="2:2" ht="15.5" x14ac:dyDescent="0.35">
      <c r="B1602" s="167"/>
    </row>
    <row r="1603" spans="2:2" ht="15.5" x14ac:dyDescent="0.35">
      <c r="B1603" s="167"/>
    </row>
    <row r="1604" spans="2:2" ht="15.5" x14ac:dyDescent="0.35">
      <c r="B1604" s="167"/>
    </row>
    <row r="1605" spans="2:2" ht="15.5" x14ac:dyDescent="0.35">
      <c r="B1605" s="167"/>
    </row>
    <row r="1606" spans="2:2" ht="15.5" x14ac:dyDescent="0.35">
      <c r="B1606" s="167"/>
    </row>
    <row r="1607" spans="2:2" ht="15.5" x14ac:dyDescent="0.35">
      <c r="B1607" s="167"/>
    </row>
    <row r="1608" spans="2:2" ht="15.5" x14ac:dyDescent="0.35">
      <c r="B1608" s="167"/>
    </row>
    <row r="1609" spans="2:2" ht="15.5" x14ac:dyDescent="0.35">
      <c r="B1609" s="167"/>
    </row>
    <row r="1610" spans="2:2" ht="15.5" x14ac:dyDescent="0.35">
      <c r="B1610" s="167"/>
    </row>
    <row r="1611" spans="2:2" ht="15.5" x14ac:dyDescent="0.35">
      <c r="B1611" s="167"/>
    </row>
    <row r="1612" spans="2:2" ht="15.5" x14ac:dyDescent="0.35">
      <c r="B1612" s="167"/>
    </row>
    <row r="1613" spans="2:2" ht="15.5" x14ac:dyDescent="0.35">
      <c r="B1613" s="167"/>
    </row>
    <row r="1614" spans="2:2" ht="15.5" x14ac:dyDescent="0.35">
      <c r="B1614" s="167"/>
    </row>
    <row r="1615" spans="2:2" ht="15.5" x14ac:dyDescent="0.35">
      <c r="B1615" s="167"/>
    </row>
    <row r="1616" spans="2:2" ht="15.5" x14ac:dyDescent="0.35">
      <c r="B1616" s="167"/>
    </row>
    <row r="1617" spans="2:2" ht="15.5" x14ac:dyDescent="0.35">
      <c r="B1617" s="167"/>
    </row>
    <row r="1618" spans="2:2" ht="15.5" x14ac:dyDescent="0.35">
      <c r="B1618" s="167"/>
    </row>
    <row r="1619" spans="2:2" ht="15.5" x14ac:dyDescent="0.35">
      <c r="B1619" s="167"/>
    </row>
    <row r="1620" spans="2:2" ht="15.5" x14ac:dyDescent="0.35">
      <c r="B1620" s="167"/>
    </row>
    <row r="1621" spans="2:2" ht="15.5" x14ac:dyDescent="0.35">
      <c r="B1621" s="167"/>
    </row>
    <row r="1622" spans="2:2" ht="15.5" x14ac:dyDescent="0.35">
      <c r="B1622" s="167"/>
    </row>
    <row r="1623" spans="2:2" ht="15.5" x14ac:dyDescent="0.35">
      <c r="B1623" s="167"/>
    </row>
    <row r="1624" spans="2:2" ht="15.5" x14ac:dyDescent="0.35">
      <c r="B1624" s="167"/>
    </row>
    <row r="1625" spans="2:2" ht="15.5" x14ac:dyDescent="0.35">
      <c r="B1625" s="167"/>
    </row>
    <row r="1626" spans="2:2" ht="15.5" x14ac:dyDescent="0.35">
      <c r="B1626" s="167"/>
    </row>
    <row r="1627" spans="2:2" ht="15.5" x14ac:dyDescent="0.35">
      <c r="B1627" s="167"/>
    </row>
    <row r="1628" spans="2:2" ht="15.5" x14ac:dyDescent="0.35">
      <c r="B1628" s="167"/>
    </row>
    <row r="1629" spans="2:2" ht="15.5" x14ac:dyDescent="0.35">
      <c r="B1629" s="167"/>
    </row>
    <row r="1630" spans="2:2" ht="15.5" x14ac:dyDescent="0.35">
      <c r="B1630" s="167"/>
    </row>
    <row r="1631" spans="2:2" ht="15.5" x14ac:dyDescent="0.35">
      <c r="B1631" s="167"/>
    </row>
    <row r="1632" spans="2:2" ht="15.5" x14ac:dyDescent="0.35">
      <c r="B1632" s="167"/>
    </row>
    <row r="1633" spans="2:2" ht="15.5" x14ac:dyDescent="0.35">
      <c r="B1633" s="167"/>
    </row>
    <row r="1634" spans="2:2" ht="15.5" x14ac:dyDescent="0.35">
      <c r="B1634" s="167"/>
    </row>
    <row r="1635" spans="2:2" ht="15.5" x14ac:dyDescent="0.35">
      <c r="B1635" s="167"/>
    </row>
    <row r="1636" spans="2:2" ht="15.5" x14ac:dyDescent="0.35">
      <c r="B1636" s="167"/>
    </row>
    <row r="1637" spans="2:2" ht="15.5" x14ac:dyDescent="0.35">
      <c r="B1637" s="167"/>
    </row>
    <row r="1638" spans="2:2" ht="15.5" x14ac:dyDescent="0.35">
      <c r="B1638" s="167"/>
    </row>
    <row r="1639" spans="2:2" ht="15.5" x14ac:dyDescent="0.35">
      <c r="B1639" s="167"/>
    </row>
    <row r="1640" spans="2:2" ht="15.5" x14ac:dyDescent="0.35">
      <c r="B1640" s="167"/>
    </row>
    <row r="1641" spans="2:2" ht="15.5" x14ac:dyDescent="0.35">
      <c r="B1641" s="167"/>
    </row>
    <row r="1642" spans="2:2" ht="15.5" x14ac:dyDescent="0.35">
      <c r="B1642" s="167"/>
    </row>
    <row r="1643" spans="2:2" ht="15.5" x14ac:dyDescent="0.35">
      <c r="B1643" s="167"/>
    </row>
    <row r="1644" spans="2:2" ht="15.5" x14ac:dyDescent="0.35">
      <c r="B1644" s="167"/>
    </row>
    <row r="1645" spans="2:2" ht="15.5" x14ac:dyDescent="0.35">
      <c r="B1645" s="167"/>
    </row>
    <row r="1646" spans="2:2" ht="15.5" x14ac:dyDescent="0.35">
      <c r="B1646" s="167"/>
    </row>
    <row r="1647" spans="2:2" ht="15.5" x14ac:dyDescent="0.35">
      <c r="B1647" s="167"/>
    </row>
    <row r="1648" spans="2:2" ht="15.5" x14ac:dyDescent="0.35">
      <c r="B1648" s="167"/>
    </row>
    <row r="1649" spans="2:2" ht="15.5" x14ac:dyDescent="0.35">
      <c r="B1649" s="167"/>
    </row>
    <row r="1650" spans="2:2" ht="15.5" x14ac:dyDescent="0.35">
      <c r="B1650" s="167"/>
    </row>
    <row r="1651" spans="2:2" ht="15.5" x14ac:dyDescent="0.35">
      <c r="B1651" s="167"/>
    </row>
    <row r="1652" spans="2:2" ht="15.5" x14ac:dyDescent="0.35">
      <c r="B1652" s="167"/>
    </row>
    <row r="1653" spans="2:2" ht="15.5" x14ac:dyDescent="0.35">
      <c r="B1653" s="167"/>
    </row>
    <row r="1654" spans="2:2" ht="15.5" x14ac:dyDescent="0.35">
      <c r="B1654" s="167"/>
    </row>
    <row r="1655" spans="2:2" ht="15.5" x14ac:dyDescent="0.35">
      <c r="B1655" s="167"/>
    </row>
    <row r="1656" spans="2:2" ht="15.5" x14ac:dyDescent="0.35">
      <c r="B1656" s="167"/>
    </row>
    <row r="1657" spans="2:2" ht="15.5" x14ac:dyDescent="0.35">
      <c r="B1657" s="167"/>
    </row>
    <row r="1658" spans="2:2" ht="15.5" x14ac:dyDescent="0.35">
      <c r="B1658" s="167"/>
    </row>
    <row r="1659" spans="2:2" ht="15.5" x14ac:dyDescent="0.35">
      <c r="B1659" s="167"/>
    </row>
    <row r="1660" spans="2:2" ht="15.5" x14ac:dyDescent="0.35">
      <c r="B1660" s="167"/>
    </row>
    <row r="1661" spans="2:2" ht="15.5" x14ac:dyDescent="0.35">
      <c r="B1661" s="167"/>
    </row>
    <row r="1662" spans="2:2" ht="15.5" x14ac:dyDescent="0.35">
      <c r="B1662" s="167"/>
    </row>
    <row r="1663" spans="2:2" ht="15.5" x14ac:dyDescent="0.35">
      <c r="B1663" s="167"/>
    </row>
    <row r="1664" spans="2:2" ht="15.5" x14ac:dyDescent="0.35">
      <c r="B1664" s="167"/>
    </row>
    <row r="1665" spans="2:2" ht="15.5" x14ac:dyDescent="0.35">
      <c r="B1665" s="167"/>
    </row>
    <row r="1666" spans="2:2" ht="15.5" x14ac:dyDescent="0.35">
      <c r="B1666" s="167"/>
    </row>
    <row r="1667" spans="2:2" ht="15.5" x14ac:dyDescent="0.35">
      <c r="B1667" s="167"/>
    </row>
    <row r="1668" spans="2:2" ht="15.5" x14ac:dyDescent="0.35">
      <c r="B1668" s="167"/>
    </row>
    <row r="1669" spans="2:2" ht="15.5" x14ac:dyDescent="0.35">
      <c r="B1669" s="167"/>
    </row>
    <row r="1670" spans="2:2" ht="15.5" x14ac:dyDescent="0.35">
      <c r="B1670" s="167"/>
    </row>
    <row r="1671" spans="2:2" ht="15.5" x14ac:dyDescent="0.35">
      <c r="B1671" s="167"/>
    </row>
    <row r="1672" spans="2:2" ht="15.5" x14ac:dyDescent="0.35">
      <c r="B1672" s="167"/>
    </row>
    <row r="1673" spans="2:2" ht="15.5" x14ac:dyDescent="0.35">
      <c r="B1673" s="167"/>
    </row>
    <row r="1674" spans="2:2" ht="15.5" x14ac:dyDescent="0.35">
      <c r="B1674" s="167"/>
    </row>
    <row r="1675" spans="2:2" ht="15.5" x14ac:dyDescent="0.35">
      <c r="B1675" s="167"/>
    </row>
    <row r="1676" spans="2:2" ht="15.5" x14ac:dyDescent="0.35">
      <c r="B1676" s="167"/>
    </row>
    <row r="1677" spans="2:2" ht="15.5" x14ac:dyDescent="0.35">
      <c r="B1677" s="167"/>
    </row>
    <row r="1678" spans="2:2" ht="15.5" x14ac:dyDescent="0.35">
      <c r="B1678" s="167"/>
    </row>
    <row r="1679" spans="2:2" ht="15.5" x14ac:dyDescent="0.35">
      <c r="B1679" s="167"/>
    </row>
    <row r="1680" spans="2:2" ht="15.5" x14ac:dyDescent="0.35">
      <c r="B1680" s="167"/>
    </row>
    <row r="1681" spans="2:2" ht="15.5" x14ac:dyDescent="0.35">
      <c r="B1681" s="167"/>
    </row>
    <row r="1682" spans="2:2" ht="15.5" x14ac:dyDescent="0.35">
      <c r="B1682" s="167"/>
    </row>
    <row r="1683" spans="2:2" ht="15.5" x14ac:dyDescent="0.35">
      <c r="B1683" s="167"/>
    </row>
    <row r="1684" spans="2:2" ht="15.5" x14ac:dyDescent="0.35">
      <c r="B1684" s="167"/>
    </row>
    <row r="1685" spans="2:2" ht="15.5" x14ac:dyDescent="0.35">
      <c r="B1685" s="167"/>
    </row>
    <row r="1686" spans="2:2" ht="15.5" x14ac:dyDescent="0.35">
      <c r="B1686" s="167"/>
    </row>
    <row r="1687" spans="2:2" ht="15.5" x14ac:dyDescent="0.35">
      <c r="B1687" s="167"/>
    </row>
    <row r="1688" spans="2:2" ht="15.5" x14ac:dyDescent="0.35">
      <c r="B1688" s="167"/>
    </row>
    <row r="1689" spans="2:2" ht="15.5" x14ac:dyDescent="0.35">
      <c r="B1689" s="167"/>
    </row>
    <row r="1690" spans="2:2" ht="15.5" x14ac:dyDescent="0.35">
      <c r="B1690" s="167"/>
    </row>
    <row r="1691" spans="2:2" ht="15.5" x14ac:dyDescent="0.35">
      <c r="B1691" s="167"/>
    </row>
    <row r="1692" spans="2:2" ht="15.5" x14ac:dyDescent="0.35">
      <c r="B1692" s="167"/>
    </row>
    <row r="1693" spans="2:2" ht="15.5" x14ac:dyDescent="0.35">
      <c r="B1693" s="167"/>
    </row>
    <row r="1694" spans="2:2" ht="15.5" x14ac:dyDescent="0.35">
      <c r="B1694" s="167"/>
    </row>
    <row r="1695" spans="2:2" ht="15.5" x14ac:dyDescent="0.35">
      <c r="B1695" s="167"/>
    </row>
    <row r="1696" spans="2:2" ht="15.5" x14ac:dyDescent="0.35">
      <c r="B1696" s="167"/>
    </row>
    <row r="1697" spans="2:2" ht="15.5" x14ac:dyDescent="0.35">
      <c r="B1697" s="167"/>
    </row>
    <row r="1698" spans="2:2" ht="15.5" x14ac:dyDescent="0.35">
      <c r="B1698" s="167"/>
    </row>
    <row r="1699" spans="2:2" ht="15.5" x14ac:dyDescent="0.35">
      <c r="B1699" s="167"/>
    </row>
    <row r="1700" spans="2:2" ht="15.5" x14ac:dyDescent="0.35">
      <c r="B1700" s="167"/>
    </row>
    <row r="1701" spans="2:2" ht="15.5" x14ac:dyDescent="0.35">
      <c r="B1701" s="167"/>
    </row>
    <row r="1702" spans="2:2" ht="15.5" x14ac:dyDescent="0.35">
      <c r="B1702" s="167"/>
    </row>
    <row r="1703" spans="2:2" ht="15.5" x14ac:dyDescent="0.35">
      <c r="B1703" s="167"/>
    </row>
    <row r="1704" spans="2:2" ht="15.5" x14ac:dyDescent="0.35">
      <c r="B1704" s="167"/>
    </row>
    <row r="1705" spans="2:2" ht="15.5" x14ac:dyDescent="0.35">
      <c r="B1705" s="167"/>
    </row>
    <row r="1706" spans="2:2" ht="15.5" x14ac:dyDescent="0.35">
      <c r="B1706" s="167"/>
    </row>
    <row r="1707" spans="2:2" ht="15.5" x14ac:dyDescent="0.35">
      <c r="B1707" s="167"/>
    </row>
    <row r="1708" spans="2:2" ht="15.5" x14ac:dyDescent="0.35">
      <c r="B1708" s="167"/>
    </row>
    <row r="1709" spans="2:2" ht="15.5" x14ac:dyDescent="0.35">
      <c r="B1709" s="167"/>
    </row>
    <row r="1710" spans="2:2" ht="15.5" x14ac:dyDescent="0.35">
      <c r="B1710" s="167"/>
    </row>
    <row r="1711" spans="2:2" ht="15.5" x14ac:dyDescent="0.35">
      <c r="B1711" s="167"/>
    </row>
    <row r="1712" spans="2:2" ht="15.5" x14ac:dyDescent="0.35">
      <c r="B1712" s="167"/>
    </row>
    <row r="1713" spans="2:2" ht="15.5" x14ac:dyDescent="0.35">
      <c r="B1713" s="167"/>
    </row>
    <row r="1714" spans="2:2" ht="15.5" x14ac:dyDescent="0.35">
      <c r="B1714" s="167"/>
    </row>
    <row r="1715" spans="2:2" ht="15.5" x14ac:dyDescent="0.35">
      <c r="B1715" s="167"/>
    </row>
    <row r="1716" spans="2:2" ht="15.5" x14ac:dyDescent="0.35">
      <c r="B1716" s="167"/>
    </row>
    <row r="1717" spans="2:2" ht="15.5" x14ac:dyDescent="0.35">
      <c r="B1717" s="167"/>
    </row>
    <row r="1718" spans="2:2" ht="15.5" x14ac:dyDescent="0.35">
      <c r="B1718" s="167"/>
    </row>
    <row r="1719" spans="2:2" ht="15.5" x14ac:dyDescent="0.35">
      <c r="B1719" s="167"/>
    </row>
    <row r="1720" spans="2:2" ht="15.5" x14ac:dyDescent="0.35">
      <c r="B1720" s="167"/>
    </row>
    <row r="1721" spans="2:2" ht="15.5" x14ac:dyDescent="0.35">
      <c r="B1721" s="167"/>
    </row>
    <row r="1722" spans="2:2" ht="15.5" x14ac:dyDescent="0.35">
      <c r="B1722" s="167"/>
    </row>
    <row r="1723" spans="2:2" ht="15.5" x14ac:dyDescent="0.35">
      <c r="B1723" s="167"/>
    </row>
    <row r="1724" spans="2:2" ht="15.5" x14ac:dyDescent="0.35">
      <c r="B1724" s="167"/>
    </row>
    <row r="1725" spans="2:2" ht="15.5" x14ac:dyDescent="0.35">
      <c r="B1725" s="167"/>
    </row>
    <row r="1726" spans="2:2" ht="15.5" x14ac:dyDescent="0.35">
      <c r="B1726" s="167"/>
    </row>
    <row r="1727" spans="2:2" ht="15.5" x14ac:dyDescent="0.35">
      <c r="B1727" s="167"/>
    </row>
    <row r="1728" spans="2:2" ht="15.5" x14ac:dyDescent="0.35">
      <c r="B1728" s="167"/>
    </row>
    <row r="1729" spans="2:2" ht="15.5" x14ac:dyDescent="0.35">
      <c r="B1729" s="167"/>
    </row>
    <row r="1730" spans="2:2" ht="15.5" x14ac:dyDescent="0.35">
      <c r="B1730" s="167"/>
    </row>
    <row r="1731" spans="2:2" ht="15.5" x14ac:dyDescent="0.35">
      <c r="B1731" s="167"/>
    </row>
    <row r="1732" spans="2:2" ht="15.5" x14ac:dyDescent="0.35">
      <c r="B1732" s="167"/>
    </row>
    <row r="1733" spans="2:2" ht="15.5" x14ac:dyDescent="0.35">
      <c r="B1733" s="167"/>
    </row>
    <row r="1734" spans="2:2" ht="15.5" x14ac:dyDescent="0.35">
      <c r="B1734" s="167"/>
    </row>
    <row r="1735" spans="2:2" ht="15.5" x14ac:dyDescent="0.35">
      <c r="B1735" s="167"/>
    </row>
    <row r="1736" spans="2:2" ht="15.5" x14ac:dyDescent="0.35">
      <c r="B1736" s="167"/>
    </row>
    <row r="1737" spans="2:2" ht="15.5" x14ac:dyDescent="0.35">
      <c r="B1737" s="167"/>
    </row>
    <row r="1738" spans="2:2" ht="15.5" x14ac:dyDescent="0.35">
      <c r="B1738" s="167"/>
    </row>
    <row r="1739" spans="2:2" ht="15.5" x14ac:dyDescent="0.35">
      <c r="B1739" s="167"/>
    </row>
    <row r="1740" spans="2:2" ht="15.5" x14ac:dyDescent="0.35">
      <c r="B1740" s="167"/>
    </row>
    <row r="1741" spans="2:2" ht="15.5" x14ac:dyDescent="0.35">
      <c r="B1741" s="167"/>
    </row>
    <row r="1742" spans="2:2" ht="15.5" x14ac:dyDescent="0.35">
      <c r="B1742" s="167"/>
    </row>
    <row r="1743" spans="2:2" ht="15.5" x14ac:dyDescent="0.35">
      <c r="B1743" s="167"/>
    </row>
    <row r="1744" spans="2:2" ht="15.5" x14ac:dyDescent="0.35">
      <c r="B1744" s="167"/>
    </row>
    <row r="1745" spans="2:2" ht="15.5" x14ac:dyDescent="0.35">
      <c r="B1745" s="167"/>
    </row>
    <row r="1746" spans="2:2" ht="15.5" x14ac:dyDescent="0.35">
      <c r="B1746" s="167"/>
    </row>
    <row r="1747" spans="2:2" ht="15.5" x14ac:dyDescent="0.35">
      <c r="B1747" s="167"/>
    </row>
    <row r="1748" spans="2:2" ht="15.5" x14ac:dyDescent="0.35">
      <c r="B1748" s="167"/>
    </row>
    <row r="1749" spans="2:2" ht="15.5" x14ac:dyDescent="0.35">
      <c r="B1749" s="167"/>
    </row>
    <row r="1750" spans="2:2" ht="15.5" x14ac:dyDescent="0.35">
      <c r="B1750" s="167"/>
    </row>
    <row r="1751" spans="2:2" ht="15.5" x14ac:dyDescent="0.35">
      <c r="B1751" s="167"/>
    </row>
    <row r="1752" spans="2:2" ht="15.5" x14ac:dyDescent="0.35">
      <c r="B1752" s="167"/>
    </row>
    <row r="1753" spans="2:2" ht="15.5" x14ac:dyDescent="0.35">
      <c r="B1753" s="167"/>
    </row>
    <row r="1754" spans="2:2" ht="15.5" x14ac:dyDescent="0.35">
      <c r="B1754" s="167"/>
    </row>
    <row r="1755" spans="2:2" ht="15.5" x14ac:dyDescent="0.35">
      <c r="B1755" s="167"/>
    </row>
    <row r="1756" spans="2:2" ht="15.5" x14ac:dyDescent="0.35">
      <c r="B1756" s="167"/>
    </row>
    <row r="1757" spans="2:2" ht="15.5" x14ac:dyDescent="0.35">
      <c r="B1757" s="167"/>
    </row>
    <row r="1758" spans="2:2" ht="15.5" x14ac:dyDescent="0.35">
      <c r="B1758" s="167"/>
    </row>
    <row r="1759" spans="2:2" ht="15.5" x14ac:dyDescent="0.35">
      <c r="B1759" s="167"/>
    </row>
    <row r="1760" spans="2:2" ht="15.5" x14ac:dyDescent="0.35">
      <c r="B1760" s="167"/>
    </row>
    <row r="1761" spans="2:2" ht="15.5" x14ac:dyDescent="0.35">
      <c r="B1761" s="167"/>
    </row>
    <row r="1762" spans="2:2" ht="15.5" x14ac:dyDescent="0.35">
      <c r="B1762" s="167"/>
    </row>
    <row r="1763" spans="2:2" ht="15.5" x14ac:dyDescent="0.35">
      <c r="B1763" s="167"/>
    </row>
    <row r="1764" spans="2:2" ht="15.5" x14ac:dyDescent="0.35">
      <c r="B1764" s="167"/>
    </row>
    <row r="1765" spans="2:2" ht="15.5" x14ac:dyDescent="0.35">
      <c r="B1765" s="167"/>
    </row>
    <row r="1766" spans="2:2" ht="15.5" x14ac:dyDescent="0.35">
      <c r="B1766" s="167"/>
    </row>
    <row r="1767" spans="2:2" ht="15.5" x14ac:dyDescent="0.35">
      <c r="B1767" s="167"/>
    </row>
    <row r="1768" spans="2:2" ht="15.5" x14ac:dyDescent="0.35">
      <c r="B1768" s="167"/>
    </row>
    <row r="1769" spans="2:2" ht="15.5" x14ac:dyDescent="0.35">
      <c r="B1769" s="167"/>
    </row>
    <row r="1770" spans="2:2" ht="15.5" x14ac:dyDescent="0.35">
      <c r="B1770" s="167"/>
    </row>
    <row r="1771" spans="2:2" ht="15.5" x14ac:dyDescent="0.35">
      <c r="B1771" s="167"/>
    </row>
    <row r="1772" spans="2:2" ht="15.5" x14ac:dyDescent="0.35">
      <c r="B1772" s="167"/>
    </row>
    <row r="1773" spans="2:2" ht="15.5" x14ac:dyDescent="0.35">
      <c r="B1773" s="167"/>
    </row>
    <row r="1774" spans="2:2" ht="15.5" x14ac:dyDescent="0.35">
      <c r="B1774" s="167"/>
    </row>
    <row r="1775" spans="2:2" ht="15.5" x14ac:dyDescent="0.35">
      <c r="B1775" s="167"/>
    </row>
    <row r="1776" spans="2:2" ht="15.5" x14ac:dyDescent="0.35">
      <c r="B1776" s="167"/>
    </row>
    <row r="1777" spans="2:2" ht="15.5" x14ac:dyDescent="0.35">
      <c r="B1777" s="167"/>
    </row>
    <row r="1778" spans="2:2" ht="15.5" x14ac:dyDescent="0.35">
      <c r="B1778" s="167"/>
    </row>
    <row r="1779" spans="2:2" ht="15.5" x14ac:dyDescent="0.35">
      <c r="B1779" s="167"/>
    </row>
    <row r="1780" spans="2:2" ht="15.5" x14ac:dyDescent="0.35">
      <c r="B1780" s="167"/>
    </row>
    <row r="1781" spans="2:2" ht="15.5" x14ac:dyDescent="0.35">
      <c r="B1781" s="167"/>
    </row>
    <row r="1782" spans="2:2" ht="15.5" x14ac:dyDescent="0.35">
      <c r="B1782" s="167"/>
    </row>
    <row r="1783" spans="2:2" ht="15.5" x14ac:dyDescent="0.35">
      <c r="B1783" s="167"/>
    </row>
    <row r="1784" spans="2:2" ht="15.5" x14ac:dyDescent="0.35">
      <c r="B1784" s="167"/>
    </row>
    <row r="1785" spans="2:2" ht="15.5" x14ac:dyDescent="0.35">
      <c r="B1785" s="167"/>
    </row>
    <row r="1786" spans="2:2" ht="15.5" x14ac:dyDescent="0.35">
      <c r="B1786" s="167"/>
    </row>
    <row r="1787" spans="2:2" ht="15.5" x14ac:dyDescent="0.35">
      <c r="B1787" s="167"/>
    </row>
    <row r="1788" spans="2:2" ht="15.5" x14ac:dyDescent="0.35">
      <c r="B1788" s="167"/>
    </row>
    <row r="1789" spans="2:2" ht="15.5" x14ac:dyDescent="0.35">
      <c r="B1789" s="167"/>
    </row>
    <row r="1790" spans="2:2" ht="15.5" x14ac:dyDescent="0.35">
      <c r="B1790" s="167"/>
    </row>
    <row r="1791" spans="2:2" ht="15.5" x14ac:dyDescent="0.35">
      <c r="B1791" s="167"/>
    </row>
    <row r="1792" spans="2:2" ht="15.5" x14ac:dyDescent="0.35">
      <c r="B1792" s="167"/>
    </row>
    <row r="1793" spans="2:2" ht="15.5" x14ac:dyDescent="0.35">
      <c r="B1793" s="167"/>
    </row>
    <row r="1794" spans="2:2" ht="15.5" x14ac:dyDescent="0.35">
      <c r="B1794" s="167"/>
    </row>
    <row r="1795" spans="2:2" ht="15.5" x14ac:dyDescent="0.35">
      <c r="B1795" s="167"/>
    </row>
    <row r="1796" spans="2:2" ht="15.5" x14ac:dyDescent="0.35">
      <c r="B1796" s="167"/>
    </row>
    <row r="1797" spans="2:2" ht="15.5" x14ac:dyDescent="0.35">
      <c r="B1797" s="167"/>
    </row>
    <row r="1798" spans="2:2" ht="15.5" x14ac:dyDescent="0.35">
      <c r="B1798" s="167"/>
    </row>
    <row r="1799" spans="2:2" ht="15.5" x14ac:dyDescent="0.35">
      <c r="B1799" s="167"/>
    </row>
    <row r="1800" spans="2:2" ht="15.5" x14ac:dyDescent="0.35">
      <c r="B1800" s="167"/>
    </row>
    <row r="1801" spans="2:2" ht="15.5" x14ac:dyDescent="0.35">
      <c r="B1801" s="167"/>
    </row>
    <row r="1802" spans="2:2" ht="15.5" x14ac:dyDescent="0.35">
      <c r="B1802" s="167"/>
    </row>
    <row r="1803" spans="2:2" ht="15.5" x14ac:dyDescent="0.35">
      <c r="B1803" s="167"/>
    </row>
    <row r="1804" spans="2:2" ht="15.5" x14ac:dyDescent="0.35">
      <c r="B1804" s="167"/>
    </row>
    <row r="1805" spans="2:2" ht="15.5" x14ac:dyDescent="0.35">
      <c r="B1805" s="167"/>
    </row>
    <row r="1806" spans="2:2" ht="15.5" x14ac:dyDescent="0.35">
      <c r="B1806" s="167"/>
    </row>
    <row r="1807" spans="2:2" ht="15.5" x14ac:dyDescent="0.35">
      <c r="B1807" s="167"/>
    </row>
    <row r="1808" spans="2:2" ht="15.5" x14ac:dyDescent="0.35">
      <c r="B1808" s="167"/>
    </row>
    <row r="1809" spans="2:2" ht="15.5" x14ac:dyDescent="0.35">
      <c r="B1809" s="167"/>
    </row>
    <row r="1810" spans="2:2" ht="15.5" x14ac:dyDescent="0.35">
      <c r="B1810" s="167"/>
    </row>
    <row r="1811" spans="2:2" ht="15.5" x14ac:dyDescent="0.35">
      <c r="B1811" s="167"/>
    </row>
    <row r="1812" spans="2:2" ht="15.5" x14ac:dyDescent="0.35">
      <c r="B1812" s="167"/>
    </row>
    <row r="1813" spans="2:2" ht="15.5" x14ac:dyDescent="0.35">
      <c r="B1813" s="167"/>
    </row>
    <row r="1814" spans="2:2" ht="15.5" x14ac:dyDescent="0.35">
      <c r="B1814" s="167"/>
    </row>
    <row r="1815" spans="2:2" ht="15.5" x14ac:dyDescent="0.35">
      <c r="B1815" s="167"/>
    </row>
    <row r="1816" spans="2:2" ht="15.5" x14ac:dyDescent="0.35">
      <c r="B1816" s="167"/>
    </row>
    <row r="1817" spans="2:2" ht="15.5" x14ac:dyDescent="0.35">
      <c r="B1817" s="167"/>
    </row>
    <row r="1818" spans="2:2" ht="15.5" x14ac:dyDescent="0.35">
      <c r="B1818" s="167"/>
    </row>
    <row r="1819" spans="2:2" ht="15.5" x14ac:dyDescent="0.35">
      <c r="B1819" s="167"/>
    </row>
    <row r="1820" spans="2:2" ht="15.5" x14ac:dyDescent="0.35">
      <c r="B1820" s="167"/>
    </row>
    <row r="1821" spans="2:2" ht="15.5" x14ac:dyDescent="0.35">
      <c r="B1821" s="167"/>
    </row>
    <row r="1822" spans="2:2" ht="15.5" x14ac:dyDescent="0.35">
      <c r="B1822" s="167"/>
    </row>
    <row r="1823" spans="2:2" ht="15.5" x14ac:dyDescent="0.35">
      <c r="B1823" s="167"/>
    </row>
    <row r="1824" spans="2:2" ht="15.5" x14ac:dyDescent="0.35">
      <c r="B1824" s="167"/>
    </row>
    <row r="1825" spans="2:2" ht="15.5" x14ac:dyDescent="0.35">
      <c r="B1825" s="167"/>
    </row>
    <row r="1826" spans="2:2" ht="15.5" x14ac:dyDescent="0.35">
      <c r="B1826" s="167"/>
    </row>
    <row r="1827" spans="2:2" ht="15.5" x14ac:dyDescent="0.35">
      <c r="B1827" s="167"/>
    </row>
    <row r="1828" spans="2:2" ht="15.5" x14ac:dyDescent="0.35">
      <c r="B1828" s="167"/>
    </row>
    <row r="1829" spans="2:2" ht="15.5" x14ac:dyDescent="0.35">
      <c r="B1829" s="167"/>
    </row>
    <row r="1830" spans="2:2" ht="15.5" x14ac:dyDescent="0.35">
      <c r="B1830" s="167"/>
    </row>
    <row r="1831" spans="2:2" ht="15.5" x14ac:dyDescent="0.35">
      <c r="B1831" s="167"/>
    </row>
    <row r="1832" spans="2:2" ht="15.5" x14ac:dyDescent="0.35">
      <c r="B1832" s="167"/>
    </row>
    <row r="1833" spans="2:2" ht="15.5" x14ac:dyDescent="0.35">
      <c r="B1833" s="167"/>
    </row>
    <row r="1834" spans="2:2" ht="15.5" x14ac:dyDescent="0.35">
      <c r="B1834" s="167"/>
    </row>
    <row r="1835" spans="2:2" ht="15.5" x14ac:dyDescent="0.35">
      <c r="B1835" s="167"/>
    </row>
    <row r="1836" spans="2:2" ht="15.5" x14ac:dyDescent="0.35">
      <c r="B1836" s="167"/>
    </row>
    <row r="1837" spans="2:2" ht="15.5" x14ac:dyDescent="0.35">
      <c r="B1837" s="167"/>
    </row>
    <row r="1838" spans="2:2" ht="15.5" x14ac:dyDescent="0.35">
      <c r="B1838" s="167"/>
    </row>
    <row r="1839" spans="2:2" ht="15.5" x14ac:dyDescent="0.35">
      <c r="B1839" s="167"/>
    </row>
    <row r="1840" spans="2:2" ht="15.5" x14ac:dyDescent="0.35">
      <c r="B1840" s="167"/>
    </row>
    <row r="1841" spans="2:2" ht="15.5" x14ac:dyDescent="0.35">
      <c r="B1841" s="167"/>
    </row>
    <row r="1842" spans="2:2" ht="15.5" x14ac:dyDescent="0.35">
      <c r="B1842" s="167"/>
    </row>
    <row r="1843" spans="2:2" ht="15.5" x14ac:dyDescent="0.35">
      <c r="B1843" s="167"/>
    </row>
    <row r="1844" spans="2:2" ht="15.5" x14ac:dyDescent="0.35">
      <c r="B1844" s="167"/>
    </row>
    <row r="1845" spans="2:2" ht="15.5" x14ac:dyDescent="0.35">
      <c r="B1845" s="167"/>
    </row>
    <row r="1846" spans="2:2" ht="15.5" x14ac:dyDescent="0.35">
      <c r="B1846" s="167"/>
    </row>
    <row r="1847" spans="2:2" ht="15.5" x14ac:dyDescent="0.35">
      <c r="B1847" s="167"/>
    </row>
    <row r="1848" spans="2:2" ht="15.5" x14ac:dyDescent="0.35">
      <c r="B1848" s="167"/>
    </row>
    <row r="1849" spans="2:2" ht="15.5" x14ac:dyDescent="0.35">
      <c r="B1849" s="167"/>
    </row>
    <row r="1850" spans="2:2" ht="15.5" x14ac:dyDescent="0.35">
      <c r="B1850" s="167"/>
    </row>
    <row r="1851" spans="2:2" ht="15.5" x14ac:dyDescent="0.35">
      <c r="B1851" s="167"/>
    </row>
    <row r="1852" spans="2:2" ht="15.5" x14ac:dyDescent="0.35">
      <c r="B1852" s="167"/>
    </row>
    <row r="1853" spans="2:2" ht="15.5" x14ac:dyDescent="0.35">
      <c r="B1853" s="167"/>
    </row>
    <row r="1854" spans="2:2" ht="15.5" x14ac:dyDescent="0.35">
      <c r="B1854" s="167"/>
    </row>
    <row r="1855" spans="2:2" ht="15.5" x14ac:dyDescent="0.35">
      <c r="B1855" s="167"/>
    </row>
    <row r="1856" spans="2:2" ht="15.5" x14ac:dyDescent="0.35">
      <c r="B1856" s="167"/>
    </row>
    <row r="1857" spans="2:2" ht="15.5" x14ac:dyDescent="0.35">
      <c r="B1857" s="167"/>
    </row>
    <row r="1858" spans="2:2" ht="15.5" x14ac:dyDescent="0.35">
      <c r="B1858" s="167"/>
    </row>
    <row r="1859" spans="2:2" ht="15.5" x14ac:dyDescent="0.35">
      <c r="B1859" s="167"/>
    </row>
    <row r="1860" spans="2:2" ht="15.5" x14ac:dyDescent="0.35">
      <c r="B1860" s="167"/>
    </row>
    <row r="1861" spans="2:2" ht="15.5" x14ac:dyDescent="0.35">
      <c r="B1861" s="167"/>
    </row>
    <row r="1862" spans="2:2" ht="15.5" x14ac:dyDescent="0.35">
      <c r="B1862" s="167"/>
    </row>
    <row r="1863" spans="2:2" ht="15.5" x14ac:dyDescent="0.35">
      <c r="B1863" s="167"/>
    </row>
    <row r="1864" spans="2:2" ht="15.5" x14ac:dyDescent="0.35">
      <c r="B1864" s="167"/>
    </row>
    <row r="1865" spans="2:2" ht="15.5" x14ac:dyDescent="0.35">
      <c r="B1865" s="167"/>
    </row>
    <row r="1866" spans="2:2" ht="15.5" x14ac:dyDescent="0.35">
      <c r="B1866" s="167"/>
    </row>
    <row r="1867" spans="2:2" ht="15.5" x14ac:dyDescent="0.35">
      <c r="B1867" s="167"/>
    </row>
    <row r="1868" spans="2:2" ht="15.5" x14ac:dyDescent="0.35">
      <c r="B1868" s="167"/>
    </row>
    <row r="1869" spans="2:2" ht="15.5" x14ac:dyDescent="0.35">
      <c r="B1869" s="167"/>
    </row>
    <row r="1870" spans="2:2" ht="15.5" x14ac:dyDescent="0.35">
      <c r="B1870" s="167"/>
    </row>
    <row r="1871" spans="2:2" ht="15.5" x14ac:dyDescent="0.35">
      <c r="B1871" s="167"/>
    </row>
    <row r="1872" spans="2:2" ht="15.5" x14ac:dyDescent="0.35">
      <c r="B1872" s="167"/>
    </row>
    <row r="1873" spans="2:2" ht="15.5" x14ac:dyDescent="0.35">
      <c r="B1873" s="167"/>
    </row>
    <row r="1874" spans="2:2" ht="15.5" x14ac:dyDescent="0.35">
      <c r="B1874" s="167"/>
    </row>
    <row r="1875" spans="2:2" ht="15.5" x14ac:dyDescent="0.35">
      <c r="B1875" s="167"/>
    </row>
    <row r="1876" spans="2:2" ht="15.5" x14ac:dyDescent="0.35">
      <c r="B1876" s="167"/>
    </row>
    <row r="1877" spans="2:2" ht="15.5" x14ac:dyDescent="0.35">
      <c r="B1877" s="167"/>
    </row>
    <row r="1878" spans="2:2" ht="15.5" x14ac:dyDescent="0.35">
      <c r="B1878" s="167"/>
    </row>
    <row r="1879" spans="2:2" ht="15.5" x14ac:dyDescent="0.35">
      <c r="B1879" s="167"/>
    </row>
    <row r="1880" spans="2:2" ht="15.5" x14ac:dyDescent="0.35">
      <c r="B1880" s="167"/>
    </row>
    <row r="1881" spans="2:2" ht="15.5" x14ac:dyDescent="0.35">
      <c r="B1881" s="167"/>
    </row>
    <row r="1882" spans="2:2" ht="15.5" x14ac:dyDescent="0.35">
      <c r="B1882" s="167"/>
    </row>
    <row r="1883" spans="2:2" ht="15.5" x14ac:dyDescent="0.35">
      <c r="B1883" s="167"/>
    </row>
    <row r="1884" spans="2:2" ht="15.5" x14ac:dyDescent="0.35">
      <c r="B1884" s="167"/>
    </row>
    <row r="1885" spans="2:2" ht="15.5" x14ac:dyDescent="0.35">
      <c r="B1885" s="167"/>
    </row>
    <row r="1886" spans="2:2" ht="15.5" x14ac:dyDescent="0.35">
      <c r="B1886" s="167"/>
    </row>
    <row r="1887" spans="2:2" ht="15.5" x14ac:dyDescent="0.35">
      <c r="B1887" s="167"/>
    </row>
    <row r="1888" spans="2:2" ht="15.5" x14ac:dyDescent="0.35">
      <c r="B1888" s="167"/>
    </row>
    <row r="1889" spans="2:2" ht="15.5" x14ac:dyDescent="0.35">
      <c r="B1889" s="167"/>
    </row>
    <row r="1890" spans="2:2" ht="15.5" x14ac:dyDescent="0.35">
      <c r="B1890" s="167"/>
    </row>
    <row r="1891" spans="2:2" ht="15.5" x14ac:dyDescent="0.35">
      <c r="B1891" s="167"/>
    </row>
    <row r="1892" spans="2:2" ht="15.5" x14ac:dyDescent="0.35">
      <c r="B1892" s="167"/>
    </row>
    <row r="1893" spans="2:2" ht="15.5" x14ac:dyDescent="0.35">
      <c r="B1893" s="167"/>
    </row>
    <row r="1894" spans="2:2" ht="15.5" x14ac:dyDescent="0.35">
      <c r="B1894" s="167"/>
    </row>
    <row r="1895" spans="2:2" ht="15.5" x14ac:dyDescent="0.35">
      <c r="B1895" s="167"/>
    </row>
    <row r="1896" spans="2:2" ht="15.5" x14ac:dyDescent="0.35">
      <c r="B1896" s="167"/>
    </row>
    <row r="1897" spans="2:2" ht="15.5" x14ac:dyDescent="0.35">
      <c r="B1897" s="167"/>
    </row>
    <row r="1898" spans="2:2" ht="15.5" x14ac:dyDescent="0.35">
      <c r="B1898" s="167"/>
    </row>
    <row r="1899" spans="2:2" ht="15.5" x14ac:dyDescent="0.35">
      <c r="B1899" s="167"/>
    </row>
    <row r="1900" spans="2:2" ht="15.5" x14ac:dyDescent="0.35">
      <c r="B1900" s="167"/>
    </row>
    <row r="1901" spans="2:2" ht="15.5" x14ac:dyDescent="0.35">
      <c r="B1901" s="167"/>
    </row>
    <row r="1902" spans="2:2" ht="15.5" x14ac:dyDescent="0.35">
      <c r="B1902" s="167"/>
    </row>
    <row r="1903" spans="2:2" ht="15.5" x14ac:dyDescent="0.35">
      <c r="B1903" s="167"/>
    </row>
    <row r="1904" spans="2:2" ht="15.5" x14ac:dyDescent="0.35">
      <c r="B1904" s="167"/>
    </row>
    <row r="1905" spans="2:2" ht="15.5" x14ac:dyDescent="0.35">
      <c r="B1905" s="167"/>
    </row>
    <row r="1906" spans="2:2" ht="15.5" x14ac:dyDescent="0.35">
      <c r="B1906" s="167"/>
    </row>
    <row r="1907" spans="2:2" ht="15.5" x14ac:dyDescent="0.35">
      <c r="B1907" s="167"/>
    </row>
    <row r="1908" spans="2:2" ht="15.5" x14ac:dyDescent="0.35">
      <c r="B1908" s="167"/>
    </row>
    <row r="1909" spans="2:2" ht="15.5" x14ac:dyDescent="0.35">
      <c r="B1909" s="167"/>
    </row>
    <row r="1910" spans="2:2" ht="15.5" x14ac:dyDescent="0.35">
      <c r="B1910" s="167"/>
    </row>
    <row r="1911" spans="2:2" ht="15.5" x14ac:dyDescent="0.35">
      <c r="B1911" s="167"/>
    </row>
    <row r="1912" spans="2:2" ht="15.5" x14ac:dyDescent="0.35">
      <c r="B1912" s="167"/>
    </row>
    <row r="1913" spans="2:2" ht="15.5" x14ac:dyDescent="0.35">
      <c r="B1913" s="167"/>
    </row>
    <row r="1914" spans="2:2" ht="15.5" x14ac:dyDescent="0.35">
      <c r="B1914" s="167"/>
    </row>
    <row r="1915" spans="2:2" ht="15.5" x14ac:dyDescent="0.35">
      <c r="B1915" s="167"/>
    </row>
    <row r="1916" spans="2:2" ht="15.5" x14ac:dyDescent="0.35">
      <c r="B1916" s="167"/>
    </row>
    <row r="1917" spans="2:2" ht="15.5" x14ac:dyDescent="0.35">
      <c r="B1917" s="167"/>
    </row>
    <row r="1918" spans="2:2" ht="15.5" x14ac:dyDescent="0.35">
      <c r="B1918" s="167"/>
    </row>
    <row r="1919" spans="2:2" ht="15.5" x14ac:dyDescent="0.35">
      <c r="B1919" s="167"/>
    </row>
    <row r="1920" spans="2:2" ht="15.5" x14ac:dyDescent="0.35">
      <c r="B1920" s="167"/>
    </row>
    <row r="1921" spans="2:2" ht="15.5" x14ac:dyDescent="0.35">
      <c r="B1921" s="167"/>
    </row>
    <row r="1922" spans="2:2" ht="15.5" x14ac:dyDescent="0.35">
      <c r="B1922" s="167"/>
    </row>
    <row r="1923" spans="2:2" ht="15.5" x14ac:dyDescent="0.35">
      <c r="B1923" s="167"/>
    </row>
    <row r="1924" spans="2:2" ht="15.5" x14ac:dyDescent="0.35">
      <c r="B1924" s="167"/>
    </row>
    <row r="1925" spans="2:2" ht="15.5" x14ac:dyDescent="0.35">
      <c r="B1925" s="167"/>
    </row>
    <row r="1926" spans="2:2" ht="15.5" x14ac:dyDescent="0.35">
      <c r="B1926" s="167"/>
    </row>
    <row r="1927" spans="2:2" ht="15.5" x14ac:dyDescent="0.35">
      <c r="B1927" s="167"/>
    </row>
    <row r="1928" spans="2:2" ht="15.5" x14ac:dyDescent="0.35">
      <c r="B1928" s="167"/>
    </row>
    <row r="1929" spans="2:2" ht="15.5" x14ac:dyDescent="0.35">
      <c r="B1929" s="167"/>
    </row>
    <row r="1930" spans="2:2" ht="15.5" x14ac:dyDescent="0.35">
      <c r="B1930" s="167"/>
    </row>
    <row r="1931" spans="2:2" ht="15.5" x14ac:dyDescent="0.35">
      <c r="B1931" s="167"/>
    </row>
    <row r="1932" spans="2:2" ht="15.5" x14ac:dyDescent="0.35">
      <c r="B1932" s="167"/>
    </row>
    <row r="1933" spans="2:2" ht="15.5" x14ac:dyDescent="0.35">
      <c r="B1933" s="167"/>
    </row>
    <row r="1934" spans="2:2" ht="15.5" x14ac:dyDescent="0.35">
      <c r="B1934" s="167"/>
    </row>
    <row r="1935" spans="2:2" ht="15.5" x14ac:dyDescent="0.35">
      <c r="B1935" s="167"/>
    </row>
    <row r="1936" spans="2:2" ht="15.5" x14ac:dyDescent="0.35">
      <c r="B1936" s="167"/>
    </row>
    <row r="1937" spans="2:2" ht="15.5" x14ac:dyDescent="0.35">
      <c r="B1937" s="167"/>
    </row>
    <row r="1938" spans="2:2" ht="15.5" x14ac:dyDescent="0.35">
      <c r="B1938" s="167"/>
    </row>
    <row r="1939" spans="2:2" ht="15.5" x14ac:dyDescent="0.35">
      <c r="B1939" s="167"/>
    </row>
    <row r="1940" spans="2:2" ht="15.5" x14ac:dyDescent="0.35">
      <c r="B1940" s="167"/>
    </row>
    <row r="1941" spans="2:2" ht="15.5" x14ac:dyDescent="0.35">
      <c r="B1941" s="167"/>
    </row>
    <row r="1942" spans="2:2" ht="15.5" x14ac:dyDescent="0.35">
      <c r="B1942" s="167"/>
    </row>
    <row r="1943" spans="2:2" ht="15.5" x14ac:dyDescent="0.35">
      <c r="B1943" s="167"/>
    </row>
    <row r="1944" spans="2:2" ht="15.5" x14ac:dyDescent="0.35">
      <c r="B1944" s="167"/>
    </row>
    <row r="1945" spans="2:2" ht="15.5" x14ac:dyDescent="0.35">
      <c r="B1945" s="167"/>
    </row>
    <row r="1946" spans="2:2" ht="15.5" x14ac:dyDescent="0.35">
      <c r="B1946" s="167"/>
    </row>
    <row r="1947" spans="2:2" ht="15.5" x14ac:dyDescent="0.35">
      <c r="B1947" s="167"/>
    </row>
    <row r="1948" spans="2:2" ht="15.5" x14ac:dyDescent="0.35">
      <c r="B1948" s="167"/>
    </row>
    <row r="1949" spans="2:2" ht="15.5" x14ac:dyDescent="0.35">
      <c r="B1949" s="167"/>
    </row>
    <row r="1950" spans="2:2" ht="15.5" x14ac:dyDescent="0.35">
      <c r="B1950" s="167"/>
    </row>
    <row r="1951" spans="2:2" ht="15.5" x14ac:dyDescent="0.35">
      <c r="B1951" s="167"/>
    </row>
    <row r="1952" spans="2:2" ht="15.5" x14ac:dyDescent="0.35">
      <c r="B1952" s="167"/>
    </row>
    <row r="1953" spans="2:2" ht="15.5" x14ac:dyDescent="0.35">
      <c r="B1953" s="167"/>
    </row>
    <row r="1954" spans="2:2" ht="15.5" x14ac:dyDescent="0.35">
      <c r="B1954" s="167"/>
    </row>
    <row r="1955" spans="2:2" ht="15.5" x14ac:dyDescent="0.35">
      <c r="B1955" s="167"/>
    </row>
    <row r="1956" spans="2:2" ht="15.5" x14ac:dyDescent="0.35">
      <c r="B1956" s="167"/>
    </row>
    <row r="1957" spans="2:2" ht="15.5" x14ac:dyDescent="0.35">
      <c r="B1957" s="167"/>
    </row>
    <row r="1958" spans="2:2" ht="15.5" x14ac:dyDescent="0.35">
      <c r="B1958" s="167"/>
    </row>
    <row r="1959" spans="2:2" ht="15.5" x14ac:dyDescent="0.35">
      <c r="B1959" s="167"/>
    </row>
    <row r="1960" spans="2:2" ht="15.5" x14ac:dyDescent="0.35">
      <c r="B1960" s="167"/>
    </row>
    <row r="1961" spans="2:2" ht="15.5" x14ac:dyDescent="0.35">
      <c r="B1961" s="167"/>
    </row>
    <row r="1962" spans="2:2" ht="15.5" x14ac:dyDescent="0.35">
      <c r="B1962" s="167"/>
    </row>
    <row r="1963" spans="2:2" ht="15.5" x14ac:dyDescent="0.35">
      <c r="B1963" s="167"/>
    </row>
    <row r="1964" spans="2:2" ht="15.5" x14ac:dyDescent="0.35">
      <c r="B1964" s="167"/>
    </row>
    <row r="1965" spans="2:2" ht="15.5" x14ac:dyDescent="0.35">
      <c r="B1965" s="167"/>
    </row>
    <row r="1966" spans="2:2" ht="15.5" x14ac:dyDescent="0.35">
      <c r="B1966" s="167"/>
    </row>
    <row r="1967" spans="2:2" ht="15.5" x14ac:dyDescent="0.35">
      <c r="B1967" s="167"/>
    </row>
    <row r="1968" spans="2:2" ht="15.5" x14ac:dyDescent="0.35">
      <c r="B1968" s="167"/>
    </row>
    <row r="1969" spans="2:2" ht="15.5" x14ac:dyDescent="0.35">
      <c r="B1969" s="167"/>
    </row>
    <row r="1970" spans="2:2" ht="15.5" x14ac:dyDescent="0.35">
      <c r="B1970" s="167"/>
    </row>
    <row r="1971" spans="2:2" ht="15.5" x14ac:dyDescent="0.35">
      <c r="B1971" s="167"/>
    </row>
    <row r="1972" spans="2:2" ht="15.5" x14ac:dyDescent="0.35">
      <c r="B1972" s="167"/>
    </row>
    <row r="1973" spans="2:2" ht="15.5" x14ac:dyDescent="0.35">
      <c r="B1973" s="167"/>
    </row>
    <row r="1974" spans="2:2" ht="15.5" x14ac:dyDescent="0.35">
      <c r="B1974" s="167"/>
    </row>
    <row r="1975" spans="2:2" ht="15.5" x14ac:dyDescent="0.35">
      <c r="B1975" s="167"/>
    </row>
    <row r="1976" spans="2:2" ht="15.5" x14ac:dyDescent="0.35">
      <c r="B1976" s="167"/>
    </row>
    <row r="1977" spans="2:2" ht="15.5" x14ac:dyDescent="0.35">
      <c r="B1977" s="167"/>
    </row>
    <row r="1978" spans="2:2" ht="15.5" x14ac:dyDescent="0.35">
      <c r="B1978" s="167"/>
    </row>
    <row r="1979" spans="2:2" ht="15.5" x14ac:dyDescent="0.35">
      <c r="B1979" s="167"/>
    </row>
    <row r="1980" spans="2:2" ht="15.5" x14ac:dyDescent="0.35">
      <c r="B1980" s="167"/>
    </row>
    <row r="1981" spans="2:2" ht="15.5" x14ac:dyDescent="0.35">
      <c r="B1981" s="167"/>
    </row>
    <row r="1982" spans="2:2" ht="15.5" x14ac:dyDescent="0.35">
      <c r="B1982" s="167"/>
    </row>
    <row r="1983" spans="2:2" ht="15.5" x14ac:dyDescent="0.35">
      <c r="B1983" s="167"/>
    </row>
    <row r="1984" spans="2:2" ht="15.5" x14ac:dyDescent="0.35">
      <c r="B1984" s="167"/>
    </row>
    <row r="1985" spans="2:2" ht="15.5" x14ac:dyDescent="0.35">
      <c r="B1985" s="167"/>
    </row>
    <row r="1986" spans="2:2" ht="15.5" x14ac:dyDescent="0.35">
      <c r="B1986" s="167"/>
    </row>
    <row r="1987" spans="2:2" ht="15.5" x14ac:dyDescent="0.35">
      <c r="B1987" s="167"/>
    </row>
    <row r="1988" spans="2:2" ht="15.5" x14ac:dyDescent="0.35">
      <c r="B1988" s="167"/>
    </row>
    <row r="1989" spans="2:2" ht="15.5" x14ac:dyDescent="0.35">
      <c r="B1989" s="167"/>
    </row>
    <row r="1990" spans="2:2" ht="15.5" x14ac:dyDescent="0.35">
      <c r="B1990" s="167"/>
    </row>
    <row r="1991" spans="2:2" ht="15.5" x14ac:dyDescent="0.35">
      <c r="B1991" s="167"/>
    </row>
    <row r="1992" spans="2:2" ht="15.5" x14ac:dyDescent="0.35">
      <c r="B1992" s="167"/>
    </row>
    <row r="1993" spans="2:2" ht="15.5" x14ac:dyDescent="0.35">
      <c r="B1993" s="167"/>
    </row>
    <row r="1994" spans="2:2" ht="15.5" x14ac:dyDescent="0.35">
      <c r="B1994" s="167"/>
    </row>
    <row r="1995" spans="2:2" ht="15.5" x14ac:dyDescent="0.35">
      <c r="B1995" s="167"/>
    </row>
    <row r="1996" spans="2:2" ht="15.5" x14ac:dyDescent="0.35">
      <c r="B1996" s="167"/>
    </row>
    <row r="1997" spans="2:2" ht="15.5" x14ac:dyDescent="0.35">
      <c r="B1997" s="167"/>
    </row>
    <row r="1998" spans="2:2" ht="15.5" x14ac:dyDescent="0.35">
      <c r="B1998" s="167"/>
    </row>
    <row r="1999" spans="2:2" ht="15.5" x14ac:dyDescent="0.35">
      <c r="B1999" s="167"/>
    </row>
    <row r="2000" spans="2:2" ht="15.5" x14ac:dyDescent="0.35">
      <c r="B2000" s="167"/>
    </row>
    <row r="2001" spans="2:2" ht="15.5" x14ac:dyDescent="0.35">
      <c r="B2001" s="167"/>
    </row>
    <row r="2002" spans="2:2" ht="15.5" x14ac:dyDescent="0.35">
      <c r="B2002" s="167"/>
    </row>
    <row r="2003" spans="2:2" ht="15.5" x14ac:dyDescent="0.35">
      <c r="B2003" s="167"/>
    </row>
    <row r="2004" spans="2:2" ht="15.5" x14ac:dyDescent="0.35">
      <c r="B2004" s="167"/>
    </row>
    <row r="2005" spans="2:2" ht="15.5" x14ac:dyDescent="0.35">
      <c r="B2005" s="167"/>
    </row>
    <row r="2006" spans="2:2" ht="15.5" x14ac:dyDescent="0.35">
      <c r="B2006" s="167"/>
    </row>
    <row r="2007" spans="2:2" ht="15.5" x14ac:dyDescent="0.35">
      <c r="B2007" s="167"/>
    </row>
    <row r="2008" spans="2:2" ht="15.5" x14ac:dyDescent="0.35">
      <c r="B2008" s="167"/>
    </row>
    <row r="2009" spans="2:2" ht="15.5" x14ac:dyDescent="0.35">
      <c r="B2009" s="167"/>
    </row>
    <row r="2010" spans="2:2" ht="15.5" x14ac:dyDescent="0.35">
      <c r="B2010" s="167"/>
    </row>
    <row r="2011" spans="2:2" ht="15.5" x14ac:dyDescent="0.35">
      <c r="B2011" s="167"/>
    </row>
    <row r="2012" spans="2:2" ht="15.5" x14ac:dyDescent="0.35">
      <c r="B2012" s="167"/>
    </row>
    <row r="2013" spans="2:2" ht="15.5" x14ac:dyDescent="0.35">
      <c r="B2013" s="167"/>
    </row>
    <row r="2014" spans="2:2" ht="15.5" x14ac:dyDescent="0.35">
      <c r="B2014" s="167"/>
    </row>
    <row r="2015" spans="2:2" ht="15.5" x14ac:dyDescent="0.35">
      <c r="B2015" s="167"/>
    </row>
    <row r="2016" spans="2:2" ht="15.5" x14ac:dyDescent="0.35">
      <c r="B2016" s="167"/>
    </row>
    <row r="2017" spans="2:2" ht="15.5" x14ac:dyDescent="0.35">
      <c r="B2017" s="167"/>
    </row>
    <row r="2018" spans="2:2" ht="15.5" x14ac:dyDescent="0.35">
      <c r="B2018" s="167"/>
    </row>
    <row r="2019" spans="2:2" ht="15.5" x14ac:dyDescent="0.35">
      <c r="B2019" s="167"/>
    </row>
    <row r="2020" spans="2:2" ht="15.5" x14ac:dyDescent="0.35">
      <c r="B2020" s="167"/>
    </row>
    <row r="2021" spans="2:2" ht="15.5" x14ac:dyDescent="0.35">
      <c r="B2021" s="167"/>
    </row>
    <row r="2022" spans="2:2" ht="15.5" x14ac:dyDescent="0.35">
      <c r="B2022" s="167"/>
    </row>
    <row r="2023" spans="2:2" ht="15.5" x14ac:dyDescent="0.35">
      <c r="B2023" s="167"/>
    </row>
    <row r="2024" spans="2:2" ht="15.5" x14ac:dyDescent="0.35">
      <c r="B2024" s="167"/>
    </row>
    <row r="2025" spans="2:2" ht="15.5" x14ac:dyDescent="0.35">
      <c r="B2025" s="167"/>
    </row>
    <row r="2026" spans="2:2" ht="15.5" x14ac:dyDescent="0.35">
      <c r="B2026" s="167"/>
    </row>
    <row r="2027" spans="2:2" ht="15.5" x14ac:dyDescent="0.35">
      <c r="B2027" s="167"/>
    </row>
    <row r="2028" spans="2:2" ht="15.5" x14ac:dyDescent="0.35">
      <c r="B2028" s="167"/>
    </row>
    <row r="2029" spans="2:2" ht="15.5" x14ac:dyDescent="0.35">
      <c r="B2029" s="167"/>
    </row>
    <row r="2030" spans="2:2" ht="15.5" x14ac:dyDescent="0.35">
      <c r="B2030" s="167"/>
    </row>
    <row r="2031" spans="2:2" ht="15.5" x14ac:dyDescent="0.35">
      <c r="B2031" s="167"/>
    </row>
    <row r="2032" spans="2:2" ht="15.5" x14ac:dyDescent="0.35">
      <c r="B2032" s="167"/>
    </row>
    <row r="2033" spans="2:2" ht="15.5" x14ac:dyDescent="0.35">
      <c r="B2033" s="167"/>
    </row>
    <row r="2034" spans="2:2" ht="15.5" x14ac:dyDescent="0.35">
      <c r="B2034" s="167"/>
    </row>
    <row r="2035" spans="2:2" ht="15.5" x14ac:dyDescent="0.35">
      <c r="B2035" s="167"/>
    </row>
    <row r="2036" spans="2:2" ht="15.5" x14ac:dyDescent="0.35">
      <c r="B2036" s="167"/>
    </row>
    <row r="2037" spans="2:2" ht="15.5" x14ac:dyDescent="0.35">
      <c r="B2037" s="167"/>
    </row>
    <row r="2038" spans="2:2" ht="15.5" x14ac:dyDescent="0.35">
      <c r="B2038" s="167"/>
    </row>
    <row r="2039" spans="2:2" ht="15.5" x14ac:dyDescent="0.35">
      <c r="B2039" s="167"/>
    </row>
    <row r="2040" spans="2:2" ht="15.5" x14ac:dyDescent="0.35">
      <c r="B2040" s="167"/>
    </row>
    <row r="2041" spans="2:2" ht="15.5" x14ac:dyDescent="0.35">
      <c r="B2041" s="167"/>
    </row>
    <row r="2042" spans="2:2" ht="15.5" x14ac:dyDescent="0.35">
      <c r="B2042" s="167"/>
    </row>
    <row r="2043" spans="2:2" ht="15.5" x14ac:dyDescent="0.35">
      <c r="B2043" s="167"/>
    </row>
    <row r="2044" spans="2:2" ht="15.5" x14ac:dyDescent="0.35">
      <c r="B2044" s="167"/>
    </row>
    <row r="2045" spans="2:2" ht="15.5" x14ac:dyDescent="0.35">
      <c r="B2045" s="167"/>
    </row>
    <row r="2046" spans="2:2" ht="15.5" x14ac:dyDescent="0.35">
      <c r="B2046" s="167"/>
    </row>
    <row r="2047" spans="2:2" ht="15.5" x14ac:dyDescent="0.35">
      <c r="B2047" s="167"/>
    </row>
    <row r="2048" spans="2:2" ht="15.5" x14ac:dyDescent="0.35">
      <c r="B2048" s="167"/>
    </row>
    <row r="2049" spans="2:2" ht="15.5" x14ac:dyDescent="0.35">
      <c r="B2049" s="167"/>
    </row>
    <row r="2050" spans="2:2" ht="15.5" x14ac:dyDescent="0.35">
      <c r="B2050" s="167"/>
    </row>
    <row r="2051" spans="2:2" ht="15.5" x14ac:dyDescent="0.35">
      <c r="B2051" s="167"/>
    </row>
    <row r="2052" spans="2:2" ht="15.5" x14ac:dyDescent="0.35">
      <c r="B2052" s="167"/>
    </row>
    <row r="2053" spans="2:2" ht="15.5" x14ac:dyDescent="0.35">
      <c r="B2053" s="167"/>
    </row>
    <row r="2054" spans="2:2" ht="15.5" x14ac:dyDescent="0.35">
      <c r="B2054" s="167"/>
    </row>
    <row r="2055" spans="2:2" ht="15.5" x14ac:dyDescent="0.35">
      <c r="B2055" s="167"/>
    </row>
    <row r="2056" spans="2:2" ht="15.5" x14ac:dyDescent="0.35">
      <c r="B2056" s="167"/>
    </row>
    <row r="2057" spans="2:2" ht="15.5" x14ac:dyDescent="0.35">
      <c r="B2057" s="167"/>
    </row>
    <row r="2058" spans="2:2" ht="15.5" x14ac:dyDescent="0.35">
      <c r="B2058" s="167"/>
    </row>
    <row r="2059" spans="2:2" ht="15.5" x14ac:dyDescent="0.35">
      <c r="B2059" s="167"/>
    </row>
    <row r="2060" spans="2:2" ht="15.5" x14ac:dyDescent="0.35">
      <c r="B2060" s="167"/>
    </row>
    <row r="2061" spans="2:2" ht="15.5" x14ac:dyDescent="0.35">
      <c r="B2061" s="167"/>
    </row>
    <row r="2062" spans="2:2" ht="15.5" x14ac:dyDescent="0.35">
      <c r="B2062" s="167"/>
    </row>
    <row r="2063" spans="2:2" ht="15.5" x14ac:dyDescent="0.35">
      <c r="B2063" s="167"/>
    </row>
    <row r="2064" spans="2:2" ht="15.5" x14ac:dyDescent="0.35">
      <c r="B2064" s="167"/>
    </row>
    <row r="2065" spans="2:2" ht="15.5" x14ac:dyDescent="0.35">
      <c r="B2065" s="167"/>
    </row>
    <row r="2066" spans="2:2" ht="15.5" x14ac:dyDescent="0.35">
      <c r="B2066" s="167"/>
    </row>
    <row r="2067" spans="2:2" ht="15.5" x14ac:dyDescent="0.35">
      <c r="B2067" s="167"/>
    </row>
    <row r="2068" spans="2:2" ht="15.5" x14ac:dyDescent="0.35">
      <c r="B2068" s="167"/>
    </row>
    <row r="2069" spans="2:2" ht="15.5" x14ac:dyDescent="0.35">
      <c r="B2069" s="167"/>
    </row>
    <row r="2070" spans="2:2" ht="15.5" x14ac:dyDescent="0.35">
      <c r="B2070" s="167"/>
    </row>
    <row r="2071" spans="2:2" ht="15.5" x14ac:dyDescent="0.35">
      <c r="B2071" s="167"/>
    </row>
    <row r="2072" spans="2:2" ht="15.5" x14ac:dyDescent="0.35">
      <c r="B2072" s="167"/>
    </row>
    <row r="2073" spans="2:2" ht="15.5" x14ac:dyDescent="0.35">
      <c r="B2073" s="167"/>
    </row>
    <row r="2074" spans="2:2" ht="15.5" x14ac:dyDescent="0.35">
      <c r="B2074" s="167"/>
    </row>
    <row r="2075" spans="2:2" ht="15.5" x14ac:dyDescent="0.35">
      <c r="B2075" s="167"/>
    </row>
    <row r="2076" spans="2:2" ht="15.5" x14ac:dyDescent="0.35">
      <c r="B2076" s="167"/>
    </row>
    <row r="2077" spans="2:2" ht="15.5" x14ac:dyDescent="0.35">
      <c r="B2077" s="167"/>
    </row>
    <row r="2078" spans="2:2" ht="15.5" x14ac:dyDescent="0.35">
      <c r="B2078" s="167"/>
    </row>
    <row r="2079" spans="2:2" ht="15.5" x14ac:dyDescent="0.35">
      <c r="B2079" s="167"/>
    </row>
    <row r="2080" spans="2:2" ht="15.5" x14ac:dyDescent="0.35">
      <c r="B2080" s="167"/>
    </row>
    <row r="2081" spans="2:2" ht="15.5" x14ac:dyDescent="0.35">
      <c r="B2081" s="167"/>
    </row>
    <row r="2082" spans="2:2" ht="15.5" x14ac:dyDescent="0.35">
      <c r="B2082" s="167"/>
    </row>
    <row r="2083" spans="2:2" ht="15.5" x14ac:dyDescent="0.35">
      <c r="B2083" s="167"/>
    </row>
    <row r="2084" spans="2:2" ht="15.5" x14ac:dyDescent="0.35">
      <c r="B2084" s="167"/>
    </row>
    <row r="2085" spans="2:2" ht="15.5" x14ac:dyDescent="0.35">
      <c r="B2085" s="167"/>
    </row>
    <row r="2086" spans="2:2" ht="15.5" x14ac:dyDescent="0.35">
      <c r="B2086" s="167"/>
    </row>
    <row r="2087" spans="2:2" ht="15.5" x14ac:dyDescent="0.35">
      <c r="B2087" s="167"/>
    </row>
    <row r="2088" spans="2:2" ht="15.5" x14ac:dyDescent="0.35">
      <c r="B2088" s="167"/>
    </row>
    <row r="2089" spans="2:2" ht="15.5" x14ac:dyDescent="0.35">
      <c r="B2089" s="167"/>
    </row>
    <row r="2090" spans="2:2" ht="15.5" x14ac:dyDescent="0.35">
      <c r="B2090" s="167"/>
    </row>
    <row r="2091" spans="2:2" ht="15.5" x14ac:dyDescent="0.35">
      <c r="B2091" s="167"/>
    </row>
    <row r="2092" spans="2:2" ht="15.5" x14ac:dyDescent="0.35">
      <c r="B2092" s="167"/>
    </row>
    <row r="2093" spans="2:2" ht="15.5" x14ac:dyDescent="0.35">
      <c r="B2093" s="167"/>
    </row>
    <row r="2094" spans="2:2" ht="15.5" x14ac:dyDescent="0.35">
      <c r="B2094" s="167"/>
    </row>
    <row r="2095" spans="2:2" ht="15.5" x14ac:dyDescent="0.35">
      <c r="B2095" s="167"/>
    </row>
    <row r="2096" spans="2:2" ht="15.5" x14ac:dyDescent="0.35">
      <c r="B2096" s="167"/>
    </row>
    <row r="2097" spans="2:2" ht="15.5" x14ac:dyDescent="0.35">
      <c r="B2097" s="167"/>
    </row>
    <row r="2098" spans="2:2" ht="15.5" x14ac:dyDescent="0.35">
      <c r="B2098" s="167"/>
    </row>
    <row r="2099" spans="2:2" ht="15.5" x14ac:dyDescent="0.35">
      <c r="B2099" s="167"/>
    </row>
    <row r="2100" spans="2:2" ht="15.5" x14ac:dyDescent="0.35">
      <c r="B2100" s="167"/>
    </row>
    <row r="2101" spans="2:2" ht="15.5" x14ac:dyDescent="0.35">
      <c r="B2101" s="167"/>
    </row>
    <row r="2102" spans="2:2" ht="15.5" x14ac:dyDescent="0.35">
      <c r="B2102" s="167"/>
    </row>
    <row r="2103" spans="2:2" ht="15.5" x14ac:dyDescent="0.35">
      <c r="B2103" s="167"/>
    </row>
    <row r="2104" spans="2:2" ht="15.5" x14ac:dyDescent="0.35">
      <c r="B2104" s="167"/>
    </row>
    <row r="2105" spans="2:2" ht="15.5" x14ac:dyDescent="0.35">
      <c r="B2105" s="167"/>
    </row>
    <row r="2106" spans="2:2" ht="15.5" x14ac:dyDescent="0.35">
      <c r="B2106" s="167"/>
    </row>
    <row r="2107" spans="2:2" ht="15.5" x14ac:dyDescent="0.35">
      <c r="B2107" s="167"/>
    </row>
    <row r="2108" spans="2:2" ht="15.5" x14ac:dyDescent="0.35">
      <c r="B2108" s="167"/>
    </row>
    <row r="2109" spans="2:2" ht="15.5" x14ac:dyDescent="0.35">
      <c r="B2109" s="167"/>
    </row>
    <row r="2110" spans="2:2" ht="15.5" x14ac:dyDescent="0.35">
      <c r="B2110" s="167"/>
    </row>
    <row r="2111" spans="2:2" ht="15.5" x14ac:dyDescent="0.35">
      <c r="B2111" s="167"/>
    </row>
    <row r="2112" spans="2:2" ht="15.5" x14ac:dyDescent="0.35">
      <c r="B2112" s="167"/>
    </row>
    <row r="2113" spans="2:2" ht="15.5" x14ac:dyDescent="0.35">
      <c r="B2113" s="167"/>
    </row>
    <row r="2114" spans="2:2" ht="15.5" x14ac:dyDescent="0.35">
      <c r="B2114" s="167"/>
    </row>
    <row r="2115" spans="2:2" ht="15.5" x14ac:dyDescent="0.35">
      <c r="B2115" s="167"/>
    </row>
    <row r="2116" spans="2:2" ht="15.5" x14ac:dyDescent="0.35">
      <c r="B2116" s="167"/>
    </row>
    <row r="2117" spans="2:2" ht="15.5" x14ac:dyDescent="0.35">
      <c r="B2117" s="167"/>
    </row>
    <row r="2118" spans="2:2" ht="15.5" x14ac:dyDescent="0.35">
      <c r="B2118" s="167"/>
    </row>
    <row r="2119" spans="2:2" ht="15.5" x14ac:dyDescent="0.35">
      <c r="B2119" s="167"/>
    </row>
    <row r="2120" spans="2:2" ht="15.5" x14ac:dyDescent="0.35">
      <c r="B2120" s="167"/>
    </row>
    <row r="2121" spans="2:2" ht="15.5" x14ac:dyDescent="0.35">
      <c r="B2121" s="167"/>
    </row>
    <row r="2122" spans="2:2" ht="15.5" x14ac:dyDescent="0.35">
      <c r="B2122" s="167"/>
    </row>
    <row r="2123" spans="2:2" ht="15.5" x14ac:dyDescent="0.35">
      <c r="B2123" s="167"/>
    </row>
    <row r="2124" spans="2:2" ht="15.5" x14ac:dyDescent="0.35">
      <c r="B2124" s="167"/>
    </row>
    <row r="2125" spans="2:2" ht="15.5" x14ac:dyDescent="0.35">
      <c r="B2125" s="167"/>
    </row>
    <row r="2126" spans="2:2" ht="15.5" x14ac:dyDescent="0.35">
      <c r="B2126" s="167"/>
    </row>
    <row r="2127" spans="2:2" ht="15.5" x14ac:dyDescent="0.35">
      <c r="B2127" s="167"/>
    </row>
    <row r="2128" spans="2:2" ht="15.5" x14ac:dyDescent="0.35">
      <c r="B2128" s="167"/>
    </row>
    <row r="2129" spans="2:2" ht="15.5" x14ac:dyDescent="0.35">
      <c r="B2129" s="167"/>
    </row>
    <row r="2130" spans="2:2" ht="15.5" x14ac:dyDescent="0.35">
      <c r="B2130" s="167"/>
    </row>
    <row r="2131" spans="2:2" ht="15.5" x14ac:dyDescent="0.35">
      <c r="B2131" s="167"/>
    </row>
    <row r="2132" spans="2:2" ht="15.5" x14ac:dyDescent="0.35">
      <c r="B2132" s="167"/>
    </row>
    <row r="2133" spans="2:2" ht="15.5" x14ac:dyDescent="0.35">
      <c r="B2133" s="167"/>
    </row>
    <row r="2134" spans="2:2" ht="15.5" x14ac:dyDescent="0.35">
      <c r="B2134" s="167"/>
    </row>
    <row r="2135" spans="2:2" ht="15.5" x14ac:dyDescent="0.35">
      <c r="B2135" s="167"/>
    </row>
    <row r="2136" spans="2:2" ht="15.5" x14ac:dyDescent="0.35">
      <c r="B2136" s="167"/>
    </row>
    <row r="2137" spans="2:2" ht="15.5" x14ac:dyDescent="0.35">
      <c r="B2137" s="167"/>
    </row>
    <row r="2138" spans="2:2" ht="15.5" x14ac:dyDescent="0.35">
      <c r="B2138" s="167"/>
    </row>
    <row r="2139" spans="2:2" ht="15.5" x14ac:dyDescent="0.35">
      <c r="B2139" s="167"/>
    </row>
    <row r="2140" spans="2:2" ht="15.5" x14ac:dyDescent="0.35">
      <c r="B2140" s="167"/>
    </row>
    <row r="2141" spans="2:2" ht="15.5" x14ac:dyDescent="0.35">
      <c r="B2141" s="167"/>
    </row>
    <row r="2142" spans="2:2" ht="15.5" x14ac:dyDescent="0.35">
      <c r="B2142" s="167"/>
    </row>
    <row r="2143" spans="2:2" ht="15.5" x14ac:dyDescent="0.35">
      <c r="B2143" s="167"/>
    </row>
    <row r="2144" spans="2:2" ht="15.5" x14ac:dyDescent="0.35">
      <c r="B2144" s="167"/>
    </row>
    <row r="2145" spans="2:2" ht="15.5" x14ac:dyDescent="0.35">
      <c r="B2145" s="167"/>
    </row>
    <row r="2146" spans="2:2" ht="15.5" x14ac:dyDescent="0.35">
      <c r="B2146" s="167"/>
    </row>
    <row r="2147" spans="2:2" ht="15.5" x14ac:dyDescent="0.35">
      <c r="B2147" s="167"/>
    </row>
    <row r="2148" spans="2:2" ht="15.5" x14ac:dyDescent="0.35">
      <c r="B2148" s="167"/>
    </row>
    <row r="2149" spans="2:2" ht="15.5" x14ac:dyDescent="0.35">
      <c r="B2149" s="167"/>
    </row>
    <row r="2150" spans="2:2" ht="15.5" x14ac:dyDescent="0.35">
      <c r="B2150" s="167"/>
    </row>
    <row r="2151" spans="2:2" ht="15.5" x14ac:dyDescent="0.35">
      <c r="B2151" s="167"/>
    </row>
    <row r="2152" spans="2:2" ht="15.5" x14ac:dyDescent="0.35">
      <c r="B2152" s="167"/>
    </row>
    <row r="2153" spans="2:2" ht="15.5" x14ac:dyDescent="0.35">
      <c r="B2153" s="167"/>
    </row>
    <row r="2154" spans="2:2" ht="15.5" x14ac:dyDescent="0.35">
      <c r="B2154" s="167"/>
    </row>
    <row r="2155" spans="2:2" ht="15.5" x14ac:dyDescent="0.35">
      <c r="B2155" s="167"/>
    </row>
    <row r="2156" spans="2:2" ht="15.5" x14ac:dyDescent="0.35">
      <c r="B2156" s="167"/>
    </row>
    <row r="2157" spans="2:2" ht="15.5" x14ac:dyDescent="0.35">
      <c r="B2157" s="167"/>
    </row>
    <row r="2158" spans="2:2" ht="15.5" x14ac:dyDescent="0.35">
      <c r="B2158" s="167"/>
    </row>
    <row r="2159" spans="2:2" ht="15.5" x14ac:dyDescent="0.35">
      <c r="B2159" s="167"/>
    </row>
    <row r="2160" spans="2:2" ht="15.5" x14ac:dyDescent="0.35">
      <c r="B2160" s="167"/>
    </row>
    <row r="2161" spans="2:2" ht="15.5" x14ac:dyDescent="0.35">
      <c r="B2161" s="167"/>
    </row>
    <row r="2162" spans="2:2" ht="15.5" x14ac:dyDescent="0.35">
      <c r="B2162" s="167"/>
    </row>
    <row r="2163" spans="2:2" ht="15.5" x14ac:dyDescent="0.35">
      <c r="B2163" s="167"/>
    </row>
    <row r="2164" spans="2:2" ht="15.5" x14ac:dyDescent="0.35">
      <c r="B2164" s="167"/>
    </row>
    <row r="2165" spans="2:2" ht="15.5" x14ac:dyDescent="0.35">
      <c r="B2165" s="167"/>
    </row>
    <row r="2166" spans="2:2" ht="15.5" x14ac:dyDescent="0.35">
      <c r="B2166" s="167"/>
    </row>
    <row r="2167" spans="2:2" ht="15.5" x14ac:dyDescent="0.35">
      <c r="B2167" s="167"/>
    </row>
    <row r="2168" spans="2:2" ht="15.5" x14ac:dyDescent="0.35">
      <c r="B2168" s="167"/>
    </row>
    <row r="2169" spans="2:2" ht="15.5" x14ac:dyDescent="0.35">
      <c r="B2169" s="167"/>
    </row>
    <row r="2170" spans="2:2" ht="15.5" x14ac:dyDescent="0.35">
      <c r="B2170" s="167"/>
    </row>
    <row r="2171" spans="2:2" ht="15.5" x14ac:dyDescent="0.35">
      <c r="B2171" s="167"/>
    </row>
    <row r="2172" spans="2:2" ht="15.5" x14ac:dyDescent="0.35">
      <c r="B2172" s="167"/>
    </row>
    <row r="2173" spans="2:2" ht="15.5" x14ac:dyDescent="0.35">
      <c r="B2173" s="167"/>
    </row>
    <row r="2174" spans="2:2" ht="15.5" x14ac:dyDescent="0.35">
      <c r="B2174" s="167"/>
    </row>
    <row r="2175" spans="2:2" ht="15.5" x14ac:dyDescent="0.35">
      <c r="B2175" s="167"/>
    </row>
    <row r="2176" spans="2:2" ht="15.5" x14ac:dyDescent="0.35">
      <c r="B2176" s="167"/>
    </row>
    <row r="2177" spans="2:2" ht="15.5" x14ac:dyDescent="0.35">
      <c r="B2177" s="167"/>
    </row>
    <row r="2178" spans="2:2" ht="15.5" x14ac:dyDescent="0.35">
      <c r="B2178" s="167"/>
    </row>
    <row r="2179" spans="2:2" ht="15.5" x14ac:dyDescent="0.35">
      <c r="B2179" s="167"/>
    </row>
    <row r="2180" spans="2:2" ht="15.5" x14ac:dyDescent="0.35">
      <c r="B2180" s="167"/>
    </row>
    <row r="2181" spans="2:2" ht="15.5" x14ac:dyDescent="0.35">
      <c r="B2181" s="167"/>
    </row>
    <row r="2182" spans="2:2" ht="15.5" x14ac:dyDescent="0.35">
      <c r="B2182" s="167"/>
    </row>
    <row r="2183" spans="2:2" ht="15.5" x14ac:dyDescent="0.35">
      <c r="B2183" s="167"/>
    </row>
    <row r="2184" spans="2:2" ht="15.5" x14ac:dyDescent="0.35">
      <c r="B2184" s="167"/>
    </row>
    <row r="2185" spans="2:2" ht="15.5" x14ac:dyDescent="0.35">
      <c r="B2185" s="167"/>
    </row>
    <row r="2186" spans="2:2" ht="15.5" x14ac:dyDescent="0.35">
      <c r="B2186" s="167"/>
    </row>
    <row r="2187" spans="2:2" ht="15.5" x14ac:dyDescent="0.35">
      <c r="B2187" s="167"/>
    </row>
    <row r="2188" spans="2:2" ht="15.5" x14ac:dyDescent="0.35">
      <c r="B2188" s="167"/>
    </row>
    <row r="2189" spans="2:2" ht="15.5" x14ac:dyDescent="0.35">
      <c r="B2189" s="167"/>
    </row>
    <row r="2190" spans="2:2" ht="15.5" x14ac:dyDescent="0.35">
      <c r="B2190" s="167"/>
    </row>
    <row r="2191" spans="2:2" ht="15.5" x14ac:dyDescent="0.35">
      <c r="B2191" s="167"/>
    </row>
    <row r="2192" spans="2:2" ht="15.5" x14ac:dyDescent="0.35">
      <c r="B2192" s="167"/>
    </row>
    <row r="2193" spans="2:2" ht="15.5" x14ac:dyDescent="0.35">
      <c r="B2193" s="167"/>
    </row>
    <row r="2194" spans="2:2" ht="15.5" x14ac:dyDescent="0.35">
      <c r="B2194" s="167"/>
    </row>
    <row r="2195" spans="2:2" ht="15.5" x14ac:dyDescent="0.35">
      <c r="B2195" s="167"/>
    </row>
    <row r="2196" spans="2:2" ht="15.5" x14ac:dyDescent="0.35">
      <c r="B2196" s="167"/>
    </row>
    <row r="2197" spans="2:2" ht="15.5" x14ac:dyDescent="0.35">
      <c r="B2197" s="167"/>
    </row>
    <row r="2198" spans="2:2" ht="15.5" x14ac:dyDescent="0.35">
      <c r="B2198" s="167"/>
    </row>
    <row r="2199" spans="2:2" ht="15.5" x14ac:dyDescent="0.35">
      <c r="B2199" s="167"/>
    </row>
    <row r="2200" spans="2:2" ht="15.5" x14ac:dyDescent="0.35">
      <c r="B2200" s="167"/>
    </row>
    <row r="2201" spans="2:2" ht="15.5" x14ac:dyDescent="0.35">
      <c r="B2201" s="167"/>
    </row>
    <row r="2202" spans="2:2" ht="15.5" x14ac:dyDescent="0.35">
      <c r="B2202" s="167"/>
    </row>
    <row r="2203" spans="2:2" ht="15.5" x14ac:dyDescent="0.35">
      <c r="B2203" s="167"/>
    </row>
    <row r="2204" spans="2:2" ht="15.5" x14ac:dyDescent="0.35">
      <c r="B2204" s="167"/>
    </row>
    <row r="2205" spans="2:2" ht="15.5" x14ac:dyDescent="0.35">
      <c r="B2205" s="167"/>
    </row>
    <row r="2206" spans="2:2" ht="15.5" x14ac:dyDescent="0.35">
      <c r="B2206" s="167"/>
    </row>
    <row r="2207" spans="2:2" ht="15.5" x14ac:dyDescent="0.35">
      <c r="B2207" s="167"/>
    </row>
    <row r="2208" spans="2:2" ht="15.5" x14ac:dyDescent="0.35">
      <c r="B2208" s="167"/>
    </row>
    <row r="2209" spans="2:2" ht="15.5" x14ac:dyDescent="0.35">
      <c r="B2209" s="167"/>
    </row>
    <row r="2210" spans="2:2" ht="15.5" x14ac:dyDescent="0.35">
      <c r="B2210" s="167"/>
    </row>
    <row r="2211" spans="2:2" ht="15.5" x14ac:dyDescent="0.35">
      <c r="B2211" s="167"/>
    </row>
    <row r="2212" spans="2:2" ht="15.5" x14ac:dyDescent="0.35">
      <c r="B2212" s="167"/>
    </row>
    <row r="2213" spans="2:2" ht="15.5" x14ac:dyDescent="0.35">
      <c r="B2213" s="167"/>
    </row>
    <row r="2214" spans="2:2" ht="15.5" x14ac:dyDescent="0.35">
      <c r="B2214" s="167"/>
    </row>
    <row r="2215" spans="2:2" ht="15.5" x14ac:dyDescent="0.35">
      <c r="B2215" s="167"/>
    </row>
    <row r="2216" spans="2:2" ht="15.5" x14ac:dyDescent="0.35">
      <c r="B2216" s="167"/>
    </row>
    <row r="2217" spans="2:2" ht="15.5" x14ac:dyDescent="0.35">
      <c r="B2217" s="167"/>
    </row>
    <row r="2218" spans="2:2" ht="15.5" x14ac:dyDescent="0.35">
      <c r="B2218" s="167"/>
    </row>
    <row r="2219" spans="2:2" ht="15.5" x14ac:dyDescent="0.35">
      <c r="B2219" s="167"/>
    </row>
    <row r="2220" spans="2:2" ht="15.5" x14ac:dyDescent="0.35">
      <c r="B2220" s="167"/>
    </row>
    <row r="2221" spans="2:2" ht="15.5" x14ac:dyDescent="0.35">
      <c r="B2221" s="167"/>
    </row>
    <row r="2222" spans="2:2" ht="15.5" x14ac:dyDescent="0.35">
      <c r="B2222" s="167"/>
    </row>
    <row r="2223" spans="2:2" ht="15.5" x14ac:dyDescent="0.35">
      <c r="B2223" s="167"/>
    </row>
    <row r="2224" spans="2:2" ht="15.5" x14ac:dyDescent="0.35">
      <c r="B2224" s="167"/>
    </row>
    <row r="2225" spans="2:2" ht="15.5" x14ac:dyDescent="0.35">
      <c r="B2225" s="167"/>
    </row>
    <row r="2226" spans="2:2" ht="15.5" x14ac:dyDescent="0.35">
      <c r="B2226" s="167"/>
    </row>
    <row r="2227" spans="2:2" ht="15.5" x14ac:dyDescent="0.35">
      <c r="B2227" s="167"/>
    </row>
    <row r="2228" spans="2:2" ht="15.5" x14ac:dyDescent="0.35">
      <c r="B2228" s="167"/>
    </row>
    <row r="2229" spans="2:2" ht="15.5" x14ac:dyDescent="0.35">
      <c r="B2229" s="167"/>
    </row>
    <row r="2230" spans="2:2" ht="15.5" x14ac:dyDescent="0.35">
      <c r="B2230" s="167"/>
    </row>
    <row r="2231" spans="2:2" ht="15.5" x14ac:dyDescent="0.35">
      <c r="B2231" s="167"/>
    </row>
    <row r="2232" spans="2:2" ht="15.5" x14ac:dyDescent="0.35">
      <c r="B2232" s="167"/>
    </row>
    <row r="2233" spans="2:2" ht="15.5" x14ac:dyDescent="0.35">
      <c r="B2233" s="167"/>
    </row>
    <row r="2234" spans="2:2" ht="15.5" x14ac:dyDescent="0.35">
      <c r="B2234" s="167"/>
    </row>
    <row r="2235" spans="2:2" ht="15.5" x14ac:dyDescent="0.35">
      <c r="B2235" s="167"/>
    </row>
    <row r="2236" spans="2:2" ht="15.5" x14ac:dyDescent="0.35">
      <c r="B2236" s="167"/>
    </row>
    <row r="2237" spans="2:2" ht="15.5" x14ac:dyDescent="0.35">
      <c r="B2237" s="167"/>
    </row>
    <row r="2238" spans="2:2" ht="15.5" x14ac:dyDescent="0.35">
      <c r="B2238" s="167"/>
    </row>
    <row r="2239" spans="2:2" ht="15.5" x14ac:dyDescent="0.35">
      <c r="B2239" s="167"/>
    </row>
    <row r="2240" spans="2:2" ht="15.5" x14ac:dyDescent="0.35">
      <c r="B2240" s="167"/>
    </row>
    <row r="2241" spans="2:2" ht="15.5" x14ac:dyDescent="0.35">
      <c r="B2241" s="167"/>
    </row>
    <row r="2242" spans="2:2" ht="15.5" x14ac:dyDescent="0.35">
      <c r="B2242" s="167"/>
    </row>
    <row r="2243" spans="2:2" ht="15.5" x14ac:dyDescent="0.35">
      <c r="B2243" s="167"/>
    </row>
    <row r="2244" spans="2:2" ht="15.5" x14ac:dyDescent="0.35">
      <c r="B2244" s="167"/>
    </row>
    <row r="2245" spans="2:2" ht="15.5" x14ac:dyDescent="0.35">
      <c r="B2245" s="167"/>
    </row>
    <row r="2246" spans="2:2" ht="15.5" x14ac:dyDescent="0.35">
      <c r="B2246" s="167"/>
    </row>
    <row r="2247" spans="2:2" ht="15.5" x14ac:dyDescent="0.35">
      <c r="B2247" s="167"/>
    </row>
    <row r="2248" spans="2:2" ht="15.5" x14ac:dyDescent="0.35">
      <c r="B2248" s="167"/>
    </row>
    <row r="2249" spans="2:2" ht="15.5" x14ac:dyDescent="0.35">
      <c r="B2249" s="167"/>
    </row>
    <row r="2250" spans="2:2" ht="15.5" x14ac:dyDescent="0.35">
      <c r="B2250" s="167"/>
    </row>
    <row r="2251" spans="2:2" ht="15.5" x14ac:dyDescent="0.35">
      <c r="B2251" s="167"/>
    </row>
    <row r="2252" spans="2:2" ht="15.5" x14ac:dyDescent="0.35">
      <c r="B2252" s="167"/>
    </row>
    <row r="2253" spans="2:2" ht="15.5" x14ac:dyDescent="0.35">
      <c r="B2253" s="167"/>
    </row>
    <row r="2254" spans="2:2" ht="15.5" x14ac:dyDescent="0.35">
      <c r="B2254" s="167"/>
    </row>
    <row r="2255" spans="2:2" ht="15.5" x14ac:dyDescent="0.35">
      <c r="B2255" s="167"/>
    </row>
    <row r="2256" spans="2:2" ht="15.5" x14ac:dyDescent="0.35">
      <c r="B2256" s="167"/>
    </row>
    <row r="2257" spans="2:2" ht="15.5" x14ac:dyDescent="0.35">
      <c r="B2257" s="167"/>
    </row>
    <row r="2258" spans="2:2" ht="15.5" x14ac:dyDescent="0.35">
      <c r="B2258" s="167"/>
    </row>
    <row r="2259" spans="2:2" ht="15.5" x14ac:dyDescent="0.35">
      <c r="B2259" s="167"/>
    </row>
    <row r="2260" spans="2:2" ht="15.5" x14ac:dyDescent="0.35">
      <c r="B2260" s="167"/>
    </row>
    <row r="2261" spans="2:2" ht="15.5" x14ac:dyDescent="0.35">
      <c r="B2261" s="167"/>
    </row>
    <row r="2262" spans="2:2" ht="15.5" x14ac:dyDescent="0.35">
      <c r="B2262" s="167"/>
    </row>
    <row r="2263" spans="2:2" ht="15.5" x14ac:dyDescent="0.35">
      <c r="B2263" s="167"/>
    </row>
    <row r="2264" spans="2:2" ht="15.5" x14ac:dyDescent="0.35">
      <c r="B2264" s="167"/>
    </row>
    <row r="2265" spans="2:2" ht="15.5" x14ac:dyDescent="0.35">
      <c r="B2265" s="167"/>
    </row>
    <row r="2266" spans="2:2" ht="15.5" x14ac:dyDescent="0.35">
      <c r="B2266" s="167"/>
    </row>
    <row r="2267" spans="2:2" ht="15.5" x14ac:dyDescent="0.35">
      <c r="B2267" s="167"/>
    </row>
    <row r="2268" spans="2:2" ht="15.5" x14ac:dyDescent="0.35">
      <c r="B2268" s="167"/>
    </row>
    <row r="2269" spans="2:2" ht="15.5" x14ac:dyDescent="0.35">
      <c r="B2269" s="167"/>
    </row>
    <row r="2270" spans="2:2" ht="15.5" x14ac:dyDescent="0.35">
      <c r="B2270" s="167"/>
    </row>
    <row r="2271" spans="2:2" ht="15.5" x14ac:dyDescent="0.35">
      <c r="B2271" s="167"/>
    </row>
    <row r="2272" spans="2:2" ht="15.5" x14ac:dyDescent="0.35">
      <c r="B2272" s="167"/>
    </row>
    <row r="2273" spans="2:2" ht="15.5" x14ac:dyDescent="0.35">
      <c r="B2273" s="167"/>
    </row>
    <row r="2274" spans="2:2" ht="15.5" x14ac:dyDescent="0.35">
      <c r="B2274" s="167"/>
    </row>
    <row r="2275" spans="2:2" ht="15.5" x14ac:dyDescent="0.35">
      <c r="B2275" s="167"/>
    </row>
    <row r="2276" spans="2:2" ht="15.5" x14ac:dyDescent="0.35">
      <c r="B2276" s="167"/>
    </row>
    <row r="2277" spans="2:2" ht="15.5" x14ac:dyDescent="0.35">
      <c r="B2277" s="167"/>
    </row>
    <row r="2278" spans="2:2" ht="15.5" x14ac:dyDescent="0.35">
      <c r="B2278" s="167"/>
    </row>
    <row r="2279" spans="2:2" ht="15.5" x14ac:dyDescent="0.35">
      <c r="B2279" s="167"/>
    </row>
    <row r="2280" spans="2:2" ht="15.5" x14ac:dyDescent="0.35">
      <c r="B2280" s="167"/>
    </row>
    <row r="2281" spans="2:2" ht="15.5" x14ac:dyDescent="0.35">
      <c r="B2281" s="167"/>
    </row>
    <row r="2282" spans="2:2" ht="15.5" x14ac:dyDescent="0.35">
      <c r="B2282" s="167"/>
    </row>
    <row r="2283" spans="2:2" ht="15.5" x14ac:dyDescent="0.35">
      <c r="B2283" s="167"/>
    </row>
    <row r="2284" spans="2:2" ht="15.5" x14ac:dyDescent="0.35">
      <c r="B2284" s="167"/>
    </row>
    <row r="2285" spans="2:2" ht="15.5" x14ac:dyDescent="0.35">
      <c r="B2285" s="167"/>
    </row>
    <row r="2286" spans="2:2" ht="15.5" x14ac:dyDescent="0.35">
      <c r="B2286" s="167"/>
    </row>
    <row r="2287" spans="2:2" ht="15.5" x14ac:dyDescent="0.35">
      <c r="B2287" s="167"/>
    </row>
    <row r="2288" spans="2:2" ht="15.5" x14ac:dyDescent="0.35">
      <c r="B2288" s="167"/>
    </row>
    <row r="2289" spans="2:2" ht="15.5" x14ac:dyDescent="0.35">
      <c r="B2289" s="167"/>
    </row>
    <row r="2290" spans="2:2" ht="15.5" x14ac:dyDescent="0.35">
      <c r="B2290" s="167"/>
    </row>
    <row r="2291" spans="2:2" ht="15.5" x14ac:dyDescent="0.35">
      <c r="B2291" s="167"/>
    </row>
    <row r="2292" spans="2:2" ht="15.5" x14ac:dyDescent="0.35">
      <c r="B2292" s="167"/>
    </row>
    <row r="2293" spans="2:2" ht="15.5" x14ac:dyDescent="0.35">
      <c r="B2293" s="167"/>
    </row>
    <row r="2294" spans="2:2" ht="15.5" x14ac:dyDescent="0.35">
      <c r="B2294" s="167"/>
    </row>
    <row r="2295" spans="2:2" ht="15.5" x14ac:dyDescent="0.35">
      <c r="B2295" s="167"/>
    </row>
    <row r="2296" spans="2:2" ht="15.5" x14ac:dyDescent="0.35">
      <c r="B2296" s="167"/>
    </row>
    <row r="2297" spans="2:2" ht="15.5" x14ac:dyDescent="0.35">
      <c r="B2297" s="167"/>
    </row>
    <row r="2298" spans="2:2" ht="15.5" x14ac:dyDescent="0.35">
      <c r="B2298" s="167"/>
    </row>
    <row r="2299" spans="2:2" ht="15.5" x14ac:dyDescent="0.35">
      <c r="B2299" s="167"/>
    </row>
    <row r="2300" spans="2:2" ht="15.5" x14ac:dyDescent="0.35">
      <c r="B2300" s="167"/>
    </row>
    <row r="2301" spans="2:2" ht="15.5" x14ac:dyDescent="0.35">
      <c r="B2301" s="167"/>
    </row>
    <row r="2302" spans="2:2" ht="15.5" x14ac:dyDescent="0.35">
      <c r="B2302" s="167"/>
    </row>
    <row r="2303" spans="2:2" ht="15.5" x14ac:dyDescent="0.35">
      <c r="B2303" s="167"/>
    </row>
    <row r="2304" spans="2:2" ht="15.5" x14ac:dyDescent="0.35">
      <c r="B2304" s="167"/>
    </row>
    <row r="2305" spans="2:2" ht="15.5" x14ac:dyDescent="0.35">
      <c r="B2305" s="167"/>
    </row>
    <row r="2306" spans="2:2" ht="15.5" x14ac:dyDescent="0.35">
      <c r="B2306" s="167"/>
    </row>
    <row r="2307" spans="2:2" ht="15.5" x14ac:dyDescent="0.35">
      <c r="B2307" s="167"/>
    </row>
    <row r="2308" spans="2:2" ht="15.5" x14ac:dyDescent="0.35">
      <c r="B2308" s="167"/>
    </row>
    <row r="2309" spans="2:2" ht="15.5" x14ac:dyDescent="0.35">
      <c r="B2309" s="167"/>
    </row>
    <row r="2310" spans="2:2" ht="15.5" x14ac:dyDescent="0.35">
      <c r="B2310" s="167"/>
    </row>
    <row r="2311" spans="2:2" ht="15.5" x14ac:dyDescent="0.35">
      <c r="B2311" s="167"/>
    </row>
    <row r="2312" spans="2:2" ht="15.5" x14ac:dyDescent="0.35">
      <c r="B2312" s="167"/>
    </row>
    <row r="2313" spans="2:2" ht="15.5" x14ac:dyDescent="0.35">
      <c r="B2313" s="167"/>
    </row>
    <row r="2314" spans="2:2" ht="15.5" x14ac:dyDescent="0.35">
      <c r="B2314" s="167"/>
    </row>
    <row r="2315" spans="2:2" ht="15.5" x14ac:dyDescent="0.35">
      <c r="B2315" s="167"/>
    </row>
    <row r="2316" spans="2:2" ht="15.5" x14ac:dyDescent="0.35">
      <c r="B2316" s="167"/>
    </row>
    <row r="2317" spans="2:2" ht="15.5" x14ac:dyDescent="0.35">
      <c r="B2317" s="167"/>
    </row>
    <row r="2318" spans="2:2" ht="15.5" x14ac:dyDescent="0.35">
      <c r="B2318" s="167"/>
    </row>
    <row r="2319" spans="2:2" ht="15.5" x14ac:dyDescent="0.35">
      <c r="B2319" s="167"/>
    </row>
    <row r="2320" spans="2:2" ht="15.5" x14ac:dyDescent="0.35">
      <c r="B2320" s="167"/>
    </row>
    <row r="2321" spans="2:2" ht="15.5" x14ac:dyDescent="0.35">
      <c r="B2321" s="167"/>
    </row>
    <row r="2322" spans="2:2" ht="15.5" x14ac:dyDescent="0.35">
      <c r="B2322" s="167"/>
    </row>
    <row r="2323" spans="2:2" ht="15.5" x14ac:dyDescent="0.35">
      <c r="B2323" s="167"/>
    </row>
    <row r="2324" spans="2:2" ht="15.5" x14ac:dyDescent="0.35">
      <c r="B2324" s="167"/>
    </row>
    <row r="2325" spans="2:2" ht="15.5" x14ac:dyDescent="0.35">
      <c r="B2325" s="167"/>
    </row>
    <row r="2326" spans="2:2" ht="15.5" x14ac:dyDescent="0.35">
      <c r="B2326" s="167"/>
    </row>
    <row r="2327" spans="2:2" ht="15.5" x14ac:dyDescent="0.35">
      <c r="B2327" s="167"/>
    </row>
    <row r="2328" spans="2:2" ht="15.5" x14ac:dyDescent="0.35">
      <c r="B2328" s="167"/>
    </row>
    <row r="2329" spans="2:2" ht="15.5" x14ac:dyDescent="0.35">
      <c r="B2329" s="167"/>
    </row>
    <row r="2330" spans="2:2" ht="15.5" x14ac:dyDescent="0.35">
      <c r="B2330" s="167"/>
    </row>
    <row r="2331" spans="2:2" ht="15.5" x14ac:dyDescent="0.35">
      <c r="B2331" s="167"/>
    </row>
    <row r="2332" spans="2:2" ht="15.5" x14ac:dyDescent="0.35">
      <c r="B2332" s="167"/>
    </row>
    <row r="2333" spans="2:2" ht="15.5" x14ac:dyDescent="0.35">
      <c r="B2333" s="167"/>
    </row>
    <row r="2334" spans="2:2" ht="15.5" x14ac:dyDescent="0.35">
      <c r="B2334" s="167"/>
    </row>
    <row r="2335" spans="2:2" ht="15.5" x14ac:dyDescent="0.35">
      <c r="B2335" s="167"/>
    </row>
    <row r="2336" spans="2:2" ht="15.5" x14ac:dyDescent="0.35">
      <c r="B2336" s="167"/>
    </row>
    <row r="2337" spans="2:2" ht="15.5" x14ac:dyDescent="0.35">
      <c r="B2337" s="167"/>
    </row>
    <row r="2338" spans="2:2" ht="15.5" x14ac:dyDescent="0.35">
      <c r="B2338" s="167"/>
    </row>
    <row r="2339" spans="2:2" ht="15.5" x14ac:dyDescent="0.35">
      <c r="B2339" s="167"/>
    </row>
    <row r="2340" spans="2:2" ht="15.5" x14ac:dyDescent="0.35">
      <c r="B2340" s="167"/>
    </row>
    <row r="2341" spans="2:2" ht="15.5" x14ac:dyDescent="0.35">
      <c r="B2341" s="167"/>
    </row>
    <row r="2342" spans="2:2" ht="15.5" x14ac:dyDescent="0.35">
      <c r="B2342" s="167"/>
    </row>
    <row r="2343" spans="2:2" ht="15.5" x14ac:dyDescent="0.35">
      <c r="B2343" s="167"/>
    </row>
    <row r="2344" spans="2:2" ht="15.5" x14ac:dyDescent="0.35">
      <c r="B2344" s="167"/>
    </row>
    <row r="2345" spans="2:2" ht="15.5" x14ac:dyDescent="0.35">
      <c r="B2345" s="167"/>
    </row>
    <row r="2346" spans="2:2" ht="15.5" x14ac:dyDescent="0.35">
      <c r="B2346" s="167"/>
    </row>
    <row r="2347" spans="2:2" ht="15.5" x14ac:dyDescent="0.35">
      <c r="B2347" s="167"/>
    </row>
    <row r="2348" spans="2:2" ht="15.5" x14ac:dyDescent="0.35">
      <c r="B2348" s="167"/>
    </row>
    <row r="2349" spans="2:2" ht="15.5" x14ac:dyDescent="0.35">
      <c r="B2349" s="167"/>
    </row>
    <row r="2350" spans="2:2" ht="15.5" x14ac:dyDescent="0.35">
      <c r="B2350" s="167"/>
    </row>
    <row r="2351" spans="2:2" ht="15.5" x14ac:dyDescent="0.35">
      <c r="B2351" s="167"/>
    </row>
    <row r="2352" spans="2:2" ht="15.5" x14ac:dyDescent="0.35">
      <c r="B2352" s="167"/>
    </row>
    <row r="2353" spans="2:2" ht="15.5" x14ac:dyDescent="0.35">
      <c r="B2353" s="167"/>
    </row>
    <row r="2354" spans="2:2" ht="15.5" x14ac:dyDescent="0.35">
      <c r="B2354" s="167"/>
    </row>
    <row r="2355" spans="2:2" ht="15.5" x14ac:dyDescent="0.35">
      <c r="B2355" s="167"/>
    </row>
    <row r="2356" spans="2:2" ht="15.5" x14ac:dyDescent="0.35">
      <c r="B2356" s="167"/>
    </row>
    <row r="2357" spans="2:2" ht="15.5" x14ac:dyDescent="0.35">
      <c r="B2357" s="167"/>
    </row>
    <row r="2358" spans="2:2" ht="15.5" x14ac:dyDescent="0.35">
      <c r="B2358" s="167"/>
    </row>
    <row r="2359" spans="2:2" ht="15.5" x14ac:dyDescent="0.35">
      <c r="B2359" s="167"/>
    </row>
    <row r="2360" spans="2:2" ht="15.5" x14ac:dyDescent="0.35">
      <c r="B2360" s="167"/>
    </row>
    <row r="2361" spans="2:2" ht="15.5" x14ac:dyDescent="0.35">
      <c r="B2361" s="167"/>
    </row>
    <row r="2362" spans="2:2" ht="15.5" x14ac:dyDescent="0.35">
      <c r="B2362" s="167"/>
    </row>
    <row r="2363" spans="2:2" ht="15.5" x14ac:dyDescent="0.35">
      <c r="B2363" s="167"/>
    </row>
    <row r="2364" spans="2:2" ht="15.5" x14ac:dyDescent="0.35">
      <c r="B2364" s="167"/>
    </row>
    <row r="2365" spans="2:2" ht="15.5" x14ac:dyDescent="0.35">
      <c r="B2365" s="167"/>
    </row>
    <row r="2366" spans="2:2" ht="15.5" x14ac:dyDescent="0.35">
      <c r="B2366" s="167"/>
    </row>
    <row r="2367" spans="2:2" ht="15.5" x14ac:dyDescent="0.35">
      <c r="B2367" s="167"/>
    </row>
    <row r="2368" spans="2:2" ht="15.5" x14ac:dyDescent="0.35">
      <c r="B2368" s="167"/>
    </row>
    <row r="2369" spans="2:2" ht="15.5" x14ac:dyDescent="0.35">
      <c r="B2369" s="167"/>
    </row>
    <row r="2370" spans="2:2" ht="15.5" x14ac:dyDescent="0.35">
      <c r="B2370" s="167"/>
    </row>
    <row r="2371" spans="2:2" ht="15.5" x14ac:dyDescent="0.35">
      <c r="B2371" s="167"/>
    </row>
    <row r="2372" spans="2:2" ht="15.5" x14ac:dyDescent="0.35">
      <c r="B2372" s="167"/>
    </row>
    <row r="2373" spans="2:2" ht="15.5" x14ac:dyDescent="0.35">
      <c r="B2373" s="167"/>
    </row>
    <row r="2374" spans="2:2" ht="15.5" x14ac:dyDescent="0.35">
      <c r="B2374" s="167"/>
    </row>
    <row r="2375" spans="2:2" ht="15.5" x14ac:dyDescent="0.35">
      <c r="B2375" s="167"/>
    </row>
    <row r="2376" spans="2:2" ht="15.5" x14ac:dyDescent="0.35">
      <c r="B2376" s="167"/>
    </row>
    <row r="2377" spans="2:2" ht="15.5" x14ac:dyDescent="0.35">
      <c r="B2377" s="167"/>
    </row>
    <row r="2378" spans="2:2" ht="15.5" x14ac:dyDescent="0.35">
      <c r="B2378" s="167"/>
    </row>
    <row r="2379" spans="2:2" ht="15.5" x14ac:dyDescent="0.35">
      <c r="B2379" s="167"/>
    </row>
    <row r="2380" spans="2:2" ht="15.5" x14ac:dyDescent="0.35">
      <c r="B2380" s="167"/>
    </row>
    <row r="2381" spans="2:2" ht="15.5" x14ac:dyDescent="0.35">
      <c r="B2381" s="167"/>
    </row>
    <row r="2382" spans="2:2" ht="15.5" x14ac:dyDescent="0.35">
      <c r="B2382" s="167"/>
    </row>
    <row r="2383" spans="2:2" ht="15.5" x14ac:dyDescent="0.35">
      <c r="B2383" s="167"/>
    </row>
    <row r="2384" spans="2:2" ht="15.5" x14ac:dyDescent="0.35">
      <c r="B2384" s="167"/>
    </row>
    <row r="2385" spans="2:2" ht="15.5" x14ac:dyDescent="0.35">
      <c r="B2385" s="167"/>
    </row>
    <row r="2386" spans="2:2" ht="15.5" x14ac:dyDescent="0.35">
      <c r="B2386" s="167"/>
    </row>
    <row r="2387" spans="2:2" ht="15.5" x14ac:dyDescent="0.35">
      <c r="B2387" s="167"/>
    </row>
    <row r="2388" spans="2:2" ht="15.5" x14ac:dyDescent="0.35">
      <c r="B2388" s="167"/>
    </row>
    <row r="2389" spans="2:2" ht="15.5" x14ac:dyDescent="0.35">
      <c r="B2389" s="167"/>
    </row>
    <row r="2390" spans="2:2" ht="15.5" x14ac:dyDescent="0.35">
      <c r="B2390" s="167"/>
    </row>
    <row r="2391" spans="2:2" ht="15.5" x14ac:dyDescent="0.35">
      <c r="B2391" s="167"/>
    </row>
    <row r="2392" spans="2:2" ht="15.5" x14ac:dyDescent="0.35">
      <c r="B2392" s="167"/>
    </row>
    <row r="2393" spans="2:2" ht="15.5" x14ac:dyDescent="0.35">
      <c r="B2393" s="167"/>
    </row>
    <row r="2394" spans="2:2" ht="15.5" x14ac:dyDescent="0.35">
      <c r="B2394" s="167"/>
    </row>
    <row r="2395" spans="2:2" ht="15.5" x14ac:dyDescent="0.35">
      <c r="B2395" s="167"/>
    </row>
    <row r="2396" spans="2:2" ht="15.5" x14ac:dyDescent="0.35">
      <c r="B2396" s="167"/>
    </row>
    <row r="2397" spans="2:2" ht="15.5" x14ac:dyDescent="0.35">
      <c r="B2397" s="167"/>
    </row>
    <row r="2398" spans="2:2" ht="15.5" x14ac:dyDescent="0.35">
      <c r="B2398" s="167"/>
    </row>
    <row r="2399" spans="2:2" ht="15.5" x14ac:dyDescent="0.35">
      <c r="B2399" s="167"/>
    </row>
    <row r="2400" spans="2:2" ht="15.5" x14ac:dyDescent="0.35">
      <c r="B2400" s="167"/>
    </row>
    <row r="2401" spans="2:2" ht="15.5" x14ac:dyDescent="0.35">
      <c r="B2401" s="167"/>
    </row>
    <row r="2402" spans="2:2" ht="15.5" x14ac:dyDescent="0.35">
      <c r="B2402" s="167"/>
    </row>
    <row r="2403" spans="2:2" ht="15.5" x14ac:dyDescent="0.35">
      <c r="B2403" s="167"/>
    </row>
    <row r="2404" spans="2:2" ht="15.5" x14ac:dyDescent="0.35">
      <c r="B2404" s="167"/>
    </row>
    <row r="2405" spans="2:2" ht="15.5" x14ac:dyDescent="0.35">
      <c r="B2405" s="167"/>
    </row>
    <row r="2406" spans="2:2" ht="15.5" x14ac:dyDescent="0.35">
      <c r="B2406" s="167"/>
    </row>
    <row r="2407" spans="2:2" ht="15.5" x14ac:dyDescent="0.35">
      <c r="B2407" s="167"/>
    </row>
    <row r="2408" spans="2:2" ht="15.5" x14ac:dyDescent="0.35">
      <c r="B2408" s="167"/>
    </row>
    <row r="2409" spans="2:2" ht="15.5" x14ac:dyDescent="0.35">
      <c r="B2409" s="167"/>
    </row>
    <row r="2410" spans="2:2" ht="15.5" x14ac:dyDescent="0.35">
      <c r="B2410" s="167"/>
    </row>
    <row r="2411" spans="2:2" ht="15.5" x14ac:dyDescent="0.35">
      <c r="B2411" s="167"/>
    </row>
    <row r="2412" spans="2:2" ht="15.5" x14ac:dyDescent="0.35">
      <c r="B2412" s="167"/>
    </row>
    <row r="2413" spans="2:2" ht="15.5" x14ac:dyDescent="0.35">
      <c r="B2413" s="167"/>
    </row>
    <row r="2414" spans="2:2" ht="15.5" x14ac:dyDescent="0.35">
      <c r="B2414" s="167"/>
    </row>
    <row r="2415" spans="2:2" ht="15.5" x14ac:dyDescent="0.35">
      <c r="B2415" s="167"/>
    </row>
    <row r="2416" spans="2:2" ht="15.5" x14ac:dyDescent="0.35">
      <c r="B2416" s="167"/>
    </row>
    <row r="2417" spans="2:2" ht="15.5" x14ac:dyDescent="0.35">
      <c r="B2417" s="167"/>
    </row>
    <row r="2418" spans="2:2" ht="15.5" x14ac:dyDescent="0.35">
      <c r="B2418" s="167"/>
    </row>
    <row r="2419" spans="2:2" ht="15.5" x14ac:dyDescent="0.35">
      <c r="B2419" s="167"/>
    </row>
    <row r="2420" spans="2:2" ht="15.5" x14ac:dyDescent="0.35">
      <c r="B2420" s="167"/>
    </row>
    <row r="2421" spans="2:2" ht="15.5" x14ac:dyDescent="0.35">
      <c r="B2421" s="167"/>
    </row>
    <row r="2422" spans="2:2" ht="15.5" x14ac:dyDescent="0.35">
      <c r="B2422" s="167"/>
    </row>
    <row r="2423" spans="2:2" ht="15.5" x14ac:dyDescent="0.35">
      <c r="B2423" s="167"/>
    </row>
    <row r="2424" spans="2:2" ht="15.5" x14ac:dyDescent="0.35">
      <c r="B2424" s="167"/>
    </row>
    <row r="2425" spans="2:2" ht="15.5" x14ac:dyDescent="0.35">
      <c r="B2425" s="167"/>
    </row>
    <row r="2426" spans="2:2" ht="15.5" x14ac:dyDescent="0.35">
      <c r="B2426" s="167"/>
    </row>
    <row r="2427" spans="2:2" ht="15.5" x14ac:dyDescent="0.35">
      <c r="B2427" s="167"/>
    </row>
    <row r="2428" spans="2:2" ht="15.5" x14ac:dyDescent="0.35">
      <c r="B2428" s="167"/>
    </row>
    <row r="2429" spans="2:2" ht="15.5" x14ac:dyDescent="0.35">
      <c r="B2429" s="167"/>
    </row>
    <row r="2430" spans="2:2" ht="15.5" x14ac:dyDescent="0.35">
      <c r="B2430" s="167"/>
    </row>
    <row r="2431" spans="2:2" ht="15.5" x14ac:dyDescent="0.35">
      <c r="B2431" s="167"/>
    </row>
    <row r="2432" spans="2:2" ht="15.5" x14ac:dyDescent="0.35">
      <c r="B2432" s="167"/>
    </row>
    <row r="2433" spans="2:2" ht="15.5" x14ac:dyDescent="0.35">
      <c r="B2433" s="167"/>
    </row>
    <row r="2434" spans="2:2" ht="15.5" x14ac:dyDescent="0.35">
      <c r="B2434" s="167"/>
    </row>
    <row r="2435" spans="2:2" ht="15.5" x14ac:dyDescent="0.35">
      <c r="B2435" s="167"/>
    </row>
    <row r="2436" spans="2:2" ht="15.5" x14ac:dyDescent="0.35">
      <c r="B2436" s="167"/>
    </row>
    <row r="2437" spans="2:2" ht="15.5" x14ac:dyDescent="0.35">
      <c r="B2437" s="167"/>
    </row>
    <row r="2438" spans="2:2" ht="15.5" x14ac:dyDescent="0.35">
      <c r="B2438" s="167"/>
    </row>
    <row r="2439" spans="2:2" ht="15.5" x14ac:dyDescent="0.35">
      <c r="B2439" s="167"/>
    </row>
    <row r="2440" spans="2:2" ht="15.5" x14ac:dyDescent="0.35">
      <c r="B2440" s="167"/>
    </row>
    <row r="2441" spans="2:2" ht="15.5" x14ac:dyDescent="0.35">
      <c r="B2441" s="167"/>
    </row>
    <row r="2442" spans="2:2" ht="15.5" x14ac:dyDescent="0.35">
      <c r="B2442" s="167"/>
    </row>
    <row r="2443" spans="2:2" ht="15.5" x14ac:dyDescent="0.35">
      <c r="B2443" s="167"/>
    </row>
    <row r="2444" spans="2:2" ht="15.5" x14ac:dyDescent="0.35">
      <c r="B2444" s="167"/>
    </row>
    <row r="2445" spans="2:2" ht="15.5" x14ac:dyDescent="0.35">
      <c r="B2445" s="167"/>
    </row>
    <row r="2446" spans="2:2" ht="15.5" x14ac:dyDescent="0.35">
      <c r="B2446" s="167"/>
    </row>
    <row r="2447" spans="2:2" ht="15.5" x14ac:dyDescent="0.35">
      <c r="B2447" s="167"/>
    </row>
    <row r="2448" spans="2:2" ht="15.5" x14ac:dyDescent="0.35">
      <c r="B2448" s="167"/>
    </row>
    <row r="2449" spans="2:2" ht="15.5" x14ac:dyDescent="0.35">
      <c r="B2449" s="167"/>
    </row>
    <row r="2450" spans="2:2" ht="15.5" x14ac:dyDescent="0.35">
      <c r="B2450" s="167"/>
    </row>
    <row r="2451" spans="2:2" ht="15.5" x14ac:dyDescent="0.35">
      <c r="B2451" s="167"/>
    </row>
    <row r="2452" spans="2:2" ht="15.5" x14ac:dyDescent="0.35">
      <c r="B2452" s="167"/>
    </row>
    <row r="2453" spans="2:2" ht="15.5" x14ac:dyDescent="0.35">
      <c r="B2453" s="167"/>
    </row>
    <row r="2454" spans="2:2" ht="15.5" x14ac:dyDescent="0.35">
      <c r="B2454" s="167"/>
    </row>
    <row r="2455" spans="2:2" ht="15.5" x14ac:dyDescent="0.35">
      <c r="B2455" s="167"/>
    </row>
    <row r="2456" spans="2:2" ht="15.5" x14ac:dyDescent="0.35">
      <c r="B2456" s="167"/>
    </row>
    <row r="2457" spans="2:2" ht="15.5" x14ac:dyDescent="0.35">
      <c r="B2457" s="167"/>
    </row>
    <row r="2458" spans="2:2" ht="15.5" x14ac:dyDescent="0.35">
      <c r="B2458" s="167"/>
    </row>
    <row r="2459" spans="2:2" ht="15.5" x14ac:dyDescent="0.35">
      <c r="B2459" s="167"/>
    </row>
    <row r="2460" spans="2:2" ht="15.5" x14ac:dyDescent="0.35">
      <c r="B2460" s="167"/>
    </row>
    <row r="2461" spans="2:2" ht="15.5" x14ac:dyDescent="0.35">
      <c r="B2461" s="167"/>
    </row>
    <row r="2462" spans="2:2" ht="15.5" x14ac:dyDescent="0.35">
      <c r="B2462" s="167"/>
    </row>
    <row r="2463" spans="2:2" ht="15.5" x14ac:dyDescent="0.35">
      <c r="B2463" s="167"/>
    </row>
    <row r="2464" spans="2:2" ht="15.5" x14ac:dyDescent="0.35">
      <c r="B2464" s="167"/>
    </row>
    <row r="2465" spans="2:2" ht="15.5" x14ac:dyDescent="0.35">
      <c r="B2465" s="167"/>
    </row>
    <row r="2466" spans="2:2" ht="15.5" x14ac:dyDescent="0.35">
      <c r="B2466" s="167"/>
    </row>
    <row r="2467" spans="2:2" ht="15.5" x14ac:dyDescent="0.35">
      <c r="B2467" s="167"/>
    </row>
    <row r="2468" spans="2:2" ht="15.5" x14ac:dyDescent="0.35">
      <c r="B2468" s="167"/>
    </row>
    <row r="2469" spans="2:2" ht="15.5" x14ac:dyDescent="0.35">
      <c r="B2469" s="167"/>
    </row>
    <row r="2470" spans="2:2" ht="15.5" x14ac:dyDescent="0.35">
      <c r="B2470" s="167"/>
    </row>
    <row r="2471" spans="2:2" ht="15.5" x14ac:dyDescent="0.35">
      <c r="B2471" s="167"/>
    </row>
    <row r="2472" spans="2:2" ht="15.5" x14ac:dyDescent="0.35">
      <c r="B2472" s="167"/>
    </row>
    <row r="2473" spans="2:2" ht="15.5" x14ac:dyDescent="0.35">
      <c r="B2473" s="167"/>
    </row>
    <row r="2474" spans="2:2" ht="15.5" x14ac:dyDescent="0.35">
      <c r="B2474" s="167"/>
    </row>
    <row r="2475" spans="2:2" ht="15.5" x14ac:dyDescent="0.35">
      <c r="B2475" s="167"/>
    </row>
    <row r="2476" spans="2:2" ht="15.5" x14ac:dyDescent="0.35">
      <c r="B2476" s="167"/>
    </row>
    <row r="2477" spans="2:2" ht="15.5" x14ac:dyDescent="0.35">
      <c r="B2477" s="167"/>
    </row>
    <row r="2478" spans="2:2" ht="15.5" x14ac:dyDescent="0.35">
      <c r="B2478" s="167"/>
    </row>
    <row r="2479" spans="2:2" ht="15.5" x14ac:dyDescent="0.35">
      <c r="B2479" s="167"/>
    </row>
    <row r="2480" spans="2:2" ht="15.5" x14ac:dyDescent="0.35">
      <c r="B2480" s="167"/>
    </row>
    <row r="2481" spans="2:2" ht="15.5" x14ac:dyDescent="0.35">
      <c r="B2481" s="167"/>
    </row>
    <row r="2482" spans="2:2" ht="15.5" x14ac:dyDescent="0.35">
      <c r="B2482" s="167"/>
    </row>
    <row r="2483" spans="2:2" ht="15.5" x14ac:dyDescent="0.35">
      <c r="B2483" s="167"/>
    </row>
    <row r="2484" spans="2:2" ht="15.5" x14ac:dyDescent="0.35">
      <c r="B2484" s="167"/>
    </row>
    <row r="2485" spans="2:2" ht="15.5" x14ac:dyDescent="0.35">
      <c r="B2485" s="167"/>
    </row>
    <row r="2486" spans="2:2" ht="15.5" x14ac:dyDescent="0.35">
      <c r="B2486" s="167"/>
    </row>
    <row r="2487" spans="2:2" ht="15.5" x14ac:dyDescent="0.35">
      <c r="B2487" s="167"/>
    </row>
    <row r="2488" spans="2:2" ht="15.5" x14ac:dyDescent="0.35">
      <c r="B2488" s="167"/>
    </row>
    <row r="2489" spans="2:2" ht="15.5" x14ac:dyDescent="0.35">
      <c r="B2489" s="167"/>
    </row>
    <row r="2490" spans="2:2" ht="15.5" x14ac:dyDescent="0.35">
      <c r="B2490" s="167"/>
    </row>
    <row r="2491" spans="2:2" ht="15.5" x14ac:dyDescent="0.35">
      <c r="B2491" s="167"/>
    </row>
    <row r="2492" spans="2:2" ht="15.5" x14ac:dyDescent="0.35">
      <c r="B2492" s="167"/>
    </row>
    <row r="2493" spans="2:2" ht="15.5" x14ac:dyDescent="0.35">
      <c r="B2493" s="167"/>
    </row>
    <row r="2494" spans="2:2" ht="15.5" x14ac:dyDescent="0.35">
      <c r="B2494" s="167"/>
    </row>
    <row r="2495" spans="2:2" ht="15.5" x14ac:dyDescent="0.35">
      <c r="B2495" s="167"/>
    </row>
    <row r="2496" spans="2:2" ht="15.5" x14ac:dyDescent="0.35">
      <c r="B2496" s="167"/>
    </row>
    <row r="2497" spans="2:2" ht="15.5" x14ac:dyDescent="0.35">
      <c r="B2497" s="167"/>
    </row>
    <row r="2498" spans="2:2" ht="15.5" x14ac:dyDescent="0.35">
      <c r="B2498" s="167"/>
    </row>
    <row r="2499" spans="2:2" ht="15.5" x14ac:dyDescent="0.35">
      <c r="B2499" s="167"/>
    </row>
    <row r="2500" spans="2:2" ht="15.5" x14ac:dyDescent="0.35">
      <c r="B2500" s="167"/>
    </row>
    <row r="2501" spans="2:2" ht="15.5" x14ac:dyDescent="0.35">
      <c r="B2501" s="167"/>
    </row>
    <row r="2502" spans="2:2" ht="15.5" x14ac:dyDescent="0.35">
      <c r="B2502" s="167"/>
    </row>
    <row r="2503" spans="2:2" ht="15.5" x14ac:dyDescent="0.35">
      <c r="B2503" s="167"/>
    </row>
    <row r="2504" spans="2:2" ht="15.5" x14ac:dyDescent="0.35">
      <c r="B2504" s="167"/>
    </row>
    <row r="2505" spans="2:2" ht="15.5" x14ac:dyDescent="0.35">
      <c r="B2505" s="167"/>
    </row>
    <row r="2506" spans="2:2" ht="15.5" x14ac:dyDescent="0.35">
      <c r="B2506" s="167"/>
    </row>
    <row r="2507" spans="2:2" ht="15.5" x14ac:dyDescent="0.35">
      <c r="B2507" s="167"/>
    </row>
    <row r="2508" spans="2:2" ht="15.5" x14ac:dyDescent="0.35">
      <c r="B2508" s="167"/>
    </row>
    <row r="2509" spans="2:2" ht="15.5" x14ac:dyDescent="0.35">
      <c r="B2509" s="167"/>
    </row>
    <row r="2510" spans="2:2" ht="15.5" x14ac:dyDescent="0.35">
      <c r="B2510" s="167"/>
    </row>
    <row r="2511" spans="2:2" ht="15.5" x14ac:dyDescent="0.35">
      <c r="B2511" s="167"/>
    </row>
    <row r="2512" spans="2:2" ht="15.5" x14ac:dyDescent="0.35">
      <c r="B2512" s="167"/>
    </row>
    <row r="2513" spans="2:2" ht="15.5" x14ac:dyDescent="0.35">
      <c r="B2513" s="167"/>
    </row>
    <row r="2514" spans="2:2" ht="15.5" x14ac:dyDescent="0.35">
      <c r="B2514" s="167"/>
    </row>
    <row r="2515" spans="2:2" ht="15.5" x14ac:dyDescent="0.35">
      <c r="B2515" s="167"/>
    </row>
    <row r="2516" spans="2:2" ht="15.5" x14ac:dyDescent="0.35">
      <c r="B2516" s="167"/>
    </row>
    <row r="2517" spans="2:2" ht="15.5" x14ac:dyDescent="0.35">
      <c r="B2517" s="167"/>
    </row>
    <row r="2518" spans="2:2" ht="15.5" x14ac:dyDescent="0.35">
      <c r="B2518" s="167"/>
    </row>
    <row r="2519" spans="2:2" ht="15.5" x14ac:dyDescent="0.35">
      <c r="B2519" s="167"/>
    </row>
    <row r="2520" spans="2:2" ht="15.5" x14ac:dyDescent="0.35">
      <c r="B2520" s="167"/>
    </row>
    <row r="2521" spans="2:2" ht="15.5" x14ac:dyDescent="0.35">
      <c r="B2521" s="167"/>
    </row>
    <row r="2522" spans="2:2" ht="15.5" x14ac:dyDescent="0.35">
      <c r="B2522" s="167"/>
    </row>
    <row r="2523" spans="2:2" ht="15.5" x14ac:dyDescent="0.35">
      <c r="B2523" s="167"/>
    </row>
    <row r="2524" spans="2:2" ht="15.5" x14ac:dyDescent="0.35">
      <c r="B2524" s="167"/>
    </row>
    <row r="2525" spans="2:2" ht="15.5" x14ac:dyDescent="0.35">
      <c r="B2525" s="167"/>
    </row>
    <row r="2526" spans="2:2" ht="15.5" x14ac:dyDescent="0.35">
      <c r="B2526" s="167"/>
    </row>
    <row r="2527" spans="2:2" ht="15.5" x14ac:dyDescent="0.35">
      <c r="B2527" s="167"/>
    </row>
    <row r="2528" spans="2:2" ht="15.5" x14ac:dyDescent="0.35">
      <c r="B2528" s="167"/>
    </row>
    <row r="2529" spans="2:2" ht="15.5" x14ac:dyDescent="0.35">
      <c r="B2529" s="167"/>
    </row>
    <row r="2530" spans="2:2" ht="15.5" x14ac:dyDescent="0.35">
      <c r="B2530" s="167"/>
    </row>
    <row r="2531" spans="2:2" ht="15.5" x14ac:dyDescent="0.35">
      <c r="B2531" s="167"/>
    </row>
    <row r="2532" spans="2:2" ht="15.5" x14ac:dyDescent="0.35">
      <c r="B2532" s="167"/>
    </row>
    <row r="2533" spans="2:2" ht="15.5" x14ac:dyDescent="0.35">
      <c r="B2533" s="167"/>
    </row>
    <row r="2534" spans="2:2" ht="15.5" x14ac:dyDescent="0.35">
      <c r="B2534" s="167"/>
    </row>
    <row r="2535" spans="2:2" ht="15.5" x14ac:dyDescent="0.35">
      <c r="B2535" s="167"/>
    </row>
    <row r="2536" spans="2:2" ht="15.5" x14ac:dyDescent="0.35">
      <c r="B2536" s="167"/>
    </row>
    <row r="2537" spans="2:2" ht="15.5" x14ac:dyDescent="0.35">
      <c r="B2537" s="167"/>
    </row>
    <row r="2538" spans="2:2" ht="15.5" x14ac:dyDescent="0.35">
      <c r="B2538" s="167"/>
    </row>
    <row r="2539" spans="2:2" ht="15.5" x14ac:dyDescent="0.35">
      <c r="B2539" s="167"/>
    </row>
    <row r="2540" spans="2:2" ht="15.5" x14ac:dyDescent="0.35">
      <c r="B2540" s="167"/>
    </row>
    <row r="2541" spans="2:2" ht="15.5" x14ac:dyDescent="0.35">
      <c r="B2541" s="167"/>
    </row>
    <row r="2542" spans="2:2" ht="15.5" x14ac:dyDescent="0.35">
      <c r="B2542" s="167"/>
    </row>
    <row r="2543" spans="2:2" ht="15.5" x14ac:dyDescent="0.35">
      <c r="B2543" s="167"/>
    </row>
    <row r="2544" spans="2:2" ht="15.5" x14ac:dyDescent="0.35">
      <c r="B2544" s="167"/>
    </row>
    <row r="2545" spans="2:2" ht="15.5" x14ac:dyDescent="0.35">
      <c r="B2545" s="167"/>
    </row>
    <row r="2546" spans="2:2" ht="15.5" x14ac:dyDescent="0.35">
      <c r="B2546" s="167"/>
    </row>
    <row r="2547" spans="2:2" ht="15.5" x14ac:dyDescent="0.35">
      <c r="B2547" s="167"/>
    </row>
    <row r="2548" spans="2:2" ht="15.5" x14ac:dyDescent="0.35">
      <c r="B2548" s="167"/>
    </row>
    <row r="2549" spans="2:2" ht="15.5" x14ac:dyDescent="0.35">
      <c r="B2549" s="167"/>
    </row>
    <row r="2550" spans="2:2" ht="15.5" x14ac:dyDescent="0.35">
      <c r="B2550" s="167"/>
    </row>
    <row r="2551" spans="2:2" ht="15.5" x14ac:dyDescent="0.35">
      <c r="B2551" s="167"/>
    </row>
    <row r="2552" spans="2:2" ht="15.5" x14ac:dyDescent="0.35">
      <c r="B2552" s="167"/>
    </row>
    <row r="2553" spans="2:2" ht="15.5" x14ac:dyDescent="0.35">
      <c r="B2553" s="167"/>
    </row>
    <row r="2554" spans="2:2" ht="15.5" x14ac:dyDescent="0.35">
      <c r="B2554" s="167"/>
    </row>
    <row r="2555" spans="2:2" ht="15.5" x14ac:dyDescent="0.35">
      <c r="B2555" s="167"/>
    </row>
    <row r="2556" spans="2:2" ht="15.5" x14ac:dyDescent="0.35">
      <c r="B2556" s="167"/>
    </row>
    <row r="2557" spans="2:2" ht="15.5" x14ac:dyDescent="0.35">
      <c r="B2557" s="167"/>
    </row>
    <row r="2558" spans="2:2" ht="15.5" x14ac:dyDescent="0.35">
      <c r="B2558" s="167"/>
    </row>
    <row r="2559" spans="2:2" ht="15.5" x14ac:dyDescent="0.35">
      <c r="B2559" s="167"/>
    </row>
    <row r="2560" spans="2:2" ht="15.5" x14ac:dyDescent="0.35">
      <c r="B2560" s="167"/>
    </row>
    <row r="2561" spans="2:2" ht="15.5" x14ac:dyDescent="0.35">
      <c r="B2561" s="167"/>
    </row>
    <row r="2562" spans="2:2" ht="15.5" x14ac:dyDescent="0.35">
      <c r="B2562" s="167"/>
    </row>
    <row r="2563" spans="2:2" ht="15.5" x14ac:dyDescent="0.35">
      <c r="B2563" s="167"/>
    </row>
    <row r="2564" spans="2:2" ht="15.5" x14ac:dyDescent="0.35">
      <c r="B2564" s="167"/>
    </row>
    <row r="2565" spans="2:2" ht="15.5" x14ac:dyDescent="0.35">
      <c r="B2565" s="167"/>
    </row>
    <row r="2566" spans="2:2" ht="15.5" x14ac:dyDescent="0.35">
      <c r="B2566" s="167"/>
    </row>
    <row r="2567" spans="2:2" ht="15.5" x14ac:dyDescent="0.35">
      <c r="B2567" s="167"/>
    </row>
    <row r="2568" spans="2:2" ht="15.5" x14ac:dyDescent="0.35">
      <c r="B2568" s="167"/>
    </row>
    <row r="2569" spans="2:2" ht="15.5" x14ac:dyDescent="0.35">
      <c r="B2569" s="167"/>
    </row>
    <row r="2570" spans="2:2" ht="15.5" x14ac:dyDescent="0.35">
      <c r="B2570" s="167"/>
    </row>
    <row r="2571" spans="2:2" ht="15.5" x14ac:dyDescent="0.35">
      <c r="B2571" s="167"/>
    </row>
    <row r="2572" spans="2:2" ht="15.5" x14ac:dyDescent="0.35">
      <c r="B2572" s="167"/>
    </row>
    <row r="2573" spans="2:2" ht="15.5" x14ac:dyDescent="0.35">
      <c r="B2573" s="167"/>
    </row>
    <row r="2574" spans="2:2" ht="15.5" x14ac:dyDescent="0.35">
      <c r="B2574" s="167"/>
    </row>
    <row r="2575" spans="2:2" ht="15.5" x14ac:dyDescent="0.35">
      <c r="B2575" s="167"/>
    </row>
    <row r="2576" spans="2:2" ht="15.5" x14ac:dyDescent="0.35">
      <c r="B2576" s="167"/>
    </row>
    <row r="2577" spans="2:2" ht="15.5" x14ac:dyDescent="0.35">
      <c r="B2577" s="167"/>
    </row>
    <row r="2578" spans="2:2" ht="15.5" x14ac:dyDescent="0.35">
      <c r="B2578" s="167"/>
    </row>
    <row r="2579" spans="2:2" ht="15.5" x14ac:dyDescent="0.35">
      <c r="B2579" s="167"/>
    </row>
    <row r="2580" spans="2:2" ht="15.5" x14ac:dyDescent="0.35">
      <c r="B2580" s="167"/>
    </row>
    <row r="2581" spans="2:2" ht="15.5" x14ac:dyDescent="0.35">
      <c r="B2581" s="167"/>
    </row>
    <row r="2582" spans="2:2" ht="15.5" x14ac:dyDescent="0.35">
      <c r="B2582" s="167"/>
    </row>
    <row r="2583" spans="2:2" ht="15.5" x14ac:dyDescent="0.35">
      <c r="B2583" s="167"/>
    </row>
    <row r="2584" spans="2:2" ht="15.5" x14ac:dyDescent="0.35">
      <c r="B2584" s="167"/>
    </row>
    <row r="2585" spans="2:2" ht="15.5" x14ac:dyDescent="0.35">
      <c r="B2585" s="167"/>
    </row>
    <row r="2586" spans="2:2" ht="15.5" x14ac:dyDescent="0.35">
      <c r="B2586" s="167"/>
    </row>
    <row r="2587" spans="2:2" ht="15.5" x14ac:dyDescent="0.35">
      <c r="B2587" s="167"/>
    </row>
    <row r="2588" spans="2:2" ht="15.5" x14ac:dyDescent="0.35">
      <c r="B2588" s="167"/>
    </row>
    <row r="2589" spans="2:2" ht="15.5" x14ac:dyDescent="0.35">
      <c r="B2589" s="167"/>
    </row>
    <row r="2590" spans="2:2" ht="15.5" x14ac:dyDescent="0.35">
      <c r="B2590" s="167"/>
    </row>
    <row r="2591" spans="2:2" ht="15.5" x14ac:dyDescent="0.35">
      <c r="B2591" s="167"/>
    </row>
    <row r="2592" spans="2:2" ht="15.5" x14ac:dyDescent="0.35">
      <c r="B2592" s="167"/>
    </row>
    <row r="2593" spans="2:2" ht="15.5" x14ac:dyDescent="0.35">
      <c r="B2593" s="167"/>
    </row>
    <row r="2594" spans="2:2" ht="15.5" x14ac:dyDescent="0.35">
      <c r="B2594" s="167"/>
    </row>
    <row r="2595" spans="2:2" ht="15.5" x14ac:dyDescent="0.35">
      <c r="B2595" s="167"/>
    </row>
    <row r="2596" spans="2:2" ht="15.5" x14ac:dyDescent="0.35">
      <c r="B2596" s="167"/>
    </row>
    <row r="2597" spans="2:2" ht="15.5" x14ac:dyDescent="0.35">
      <c r="B2597" s="167"/>
    </row>
    <row r="2598" spans="2:2" ht="15.5" x14ac:dyDescent="0.35">
      <c r="B2598" s="167"/>
    </row>
    <row r="2599" spans="2:2" ht="15.5" x14ac:dyDescent="0.35">
      <c r="B2599" s="167"/>
    </row>
    <row r="2600" spans="2:2" ht="15.5" x14ac:dyDescent="0.35">
      <c r="B2600" s="167"/>
    </row>
    <row r="2601" spans="2:2" ht="15.5" x14ac:dyDescent="0.35">
      <c r="B2601" s="167"/>
    </row>
    <row r="2602" spans="2:2" ht="15.5" x14ac:dyDescent="0.35">
      <c r="B2602" s="167"/>
    </row>
    <row r="2603" spans="2:2" ht="15.5" x14ac:dyDescent="0.35">
      <c r="B2603" s="167"/>
    </row>
    <row r="2604" spans="2:2" ht="15.5" x14ac:dyDescent="0.35">
      <c r="B2604" s="167"/>
    </row>
    <row r="2605" spans="2:2" ht="15.5" x14ac:dyDescent="0.35">
      <c r="B2605" s="167"/>
    </row>
    <row r="2606" spans="2:2" ht="15.5" x14ac:dyDescent="0.35">
      <c r="B2606" s="167"/>
    </row>
    <row r="2607" spans="2:2" ht="15.5" x14ac:dyDescent="0.35">
      <c r="B2607" s="167"/>
    </row>
    <row r="2608" spans="2:2" ht="15.5" x14ac:dyDescent="0.35">
      <c r="B2608" s="167"/>
    </row>
    <row r="2609" spans="2:2" ht="15.5" x14ac:dyDescent="0.35">
      <c r="B2609" s="167"/>
    </row>
    <row r="2610" spans="2:2" ht="15.5" x14ac:dyDescent="0.35">
      <c r="B2610" s="167"/>
    </row>
    <row r="2611" spans="2:2" ht="15.5" x14ac:dyDescent="0.35">
      <c r="B2611" s="167"/>
    </row>
    <row r="2612" spans="2:2" ht="15.5" x14ac:dyDescent="0.35">
      <c r="B2612" s="167"/>
    </row>
    <row r="2613" spans="2:2" ht="15.5" x14ac:dyDescent="0.35">
      <c r="B2613" s="167"/>
    </row>
    <row r="2614" spans="2:2" ht="15.5" x14ac:dyDescent="0.35">
      <c r="B2614" s="167"/>
    </row>
    <row r="2615" spans="2:2" ht="15.5" x14ac:dyDescent="0.35">
      <c r="B2615" s="167"/>
    </row>
    <row r="2616" spans="2:2" ht="15.5" x14ac:dyDescent="0.35">
      <c r="B2616" s="167"/>
    </row>
    <row r="2617" spans="2:2" ht="15.5" x14ac:dyDescent="0.35">
      <c r="B2617" s="167"/>
    </row>
    <row r="2618" spans="2:2" ht="15.5" x14ac:dyDescent="0.35">
      <c r="B2618" s="167"/>
    </row>
    <row r="2619" spans="2:2" ht="15.5" x14ac:dyDescent="0.35">
      <c r="B2619" s="167"/>
    </row>
    <row r="2620" spans="2:2" ht="15.5" x14ac:dyDescent="0.35">
      <c r="B2620" s="167"/>
    </row>
    <row r="2621" spans="2:2" ht="15.5" x14ac:dyDescent="0.35">
      <c r="B2621" s="167"/>
    </row>
    <row r="2622" spans="2:2" ht="15.5" x14ac:dyDescent="0.35">
      <c r="B2622" s="167"/>
    </row>
    <row r="2623" spans="2:2" ht="15.5" x14ac:dyDescent="0.35">
      <c r="B2623" s="167"/>
    </row>
    <row r="2624" spans="2:2" ht="15.5" x14ac:dyDescent="0.35">
      <c r="B2624" s="167"/>
    </row>
    <row r="2625" spans="2:2" ht="15.5" x14ac:dyDescent="0.35">
      <c r="B2625" s="167"/>
    </row>
    <row r="2626" spans="2:2" ht="15.5" x14ac:dyDescent="0.35">
      <c r="B2626" s="167"/>
    </row>
    <row r="2627" spans="2:2" ht="15.5" x14ac:dyDescent="0.35">
      <c r="B2627" s="167"/>
    </row>
    <row r="2628" spans="2:2" ht="15.5" x14ac:dyDescent="0.35">
      <c r="B2628" s="167"/>
    </row>
    <row r="2629" spans="2:2" ht="15.5" x14ac:dyDescent="0.35">
      <c r="B2629" s="167"/>
    </row>
    <row r="2630" spans="2:2" ht="15.5" x14ac:dyDescent="0.35">
      <c r="B2630" s="167"/>
    </row>
    <row r="2631" spans="2:2" ht="15.5" x14ac:dyDescent="0.35">
      <c r="B2631" s="167"/>
    </row>
    <row r="2632" spans="2:2" ht="15.5" x14ac:dyDescent="0.35">
      <c r="B2632" s="167"/>
    </row>
    <row r="2633" spans="2:2" ht="15.5" x14ac:dyDescent="0.35">
      <c r="B2633" s="167"/>
    </row>
    <row r="2634" spans="2:2" ht="15.5" x14ac:dyDescent="0.35">
      <c r="B2634" s="167"/>
    </row>
    <row r="2635" spans="2:2" ht="15.5" x14ac:dyDescent="0.35">
      <c r="B2635" s="167"/>
    </row>
    <row r="2636" spans="2:2" ht="15.5" x14ac:dyDescent="0.35">
      <c r="B2636" s="167"/>
    </row>
    <row r="2637" spans="2:2" ht="15.5" x14ac:dyDescent="0.35">
      <c r="B2637" s="167"/>
    </row>
    <row r="2638" spans="2:2" ht="15.5" x14ac:dyDescent="0.35">
      <c r="B2638" s="167"/>
    </row>
    <row r="2639" spans="2:2" ht="15.5" x14ac:dyDescent="0.35">
      <c r="B2639" s="167"/>
    </row>
    <row r="2640" spans="2:2" ht="15.5" x14ac:dyDescent="0.35">
      <c r="B2640" s="167"/>
    </row>
    <row r="2641" spans="2:2" ht="15.5" x14ac:dyDescent="0.35">
      <c r="B2641" s="167"/>
    </row>
    <row r="2642" spans="2:2" ht="15.5" x14ac:dyDescent="0.35">
      <c r="B2642" s="167"/>
    </row>
    <row r="2643" spans="2:2" ht="15.5" x14ac:dyDescent="0.35">
      <c r="B2643" s="167"/>
    </row>
    <row r="2644" spans="2:2" ht="15.5" x14ac:dyDescent="0.35">
      <c r="B2644" s="167"/>
    </row>
    <row r="2645" spans="2:2" ht="15.5" x14ac:dyDescent="0.35">
      <c r="B2645" s="167"/>
    </row>
    <row r="2646" spans="2:2" ht="15.5" x14ac:dyDescent="0.35">
      <c r="B2646" s="167"/>
    </row>
    <row r="2647" spans="2:2" ht="15.5" x14ac:dyDescent="0.35">
      <c r="B2647" s="167"/>
    </row>
    <row r="2648" spans="2:2" ht="15.5" x14ac:dyDescent="0.35">
      <c r="B2648" s="167"/>
    </row>
    <row r="2649" spans="2:2" ht="15.5" x14ac:dyDescent="0.35">
      <c r="B2649" s="167"/>
    </row>
    <row r="2650" spans="2:2" ht="15.5" x14ac:dyDescent="0.35">
      <c r="B2650" s="167"/>
    </row>
    <row r="2651" spans="2:2" ht="15.5" x14ac:dyDescent="0.35">
      <c r="B2651" s="167"/>
    </row>
    <row r="2652" spans="2:2" ht="15.5" x14ac:dyDescent="0.35">
      <c r="B2652" s="167"/>
    </row>
    <row r="2653" spans="2:2" ht="15.5" x14ac:dyDescent="0.35">
      <c r="B2653" s="167"/>
    </row>
    <row r="2654" spans="2:2" ht="15.5" x14ac:dyDescent="0.35">
      <c r="B2654" s="167"/>
    </row>
    <row r="2655" spans="2:2" ht="15.5" x14ac:dyDescent="0.35">
      <c r="B2655" s="167"/>
    </row>
    <row r="2656" spans="2:2" ht="15.5" x14ac:dyDescent="0.35">
      <c r="B2656" s="167"/>
    </row>
    <row r="2657" spans="2:2" ht="15.5" x14ac:dyDescent="0.35">
      <c r="B2657" s="167"/>
    </row>
    <row r="2658" spans="2:2" ht="15.5" x14ac:dyDescent="0.35">
      <c r="B2658" s="167"/>
    </row>
    <row r="2659" spans="2:2" ht="15.5" x14ac:dyDescent="0.35">
      <c r="B2659" s="167"/>
    </row>
    <row r="2660" spans="2:2" ht="15.5" x14ac:dyDescent="0.35">
      <c r="B2660" s="167"/>
    </row>
    <row r="2661" spans="2:2" ht="15.5" x14ac:dyDescent="0.35">
      <c r="B2661" s="167"/>
    </row>
    <row r="2662" spans="2:2" ht="15.5" x14ac:dyDescent="0.35">
      <c r="B2662" s="167"/>
    </row>
    <row r="2663" spans="2:2" ht="15.5" x14ac:dyDescent="0.35">
      <c r="B2663" s="167"/>
    </row>
    <row r="2664" spans="2:2" ht="15.5" x14ac:dyDescent="0.35">
      <c r="B2664" s="167"/>
    </row>
    <row r="2665" spans="2:2" ht="15.5" x14ac:dyDescent="0.35">
      <c r="B2665" s="167"/>
    </row>
    <row r="2666" spans="2:2" ht="15.5" x14ac:dyDescent="0.35">
      <c r="B2666" s="167"/>
    </row>
    <row r="2667" spans="2:2" ht="15.5" x14ac:dyDescent="0.35">
      <c r="B2667" s="167"/>
    </row>
    <row r="2668" spans="2:2" ht="15.5" x14ac:dyDescent="0.35">
      <c r="B2668" s="167"/>
    </row>
    <row r="2669" spans="2:2" ht="15.5" x14ac:dyDescent="0.35">
      <c r="B2669" s="167"/>
    </row>
    <row r="2670" spans="2:2" ht="15.5" x14ac:dyDescent="0.35">
      <c r="B2670" s="167"/>
    </row>
    <row r="2671" spans="2:2" ht="15.5" x14ac:dyDescent="0.35">
      <c r="B2671" s="167"/>
    </row>
    <row r="2672" spans="2:2" ht="15.5" x14ac:dyDescent="0.35">
      <c r="B2672" s="167"/>
    </row>
    <row r="2673" spans="2:2" ht="15.5" x14ac:dyDescent="0.35">
      <c r="B2673" s="167"/>
    </row>
    <row r="2674" spans="2:2" ht="15.5" x14ac:dyDescent="0.35">
      <c r="B2674" s="167"/>
    </row>
    <row r="2675" spans="2:2" ht="15.5" x14ac:dyDescent="0.35">
      <c r="B2675" s="167"/>
    </row>
    <row r="2676" spans="2:2" ht="15.5" x14ac:dyDescent="0.35">
      <c r="B2676" s="167"/>
    </row>
    <row r="2677" spans="2:2" ht="15.5" x14ac:dyDescent="0.35">
      <c r="B2677" s="167"/>
    </row>
    <row r="2678" spans="2:2" ht="15.5" x14ac:dyDescent="0.35">
      <c r="B2678" s="167"/>
    </row>
    <row r="2679" spans="2:2" ht="15.5" x14ac:dyDescent="0.35">
      <c r="B2679" s="167"/>
    </row>
    <row r="2680" spans="2:2" ht="15.5" x14ac:dyDescent="0.35">
      <c r="B2680" s="167"/>
    </row>
    <row r="2681" spans="2:2" ht="15.5" x14ac:dyDescent="0.35">
      <c r="B2681" s="167"/>
    </row>
    <row r="2682" spans="2:2" ht="15.5" x14ac:dyDescent="0.35">
      <c r="B2682" s="167"/>
    </row>
    <row r="2683" spans="2:2" ht="15.5" x14ac:dyDescent="0.35">
      <c r="B2683" s="167"/>
    </row>
    <row r="2684" spans="2:2" ht="15.5" x14ac:dyDescent="0.35">
      <c r="B2684" s="167"/>
    </row>
    <row r="2685" spans="2:2" ht="15.5" x14ac:dyDescent="0.35">
      <c r="B2685" s="167"/>
    </row>
    <row r="2686" spans="2:2" ht="15.5" x14ac:dyDescent="0.35">
      <c r="B2686" s="167"/>
    </row>
    <row r="2687" spans="2:2" ht="15.5" x14ac:dyDescent="0.35">
      <c r="B2687" s="167"/>
    </row>
    <row r="2688" spans="2:2" ht="15.5" x14ac:dyDescent="0.35">
      <c r="B2688" s="167"/>
    </row>
    <row r="2689" spans="2:2" ht="15.5" x14ac:dyDescent="0.35">
      <c r="B2689" s="167"/>
    </row>
    <row r="2690" spans="2:2" ht="15.5" x14ac:dyDescent="0.35">
      <c r="B2690" s="167"/>
    </row>
    <row r="2691" spans="2:2" ht="15.5" x14ac:dyDescent="0.35">
      <c r="B2691" s="167"/>
    </row>
    <row r="2692" spans="2:2" ht="15.5" x14ac:dyDescent="0.35">
      <c r="B2692" s="167"/>
    </row>
    <row r="2693" spans="2:2" ht="15.5" x14ac:dyDescent="0.35">
      <c r="B2693" s="167"/>
    </row>
    <row r="2694" spans="2:2" ht="15.5" x14ac:dyDescent="0.35">
      <c r="B2694" s="167"/>
    </row>
    <row r="2695" spans="2:2" ht="15.5" x14ac:dyDescent="0.35">
      <c r="B2695" s="167"/>
    </row>
    <row r="2696" spans="2:2" ht="15.5" x14ac:dyDescent="0.35">
      <c r="B2696" s="167"/>
    </row>
    <row r="2697" spans="2:2" ht="15.5" x14ac:dyDescent="0.35">
      <c r="B2697" s="167"/>
    </row>
    <row r="2698" spans="2:2" ht="15.5" x14ac:dyDescent="0.35">
      <c r="B2698" s="167"/>
    </row>
    <row r="2699" spans="2:2" ht="15.5" x14ac:dyDescent="0.35">
      <c r="B2699" s="167"/>
    </row>
    <row r="2700" spans="2:2" ht="15.5" x14ac:dyDescent="0.35">
      <c r="B2700" s="167"/>
    </row>
    <row r="2701" spans="2:2" ht="15.5" x14ac:dyDescent="0.35">
      <c r="B2701" s="167"/>
    </row>
    <row r="2702" spans="2:2" ht="15.5" x14ac:dyDescent="0.35">
      <c r="B2702" s="167"/>
    </row>
    <row r="2703" spans="2:2" ht="15.5" x14ac:dyDescent="0.35">
      <c r="B2703" s="167"/>
    </row>
    <row r="2704" spans="2:2" ht="15.5" x14ac:dyDescent="0.35">
      <c r="B2704" s="167"/>
    </row>
    <row r="2705" spans="2:2" ht="15.5" x14ac:dyDescent="0.35">
      <c r="B2705" s="167"/>
    </row>
    <row r="2706" spans="2:2" ht="15.5" x14ac:dyDescent="0.35">
      <c r="B2706" s="167"/>
    </row>
    <row r="2707" spans="2:2" ht="15.5" x14ac:dyDescent="0.35">
      <c r="B2707" s="167"/>
    </row>
    <row r="2708" spans="2:2" ht="15.5" x14ac:dyDescent="0.35">
      <c r="B2708" s="167"/>
    </row>
    <row r="2709" spans="2:2" ht="15.5" x14ac:dyDescent="0.35">
      <c r="B2709" s="167"/>
    </row>
    <row r="2710" spans="2:2" ht="15.5" x14ac:dyDescent="0.35">
      <c r="B2710" s="167"/>
    </row>
    <row r="2711" spans="2:2" ht="15.5" x14ac:dyDescent="0.35">
      <c r="B2711" s="167"/>
    </row>
    <row r="2712" spans="2:2" ht="15.5" x14ac:dyDescent="0.35">
      <c r="B2712" s="167"/>
    </row>
    <row r="2713" spans="2:2" ht="15.5" x14ac:dyDescent="0.35">
      <c r="B2713" s="167"/>
    </row>
    <row r="2714" spans="2:2" ht="15.5" x14ac:dyDescent="0.35">
      <c r="B2714" s="167"/>
    </row>
    <row r="2715" spans="2:2" ht="15.5" x14ac:dyDescent="0.35">
      <c r="B2715" s="167"/>
    </row>
    <row r="2716" spans="2:2" ht="15.5" x14ac:dyDescent="0.35">
      <c r="B2716" s="167"/>
    </row>
    <row r="2717" spans="2:2" ht="15.5" x14ac:dyDescent="0.35">
      <c r="B2717" s="167"/>
    </row>
    <row r="2718" spans="2:2" ht="15.5" x14ac:dyDescent="0.35">
      <c r="B2718" s="167"/>
    </row>
    <row r="2719" spans="2:2" ht="15.5" x14ac:dyDescent="0.35">
      <c r="B2719" s="167"/>
    </row>
    <row r="2720" spans="2:2" ht="15.5" x14ac:dyDescent="0.35">
      <c r="B2720" s="167"/>
    </row>
    <row r="2721" spans="2:2" ht="15.5" x14ac:dyDescent="0.35">
      <c r="B2721" s="167"/>
    </row>
    <row r="2722" spans="2:2" ht="15.5" x14ac:dyDescent="0.35">
      <c r="B2722" s="167"/>
    </row>
    <row r="2723" spans="2:2" ht="15.5" x14ac:dyDescent="0.35">
      <c r="B2723" s="167"/>
    </row>
    <row r="2724" spans="2:2" ht="15.5" x14ac:dyDescent="0.35">
      <c r="B2724" s="167"/>
    </row>
    <row r="2725" spans="2:2" ht="15.5" x14ac:dyDescent="0.35">
      <c r="B2725" s="167"/>
    </row>
    <row r="2726" spans="2:2" ht="15.5" x14ac:dyDescent="0.35">
      <c r="B2726" s="167"/>
    </row>
    <row r="2727" spans="2:2" ht="15.5" x14ac:dyDescent="0.35">
      <c r="B2727" s="167"/>
    </row>
    <row r="2728" spans="2:2" ht="15.5" x14ac:dyDescent="0.35">
      <c r="B2728" s="167"/>
    </row>
    <row r="2729" spans="2:2" ht="15.5" x14ac:dyDescent="0.35">
      <c r="B2729" s="167"/>
    </row>
    <row r="2730" spans="2:2" ht="15.5" x14ac:dyDescent="0.35">
      <c r="B2730" s="167"/>
    </row>
    <row r="2731" spans="2:2" ht="15.5" x14ac:dyDescent="0.35">
      <c r="B2731" s="167"/>
    </row>
    <row r="2732" spans="2:2" ht="15.5" x14ac:dyDescent="0.35">
      <c r="B2732" s="167"/>
    </row>
    <row r="2733" spans="2:2" ht="15.5" x14ac:dyDescent="0.35">
      <c r="B2733" s="167"/>
    </row>
    <row r="2734" spans="2:2" ht="15.5" x14ac:dyDescent="0.35">
      <c r="B2734" s="167"/>
    </row>
    <row r="2735" spans="2:2" ht="15.5" x14ac:dyDescent="0.35">
      <c r="B2735" s="167"/>
    </row>
    <row r="2736" spans="2:2" ht="15.5" x14ac:dyDescent="0.35">
      <c r="B2736" s="167"/>
    </row>
    <row r="2737" spans="2:2" ht="15.5" x14ac:dyDescent="0.35">
      <c r="B2737" s="167"/>
    </row>
    <row r="2738" spans="2:2" ht="15.5" x14ac:dyDescent="0.35">
      <c r="B2738" s="167"/>
    </row>
    <row r="2739" spans="2:2" ht="15.5" x14ac:dyDescent="0.35">
      <c r="B2739" s="167"/>
    </row>
    <row r="2740" spans="2:2" ht="15.5" x14ac:dyDescent="0.35">
      <c r="B2740" s="167"/>
    </row>
    <row r="2741" spans="2:2" ht="15.5" x14ac:dyDescent="0.35">
      <c r="B2741" s="167"/>
    </row>
    <row r="2742" spans="2:2" ht="15.5" x14ac:dyDescent="0.35">
      <c r="B2742" s="167"/>
    </row>
    <row r="2743" spans="2:2" ht="15.5" x14ac:dyDescent="0.35">
      <c r="B2743" s="167"/>
    </row>
    <row r="2744" spans="2:2" ht="15.5" x14ac:dyDescent="0.35">
      <c r="B2744" s="167"/>
    </row>
    <row r="2745" spans="2:2" ht="15.5" x14ac:dyDescent="0.35">
      <c r="B2745" s="167"/>
    </row>
    <row r="2746" spans="2:2" ht="15.5" x14ac:dyDescent="0.35">
      <c r="B2746" s="167"/>
    </row>
    <row r="2747" spans="2:2" ht="15.5" x14ac:dyDescent="0.35">
      <c r="B2747" s="167"/>
    </row>
    <row r="2748" spans="2:2" ht="15.5" x14ac:dyDescent="0.35">
      <c r="B2748" s="167"/>
    </row>
    <row r="2749" spans="2:2" ht="15.5" x14ac:dyDescent="0.35">
      <c r="B2749" s="167"/>
    </row>
    <row r="2750" spans="2:2" ht="15.5" x14ac:dyDescent="0.35">
      <c r="B2750" s="167"/>
    </row>
    <row r="2751" spans="2:2" ht="15.5" x14ac:dyDescent="0.35">
      <c r="B2751" s="167"/>
    </row>
    <row r="2752" spans="2:2" ht="15.5" x14ac:dyDescent="0.35">
      <c r="B2752" s="167"/>
    </row>
    <row r="2753" spans="2:2" ht="15.5" x14ac:dyDescent="0.35">
      <c r="B2753" s="167"/>
    </row>
    <row r="2754" spans="2:2" ht="15.5" x14ac:dyDescent="0.35">
      <c r="B2754" s="167"/>
    </row>
    <row r="2755" spans="2:2" ht="15.5" x14ac:dyDescent="0.35">
      <c r="B2755" s="167"/>
    </row>
    <row r="2756" spans="2:2" ht="15.5" x14ac:dyDescent="0.35">
      <c r="B2756" s="167"/>
    </row>
    <row r="2757" spans="2:2" ht="15.5" x14ac:dyDescent="0.35">
      <c r="B2757" s="167"/>
    </row>
    <row r="2758" spans="2:2" ht="15.5" x14ac:dyDescent="0.35">
      <c r="B2758" s="167"/>
    </row>
    <row r="2759" spans="2:2" ht="15.5" x14ac:dyDescent="0.35">
      <c r="B2759" s="167"/>
    </row>
    <row r="2760" spans="2:2" ht="15.5" x14ac:dyDescent="0.35">
      <c r="B2760" s="167"/>
    </row>
    <row r="2761" spans="2:2" ht="15.5" x14ac:dyDescent="0.35">
      <c r="B2761" s="167"/>
    </row>
    <row r="2762" spans="2:2" ht="15.5" x14ac:dyDescent="0.35">
      <c r="B2762" s="167"/>
    </row>
    <row r="2763" spans="2:2" ht="15.5" x14ac:dyDescent="0.35">
      <c r="B2763" s="167"/>
    </row>
    <row r="2764" spans="2:2" ht="15.5" x14ac:dyDescent="0.35">
      <c r="B2764" s="167"/>
    </row>
    <row r="2765" spans="2:2" ht="15.5" x14ac:dyDescent="0.35">
      <c r="B2765" s="167"/>
    </row>
    <row r="2766" spans="2:2" ht="15.5" x14ac:dyDescent="0.35">
      <c r="B2766" s="167"/>
    </row>
    <row r="2767" spans="2:2" ht="15.5" x14ac:dyDescent="0.35">
      <c r="B2767" s="167"/>
    </row>
    <row r="2768" spans="2:2" ht="15.5" x14ac:dyDescent="0.35">
      <c r="B2768" s="167"/>
    </row>
    <row r="2769" spans="2:2" ht="15.5" x14ac:dyDescent="0.35">
      <c r="B2769" s="167"/>
    </row>
    <row r="2770" spans="2:2" ht="15.5" x14ac:dyDescent="0.35">
      <c r="B2770" s="167"/>
    </row>
    <row r="2771" spans="2:2" ht="15.5" x14ac:dyDescent="0.35">
      <c r="B2771" s="167"/>
    </row>
    <row r="2772" spans="2:2" ht="15.5" x14ac:dyDescent="0.35">
      <c r="B2772" s="167"/>
    </row>
    <row r="2773" spans="2:2" ht="15.5" x14ac:dyDescent="0.35">
      <c r="B2773" s="167"/>
    </row>
    <row r="2774" spans="2:2" ht="15.5" x14ac:dyDescent="0.35">
      <c r="B2774" s="167"/>
    </row>
    <row r="2775" spans="2:2" ht="15.5" x14ac:dyDescent="0.35">
      <c r="B2775" s="167"/>
    </row>
    <row r="2776" spans="2:2" ht="15.5" x14ac:dyDescent="0.35">
      <c r="B2776" s="167"/>
    </row>
    <row r="2777" spans="2:2" ht="15.5" x14ac:dyDescent="0.35">
      <c r="B2777" s="167"/>
    </row>
    <row r="2778" spans="2:2" ht="15.5" x14ac:dyDescent="0.35">
      <c r="B2778" s="167"/>
    </row>
    <row r="2779" spans="2:2" ht="15.5" x14ac:dyDescent="0.35">
      <c r="B2779" s="167"/>
    </row>
    <row r="2780" spans="2:2" ht="15.5" x14ac:dyDescent="0.35">
      <c r="B2780" s="167"/>
    </row>
    <row r="2781" spans="2:2" ht="15.5" x14ac:dyDescent="0.35">
      <c r="B2781" s="167"/>
    </row>
    <row r="2782" spans="2:2" ht="15.5" x14ac:dyDescent="0.35">
      <c r="B2782" s="167"/>
    </row>
    <row r="2783" spans="2:2" ht="15.5" x14ac:dyDescent="0.35">
      <c r="B2783" s="167"/>
    </row>
    <row r="2784" spans="2:2" ht="15.5" x14ac:dyDescent="0.35">
      <c r="B2784" s="167"/>
    </row>
    <row r="2785" spans="2:2" ht="15.5" x14ac:dyDescent="0.35">
      <c r="B2785" s="167"/>
    </row>
    <row r="2786" spans="2:2" ht="15.5" x14ac:dyDescent="0.35">
      <c r="B2786" s="167"/>
    </row>
    <row r="2787" spans="2:2" ht="15.5" x14ac:dyDescent="0.35">
      <c r="B2787" s="167"/>
    </row>
    <row r="2788" spans="2:2" ht="15.5" x14ac:dyDescent="0.35">
      <c r="B2788" s="167"/>
    </row>
    <row r="2789" spans="2:2" ht="15.5" x14ac:dyDescent="0.35">
      <c r="B2789" s="167"/>
    </row>
    <row r="2790" spans="2:2" ht="15.5" x14ac:dyDescent="0.35">
      <c r="B2790" s="167"/>
    </row>
    <row r="2791" spans="2:2" ht="15.5" x14ac:dyDescent="0.35">
      <c r="B2791" s="167"/>
    </row>
    <row r="2792" spans="2:2" ht="15.5" x14ac:dyDescent="0.35">
      <c r="B2792" s="167"/>
    </row>
    <row r="2793" spans="2:2" ht="15.5" x14ac:dyDescent="0.35">
      <c r="B2793" s="167"/>
    </row>
    <row r="2794" spans="2:2" ht="15.5" x14ac:dyDescent="0.35">
      <c r="B2794" s="167"/>
    </row>
    <row r="2795" spans="2:2" ht="15.5" x14ac:dyDescent="0.35">
      <c r="B2795" s="167"/>
    </row>
    <row r="2796" spans="2:2" ht="15.5" x14ac:dyDescent="0.35">
      <c r="B2796" s="167"/>
    </row>
    <row r="2797" spans="2:2" ht="15.5" x14ac:dyDescent="0.35">
      <c r="B2797" s="167"/>
    </row>
    <row r="2798" spans="2:2" ht="15.5" x14ac:dyDescent="0.35">
      <c r="B2798" s="167"/>
    </row>
    <row r="2799" spans="2:2" ht="15.5" x14ac:dyDescent="0.35">
      <c r="B2799" s="167"/>
    </row>
    <row r="2800" spans="2:2" ht="15.5" x14ac:dyDescent="0.35">
      <c r="B2800" s="167"/>
    </row>
    <row r="2801" spans="2:2" ht="15.5" x14ac:dyDescent="0.35">
      <c r="B2801" s="167"/>
    </row>
    <row r="2802" spans="2:2" ht="15.5" x14ac:dyDescent="0.35">
      <c r="B2802" s="167"/>
    </row>
    <row r="2803" spans="2:2" ht="15.5" x14ac:dyDescent="0.35">
      <c r="B2803" s="167"/>
    </row>
    <row r="2804" spans="2:2" ht="15.5" x14ac:dyDescent="0.35">
      <c r="B2804" s="167"/>
    </row>
    <row r="2805" spans="2:2" ht="15.5" x14ac:dyDescent="0.35">
      <c r="B2805" s="167"/>
    </row>
    <row r="2806" spans="2:2" ht="15.5" x14ac:dyDescent="0.35">
      <c r="B2806" s="167"/>
    </row>
    <row r="2807" spans="2:2" ht="15.5" x14ac:dyDescent="0.35">
      <c r="B2807" s="167"/>
    </row>
    <row r="2808" spans="2:2" ht="15.5" x14ac:dyDescent="0.35">
      <c r="B2808" s="167"/>
    </row>
    <row r="2809" spans="2:2" ht="15.5" x14ac:dyDescent="0.35">
      <c r="B2809" s="167"/>
    </row>
    <row r="2810" spans="2:2" ht="15.5" x14ac:dyDescent="0.35">
      <c r="B2810" s="167"/>
    </row>
    <row r="2811" spans="2:2" ht="15.5" x14ac:dyDescent="0.35">
      <c r="B2811" s="167"/>
    </row>
    <row r="2812" spans="2:2" ht="15.5" x14ac:dyDescent="0.35">
      <c r="B2812" s="167"/>
    </row>
    <row r="2813" spans="2:2" ht="15.5" x14ac:dyDescent="0.35">
      <c r="B2813" s="167"/>
    </row>
    <row r="2814" spans="2:2" ht="15.5" x14ac:dyDescent="0.35">
      <c r="B2814" s="167"/>
    </row>
    <row r="2815" spans="2:2" ht="15.5" x14ac:dyDescent="0.35">
      <c r="B2815" s="167"/>
    </row>
    <row r="2816" spans="2:2" ht="15.5" x14ac:dyDescent="0.35">
      <c r="B2816" s="167"/>
    </row>
    <row r="2817" spans="2:2" ht="15.5" x14ac:dyDescent="0.35">
      <c r="B2817" s="167"/>
    </row>
    <row r="2818" spans="2:2" ht="15.5" x14ac:dyDescent="0.35">
      <c r="B2818" s="167"/>
    </row>
    <row r="2819" spans="2:2" ht="15.5" x14ac:dyDescent="0.35">
      <c r="B2819" s="167"/>
    </row>
    <row r="2820" spans="2:2" ht="15.5" x14ac:dyDescent="0.35">
      <c r="B2820" s="167"/>
    </row>
    <row r="2821" spans="2:2" ht="15.5" x14ac:dyDescent="0.35">
      <c r="B2821" s="167"/>
    </row>
    <row r="2822" spans="2:2" ht="15.5" x14ac:dyDescent="0.35">
      <c r="B2822" s="167"/>
    </row>
    <row r="2823" spans="2:2" ht="15.5" x14ac:dyDescent="0.35">
      <c r="B2823" s="167"/>
    </row>
    <row r="2824" spans="2:2" ht="15.5" x14ac:dyDescent="0.35">
      <c r="B2824" s="167"/>
    </row>
    <row r="2825" spans="2:2" ht="15.5" x14ac:dyDescent="0.35">
      <c r="B2825" s="167"/>
    </row>
    <row r="2826" spans="2:2" ht="15.5" x14ac:dyDescent="0.35">
      <c r="B2826" s="167"/>
    </row>
    <row r="2827" spans="2:2" ht="15.5" x14ac:dyDescent="0.35">
      <c r="B2827" s="167"/>
    </row>
    <row r="2828" spans="2:2" ht="15.5" x14ac:dyDescent="0.35">
      <c r="B2828" s="167"/>
    </row>
    <row r="2829" spans="2:2" ht="15.5" x14ac:dyDescent="0.35">
      <c r="B2829" s="167"/>
    </row>
    <row r="2830" spans="2:2" ht="15.5" x14ac:dyDescent="0.35">
      <c r="B2830" s="167"/>
    </row>
    <row r="2831" spans="2:2" ht="15.5" x14ac:dyDescent="0.35">
      <c r="B2831" s="167"/>
    </row>
    <row r="2832" spans="2:2" ht="15.5" x14ac:dyDescent="0.35">
      <c r="B2832" s="167"/>
    </row>
    <row r="2833" spans="2:2" ht="15.5" x14ac:dyDescent="0.35">
      <c r="B2833" s="167"/>
    </row>
    <row r="2834" spans="2:2" ht="15.5" x14ac:dyDescent="0.35">
      <c r="B2834" s="167"/>
    </row>
    <row r="2835" spans="2:2" ht="15.5" x14ac:dyDescent="0.35">
      <c r="B2835" s="167"/>
    </row>
    <row r="2836" spans="2:2" ht="15.5" x14ac:dyDescent="0.35">
      <c r="B2836" s="167"/>
    </row>
    <row r="2837" spans="2:2" ht="15.5" x14ac:dyDescent="0.35">
      <c r="B2837" s="167"/>
    </row>
    <row r="2838" spans="2:2" ht="15.5" x14ac:dyDescent="0.35">
      <c r="B2838" s="167"/>
    </row>
    <row r="2839" spans="2:2" ht="15.5" x14ac:dyDescent="0.35">
      <c r="B2839" s="167"/>
    </row>
    <row r="2840" spans="2:2" ht="15.5" x14ac:dyDescent="0.35">
      <c r="B2840" s="167"/>
    </row>
    <row r="2841" spans="2:2" ht="15.5" x14ac:dyDescent="0.35">
      <c r="B2841" s="167"/>
    </row>
    <row r="2842" spans="2:2" ht="15.5" x14ac:dyDescent="0.35">
      <c r="B2842" s="167"/>
    </row>
    <row r="2843" spans="2:2" ht="15.5" x14ac:dyDescent="0.35">
      <c r="B2843" s="167"/>
    </row>
    <row r="2844" spans="2:2" ht="15.5" x14ac:dyDescent="0.35">
      <c r="B2844" s="167"/>
    </row>
    <row r="2845" spans="2:2" ht="15.5" x14ac:dyDescent="0.35">
      <c r="B2845" s="167"/>
    </row>
    <row r="2846" spans="2:2" ht="15.5" x14ac:dyDescent="0.35">
      <c r="B2846" s="167"/>
    </row>
    <row r="2847" spans="2:2" ht="15.5" x14ac:dyDescent="0.35">
      <c r="B2847" s="167"/>
    </row>
    <row r="2848" spans="2:2" ht="15.5" x14ac:dyDescent="0.35">
      <c r="B2848" s="167"/>
    </row>
    <row r="2849" spans="2:2" ht="15.5" x14ac:dyDescent="0.35">
      <c r="B2849" s="167"/>
    </row>
    <row r="2850" spans="2:2" ht="15.5" x14ac:dyDescent="0.35">
      <c r="B2850" s="167"/>
    </row>
    <row r="2851" spans="2:2" ht="15.5" x14ac:dyDescent="0.35">
      <c r="B2851" s="167"/>
    </row>
    <row r="2852" spans="2:2" ht="15.5" x14ac:dyDescent="0.35">
      <c r="B2852" s="167"/>
    </row>
    <row r="2853" spans="2:2" ht="15.5" x14ac:dyDescent="0.35">
      <c r="B2853" s="167"/>
    </row>
    <row r="2854" spans="2:2" ht="15.5" x14ac:dyDescent="0.35">
      <c r="B2854" s="167"/>
    </row>
    <row r="2855" spans="2:2" ht="15.5" x14ac:dyDescent="0.35">
      <c r="B2855" s="167"/>
    </row>
    <row r="2856" spans="2:2" ht="15.5" x14ac:dyDescent="0.35">
      <c r="B2856" s="167"/>
    </row>
    <row r="2857" spans="2:2" ht="15.5" x14ac:dyDescent="0.35">
      <c r="B2857" s="167"/>
    </row>
    <row r="2858" spans="2:2" ht="15.5" x14ac:dyDescent="0.35">
      <c r="B2858" s="167"/>
    </row>
    <row r="2859" spans="2:2" ht="15.5" x14ac:dyDescent="0.35">
      <c r="B2859" s="167"/>
    </row>
    <row r="2860" spans="2:2" ht="15.5" x14ac:dyDescent="0.35">
      <c r="B2860" s="167"/>
    </row>
    <row r="2861" spans="2:2" ht="15.5" x14ac:dyDescent="0.35">
      <c r="B2861" s="167"/>
    </row>
    <row r="2862" spans="2:2" ht="15.5" x14ac:dyDescent="0.35">
      <c r="B2862" s="167"/>
    </row>
    <row r="2863" spans="2:2" ht="15.5" x14ac:dyDescent="0.35">
      <c r="B2863" s="167"/>
    </row>
    <row r="2864" spans="2:2" ht="15.5" x14ac:dyDescent="0.35">
      <c r="B2864" s="167"/>
    </row>
    <row r="2865" spans="2:2" ht="15.5" x14ac:dyDescent="0.35">
      <c r="B2865" s="167"/>
    </row>
    <row r="2866" spans="2:2" ht="15.5" x14ac:dyDescent="0.35">
      <c r="B2866" s="167"/>
    </row>
    <row r="2867" spans="2:2" ht="15.5" x14ac:dyDescent="0.35">
      <c r="B2867" s="167"/>
    </row>
    <row r="2868" spans="2:2" ht="15.5" x14ac:dyDescent="0.35">
      <c r="B2868" s="167"/>
    </row>
    <row r="2869" spans="2:2" ht="15.5" x14ac:dyDescent="0.35">
      <c r="B2869" s="167"/>
    </row>
    <row r="2870" spans="2:2" ht="15.5" x14ac:dyDescent="0.35">
      <c r="B2870" s="167"/>
    </row>
    <row r="2871" spans="2:2" ht="15.5" x14ac:dyDescent="0.35">
      <c r="B2871" s="167"/>
    </row>
    <row r="2872" spans="2:2" ht="15.5" x14ac:dyDescent="0.35">
      <c r="B2872" s="167"/>
    </row>
    <row r="2873" spans="2:2" ht="15.5" x14ac:dyDescent="0.35">
      <c r="B2873" s="167"/>
    </row>
    <row r="2874" spans="2:2" ht="15.5" x14ac:dyDescent="0.35">
      <c r="B2874" s="167"/>
    </row>
    <row r="2875" spans="2:2" ht="15.5" x14ac:dyDescent="0.35">
      <c r="B2875" s="167"/>
    </row>
    <row r="2876" spans="2:2" ht="15.5" x14ac:dyDescent="0.35">
      <c r="B2876" s="167"/>
    </row>
    <row r="2877" spans="2:2" ht="15.5" x14ac:dyDescent="0.35">
      <c r="B2877" s="167"/>
    </row>
    <row r="2878" spans="2:2" ht="15.5" x14ac:dyDescent="0.35">
      <c r="B2878" s="167"/>
    </row>
    <row r="2879" spans="2:2" ht="15.5" x14ac:dyDescent="0.35">
      <c r="B2879" s="167"/>
    </row>
    <row r="2880" spans="2:2" ht="15.5" x14ac:dyDescent="0.35">
      <c r="B2880" s="167"/>
    </row>
    <row r="2881" spans="2:2" ht="15.5" x14ac:dyDescent="0.35">
      <c r="B2881" s="167"/>
    </row>
    <row r="2882" spans="2:2" ht="15.5" x14ac:dyDescent="0.35">
      <c r="B2882" s="167"/>
    </row>
    <row r="2883" spans="2:2" ht="15.5" x14ac:dyDescent="0.35">
      <c r="B2883" s="167"/>
    </row>
    <row r="2884" spans="2:2" ht="15.5" x14ac:dyDescent="0.35">
      <c r="B2884" s="167"/>
    </row>
    <row r="2885" spans="2:2" ht="15.5" x14ac:dyDescent="0.35">
      <c r="B2885" s="167"/>
    </row>
    <row r="2886" spans="2:2" ht="15.5" x14ac:dyDescent="0.35">
      <c r="B2886" s="167"/>
    </row>
    <row r="2887" spans="2:2" ht="15.5" x14ac:dyDescent="0.35">
      <c r="B2887" s="167"/>
    </row>
    <row r="2888" spans="2:2" ht="15.5" x14ac:dyDescent="0.35">
      <c r="B2888" s="167"/>
    </row>
    <row r="2889" spans="2:2" ht="15.5" x14ac:dyDescent="0.35">
      <c r="B2889" s="167"/>
    </row>
    <row r="2890" spans="2:2" ht="15.5" x14ac:dyDescent="0.35">
      <c r="B2890" s="167"/>
    </row>
    <row r="2891" spans="2:2" ht="15.5" x14ac:dyDescent="0.35">
      <c r="B2891" s="167"/>
    </row>
    <row r="2892" spans="2:2" ht="15.5" x14ac:dyDescent="0.35">
      <c r="B2892" s="167"/>
    </row>
    <row r="2893" spans="2:2" ht="15.5" x14ac:dyDescent="0.35">
      <c r="B2893" s="167"/>
    </row>
    <row r="2894" spans="2:2" ht="15.5" x14ac:dyDescent="0.35">
      <c r="B2894" s="167"/>
    </row>
    <row r="2895" spans="2:2" ht="15.5" x14ac:dyDescent="0.35">
      <c r="B2895" s="167"/>
    </row>
    <row r="2896" spans="2:2" ht="15.5" x14ac:dyDescent="0.35">
      <c r="B2896" s="167"/>
    </row>
    <row r="2897" spans="2:2" ht="15.5" x14ac:dyDescent="0.35">
      <c r="B2897" s="167"/>
    </row>
    <row r="2898" spans="2:2" ht="15.5" x14ac:dyDescent="0.35">
      <c r="B2898" s="167"/>
    </row>
    <row r="2899" spans="2:2" ht="15.5" x14ac:dyDescent="0.35">
      <c r="B2899" s="167"/>
    </row>
    <row r="2900" spans="2:2" ht="15.5" x14ac:dyDescent="0.35">
      <c r="B2900" s="167"/>
    </row>
    <row r="2901" spans="2:2" ht="15.5" x14ac:dyDescent="0.35">
      <c r="B2901" s="167"/>
    </row>
    <row r="2902" spans="2:2" ht="15.5" x14ac:dyDescent="0.35">
      <c r="B2902" s="167"/>
    </row>
    <row r="2903" spans="2:2" ht="15.5" x14ac:dyDescent="0.35">
      <c r="B2903" s="167"/>
    </row>
    <row r="2904" spans="2:2" ht="15.5" x14ac:dyDescent="0.35">
      <c r="B2904" s="167"/>
    </row>
    <row r="2905" spans="2:2" ht="15.5" x14ac:dyDescent="0.35">
      <c r="B2905" s="167"/>
    </row>
    <row r="2906" spans="2:2" ht="15.5" x14ac:dyDescent="0.35">
      <c r="B2906" s="167"/>
    </row>
    <row r="2907" spans="2:2" ht="15.5" x14ac:dyDescent="0.35">
      <c r="B2907" s="167"/>
    </row>
    <row r="2908" spans="2:2" ht="15.5" x14ac:dyDescent="0.35">
      <c r="B2908" s="167"/>
    </row>
    <row r="2909" spans="2:2" ht="15.5" x14ac:dyDescent="0.35">
      <c r="B2909" s="167"/>
    </row>
    <row r="2910" spans="2:2" ht="15.5" x14ac:dyDescent="0.35">
      <c r="B2910" s="167"/>
    </row>
    <row r="2911" spans="2:2" ht="15.5" x14ac:dyDescent="0.35">
      <c r="B2911" s="167"/>
    </row>
    <row r="2912" spans="2:2" ht="15.5" x14ac:dyDescent="0.35">
      <c r="B2912" s="167"/>
    </row>
    <row r="2913" spans="2:2" ht="15.5" x14ac:dyDescent="0.35">
      <c r="B2913" s="167"/>
    </row>
    <row r="2914" spans="2:2" ht="15.5" x14ac:dyDescent="0.35">
      <c r="B2914" s="167"/>
    </row>
    <row r="2915" spans="2:2" ht="15.5" x14ac:dyDescent="0.35">
      <c r="B2915" s="167"/>
    </row>
    <row r="2916" spans="2:2" ht="15.5" x14ac:dyDescent="0.35">
      <c r="B2916" s="167"/>
    </row>
    <row r="2917" spans="2:2" ht="15.5" x14ac:dyDescent="0.35">
      <c r="B2917" s="167"/>
    </row>
    <row r="2918" spans="2:2" ht="15.5" x14ac:dyDescent="0.35">
      <c r="B2918" s="167"/>
    </row>
    <row r="2919" spans="2:2" ht="15.5" x14ac:dyDescent="0.35">
      <c r="B2919" s="167"/>
    </row>
    <row r="2920" spans="2:2" ht="15.5" x14ac:dyDescent="0.35">
      <c r="B2920" s="167"/>
    </row>
    <row r="2921" spans="2:2" ht="15.5" x14ac:dyDescent="0.35">
      <c r="B2921" s="167"/>
    </row>
    <row r="2922" spans="2:2" ht="15.5" x14ac:dyDescent="0.35">
      <c r="B2922" s="167"/>
    </row>
    <row r="2923" spans="2:2" ht="15.5" x14ac:dyDescent="0.35">
      <c r="B2923" s="167"/>
    </row>
    <row r="2924" spans="2:2" ht="15.5" x14ac:dyDescent="0.35">
      <c r="B2924" s="167"/>
    </row>
    <row r="2925" spans="2:2" ht="15.5" x14ac:dyDescent="0.35">
      <c r="B2925" s="167"/>
    </row>
    <row r="2926" spans="2:2" ht="15.5" x14ac:dyDescent="0.35">
      <c r="B2926" s="167"/>
    </row>
    <row r="2927" spans="2:2" ht="15.5" x14ac:dyDescent="0.35">
      <c r="B2927" s="167"/>
    </row>
    <row r="2928" spans="2:2" ht="15.5" x14ac:dyDescent="0.35">
      <c r="B2928" s="167"/>
    </row>
    <row r="2929" spans="2:2" ht="15.5" x14ac:dyDescent="0.35">
      <c r="B2929" s="167"/>
    </row>
    <row r="2930" spans="2:2" ht="15.5" x14ac:dyDescent="0.35">
      <c r="B2930" s="167"/>
    </row>
    <row r="2931" spans="2:2" ht="15.5" x14ac:dyDescent="0.35">
      <c r="B2931" s="167"/>
    </row>
    <row r="2932" spans="2:2" ht="15.5" x14ac:dyDescent="0.35">
      <c r="B2932" s="167"/>
    </row>
    <row r="2933" spans="2:2" ht="15.5" x14ac:dyDescent="0.35">
      <c r="B2933" s="167"/>
    </row>
    <row r="2934" spans="2:2" ht="15.5" x14ac:dyDescent="0.35">
      <c r="B2934" s="167"/>
    </row>
    <row r="2935" spans="2:2" ht="15.5" x14ac:dyDescent="0.35">
      <c r="B2935" s="167"/>
    </row>
    <row r="2936" spans="2:2" ht="15.5" x14ac:dyDescent="0.35">
      <c r="B2936" s="167"/>
    </row>
    <row r="2937" spans="2:2" ht="15.5" x14ac:dyDescent="0.35">
      <c r="B2937" s="167"/>
    </row>
    <row r="2938" spans="2:2" ht="15.5" x14ac:dyDescent="0.35">
      <c r="B2938" s="167"/>
    </row>
    <row r="2939" spans="2:2" ht="15.5" x14ac:dyDescent="0.35">
      <c r="B2939" s="167"/>
    </row>
    <row r="2940" spans="2:2" ht="15.5" x14ac:dyDescent="0.35">
      <c r="B2940" s="167"/>
    </row>
    <row r="2941" spans="2:2" ht="15.5" x14ac:dyDescent="0.35">
      <c r="B2941" s="167"/>
    </row>
    <row r="2942" spans="2:2" ht="15.5" x14ac:dyDescent="0.35">
      <c r="B2942" s="167"/>
    </row>
    <row r="2943" spans="2:2" ht="15.5" x14ac:dyDescent="0.35">
      <c r="B2943" s="167"/>
    </row>
    <row r="2944" spans="2:2" ht="15.5" x14ac:dyDescent="0.35">
      <c r="B2944" s="167"/>
    </row>
    <row r="2945" spans="2:2" ht="15.5" x14ac:dyDescent="0.35">
      <c r="B2945" s="167"/>
    </row>
    <row r="2946" spans="2:2" ht="15.5" x14ac:dyDescent="0.35">
      <c r="B2946" s="167"/>
    </row>
    <row r="2947" spans="2:2" ht="15.5" x14ac:dyDescent="0.35">
      <c r="B2947" s="167"/>
    </row>
    <row r="2948" spans="2:2" ht="15.5" x14ac:dyDescent="0.35">
      <c r="B2948" s="167"/>
    </row>
    <row r="2949" spans="2:2" ht="15.5" x14ac:dyDescent="0.35">
      <c r="B2949" s="167"/>
    </row>
    <row r="2950" spans="2:2" ht="15.5" x14ac:dyDescent="0.35">
      <c r="B2950" s="167"/>
    </row>
    <row r="2951" spans="2:2" ht="15.5" x14ac:dyDescent="0.35">
      <c r="B2951" s="167"/>
    </row>
    <row r="2952" spans="2:2" ht="15.5" x14ac:dyDescent="0.35">
      <c r="B2952" s="167"/>
    </row>
    <row r="2953" spans="2:2" ht="15.5" x14ac:dyDescent="0.35">
      <c r="B2953" s="167"/>
    </row>
    <row r="2954" spans="2:2" ht="15.5" x14ac:dyDescent="0.35">
      <c r="B2954" s="167"/>
    </row>
    <row r="2955" spans="2:2" ht="15.5" x14ac:dyDescent="0.35">
      <c r="B2955" s="167"/>
    </row>
    <row r="2956" spans="2:2" ht="15.5" x14ac:dyDescent="0.35">
      <c r="B2956" s="167"/>
    </row>
    <row r="2957" spans="2:2" ht="15.5" x14ac:dyDescent="0.35">
      <c r="B2957" s="167"/>
    </row>
    <row r="2958" spans="2:2" ht="15.5" x14ac:dyDescent="0.35">
      <c r="B2958" s="167"/>
    </row>
    <row r="2959" spans="2:2" ht="15.5" x14ac:dyDescent="0.35">
      <c r="B2959" s="167"/>
    </row>
    <row r="2960" spans="2:2" ht="15.5" x14ac:dyDescent="0.35">
      <c r="B2960" s="167"/>
    </row>
    <row r="2961" spans="2:2" ht="15.5" x14ac:dyDescent="0.35">
      <c r="B2961" s="167"/>
    </row>
    <row r="2962" spans="2:2" ht="15.5" x14ac:dyDescent="0.35">
      <c r="B2962" s="167"/>
    </row>
    <row r="2963" spans="2:2" ht="15.5" x14ac:dyDescent="0.35">
      <c r="B2963" s="167"/>
    </row>
    <row r="2964" spans="2:2" ht="15.5" x14ac:dyDescent="0.35">
      <c r="B2964" s="167"/>
    </row>
    <row r="2965" spans="2:2" ht="15.5" x14ac:dyDescent="0.35">
      <c r="B2965" s="167"/>
    </row>
    <row r="2966" spans="2:2" ht="15.5" x14ac:dyDescent="0.35">
      <c r="B2966" s="167"/>
    </row>
    <row r="2967" spans="2:2" ht="15.5" x14ac:dyDescent="0.35">
      <c r="B2967" s="167"/>
    </row>
    <row r="2968" spans="2:2" ht="15.5" x14ac:dyDescent="0.35">
      <c r="B2968" s="167"/>
    </row>
    <row r="2969" spans="2:2" ht="15.5" x14ac:dyDescent="0.35">
      <c r="B2969" s="167"/>
    </row>
    <row r="2970" spans="2:2" ht="15.5" x14ac:dyDescent="0.35">
      <c r="B2970" s="167"/>
    </row>
    <row r="2971" spans="2:2" ht="15.5" x14ac:dyDescent="0.35">
      <c r="B2971" s="167"/>
    </row>
    <row r="2972" spans="2:2" ht="15.5" x14ac:dyDescent="0.35">
      <c r="B2972" s="167"/>
    </row>
    <row r="2973" spans="2:2" ht="15.5" x14ac:dyDescent="0.35">
      <c r="B2973" s="167"/>
    </row>
    <row r="2974" spans="2:2" ht="15.5" x14ac:dyDescent="0.35">
      <c r="B2974" s="167"/>
    </row>
    <row r="2975" spans="2:2" ht="15.5" x14ac:dyDescent="0.35">
      <c r="B2975" s="167"/>
    </row>
    <row r="2976" spans="2:2" ht="15.5" x14ac:dyDescent="0.35">
      <c r="B2976" s="167"/>
    </row>
    <row r="2977" spans="2:2" ht="15.5" x14ac:dyDescent="0.35">
      <c r="B2977" s="167"/>
    </row>
    <row r="2978" spans="2:2" ht="15.5" x14ac:dyDescent="0.35">
      <c r="B2978" s="167"/>
    </row>
    <row r="2979" spans="2:2" ht="15.5" x14ac:dyDescent="0.35">
      <c r="B2979" s="167"/>
    </row>
    <row r="2980" spans="2:2" ht="15.5" x14ac:dyDescent="0.35">
      <c r="B2980" s="167"/>
    </row>
    <row r="2981" spans="2:2" ht="15.5" x14ac:dyDescent="0.35">
      <c r="B2981" s="167"/>
    </row>
    <row r="2982" spans="2:2" ht="15.5" x14ac:dyDescent="0.35">
      <c r="B2982" s="167"/>
    </row>
    <row r="2983" spans="2:2" ht="15.5" x14ac:dyDescent="0.35">
      <c r="B2983" s="167"/>
    </row>
    <row r="2984" spans="2:2" ht="15.5" x14ac:dyDescent="0.35">
      <c r="B2984" s="167"/>
    </row>
    <row r="2985" spans="2:2" ht="15.5" x14ac:dyDescent="0.35">
      <c r="B2985" s="167"/>
    </row>
    <row r="2986" spans="2:2" ht="15.5" x14ac:dyDescent="0.35">
      <c r="B2986" s="167"/>
    </row>
    <row r="2987" spans="2:2" ht="15.5" x14ac:dyDescent="0.35">
      <c r="B2987" s="167"/>
    </row>
    <row r="2988" spans="2:2" ht="15.5" x14ac:dyDescent="0.35">
      <c r="B2988" s="167"/>
    </row>
    <row r="2989" spans="2:2" ht="15.5" x14ac:dyDescent="0.35">
      <c r="B2989" s="167"/>
    </row>
    <row r="2990" spans="2:2" ht="15.5" x14ac:dyDescent="0.35">
      <c r="B2990" s="167"/>
    </row>
    <row r="2991" spans="2:2" ht="15.5" x14ac:dyDescent="0.35">
      <c r="B2991" s="167"/>
    </row>
    <row r="2992" spans="2:2" ht="15.5" x14ac:dyDescent="0.35">
      <c r="B2992" s="167"/>
    </row>
    <row r="2993" spans="2:2" ht="15.5" x14ac:dyDescent="0.35">
      <c r="B2993" s="167"/>
    </row>
    <row r="2994" spans="2:2" ht="15.5" x14ac:dyDescent="0.35">
      <c r="B2994" s="167"/>
    </row>
    <row r="2995" spans="2:2" ht="15.5" x14ac:dyDescent="0.35">
      <c r="B2995" s="167"/>
    </row>
    <row r="2996" spans="2:2" ht="15.5" x14ac:dyDescent="0.35">
      <c r="B2996" s="167"/>
    </row>
    <row r="2997" spans="2:2" ht="15.5" x14ac:dyDescent="0.35">
      <c r="B2997" s="167"/>
    </row>
    <row r="2998" spans="2:2" ht="15.5" x14ac:dyDescent="0.35">
      <c r="B2998" s="167"/>
    </row>
    <row r="2999" spans="2:2" ht="15.5" x14ac:dyDescent="0.35">
      <c r="B2999" s="167"/>
    </row>
    <row r="3000" spans="2:2" ht="15.5" x14ac:dyDescent="0.35">
      <c r="B3000" s="167"/>
    </row>
    <row r="3001" spans="2:2" ht="15.5" x14ac:dyDescent="0.35">
      <c r="B3001" s="167"/>
    </row>
    <row r="3002" spans="2:2" ht="15.5" x14ac:dyDescent="0.35">
      <c r="B3002" s="167"/>
    </row>
    <row r="3003" spans="2:2" ht="15.5" x14ac:dyDescent="0.35">
      <c r="B3003" s="167"/>
    </row>
    <row r="3004" spans="2:2" ht="15.5" x14ac:dyDescent="0.35">
      <c r="B3004" s="167"/>
    </row>
    <row r="3005" spans="2:2" ht="15.5" x14ac:dyDescent="0.35">
      <c r="B3005" s="167"/>
    </row>
    <row r="3006" spans="2:2" ht="15.5" x14ac:dyDescent="0.35">
      <c r="B3006" s="167"/>
    </row>
    <row r="3007" spans="2:2" ht="15.5" x14ac:dyDescent="0.35">
      <c r="B3007" s="167"/>
    </row>
    <row r="3008" spans="2:2" ht="15.5" x14ac:dyDescent="0.35">
      <c r="B3008" s="167"/>
    </row>
    <row r="3009" spans="2:2" ht="15.5" x14ac:dyDescent="0.35">
      <c r="B3009" s="167"/>
    </row>
    <row r="3010" spans="2:2" ht="15.5" x14ac:dyDescent="0.35">
      <c r="B3010" s="167"/>
    </row>
    <row r="3011" spans="2:2" ht="15.5" x14ac:dyDescent="0.35">
      <c r="B3011" s="167"/>
    </row>
    <row r="3012" spans="2:2" ht="15.5" x14ac:dyDescent="0.35">
      <c r="B3012" s="167"/>
    </row>
    <row r="3013" spans="2:2" ht="15.5" x14ac:dyDescent="0.35">
      <c r="B3013" s="167"/>
    </row>
    <row r="3014" spans="2:2" ht="15.5" x14ac:dyDescent="0.35">
      <c r="B3014" s="167"/>
    </row>
    <row r="3015" spans="2:2" ht="15.5" x14ac:dyDescent="0.35">
      <c r="B3015" s="167"/>
    </row>
    <row r="3016" spans="2:2" ht="15.5" x14ac:dyDescent="0.35">
      <c r="B3016" s="167"/>
    </row>
    <row r="3017" spans="2:2" ht="15.5" x14ac:dyDescent="0.35">
      <c r="B3017" s="167"/>
    </row>
    <row r="3018" spans="2:2" ht="15.5" x14ac:dyDescent="0.35">
      <c r="B3018" s="167"/>
    </row>
    <row r="3019" spans="2:2" ht="15.5" x14ac:dyDescent="0.35">
      <c r="B3019" s="167"/>
    </row>
    <row r="3020" spans="2:2" ht="15.5" x14ac:dyDescent="0.35">
      <c r="B3020" s="167"/>
    </row>
    <row r="3021" spans="2:2" ht="15.5" x14ac:dyDescent="0.35">
      <c r="B3021" s="167"/>
    </row>
    <row r="3022" spans="2:2" ht="15.5" x14ac:dyDescent="0.35">
      <c r="B3022" s="167"/>
    </row>
    <row r="3023" spans="2:2" ht="15.5" x14ac:dyDescent="0.35">
      <c r="B3023" s="167"/>
    </row>
    <row r="3024" spans="2:2" ht="15.5" x14ac:dyDescent="0.35">
      <c r="B3024" s="167"/>
    </row>
    <row r="3025" spans="2:2" ht="15.5" x14ac:dyDescent="0.35">
      <c r="B3025" s="167"/>
    </row>
    <row r="3026" spans="2:2" ht="15.5" x14ac:dyDescent="0.35">
      <c r="B3026" s="167"/>
    </row>
    <row r="3027" spans="2:2" ht="15.5" x14ac:dyDescent="0.35">
      <c r="B3027" s="167"/>
    </row>
    <row r="3028" spans="2:2" ht="15.5" x14ac:dyDescent="0.35">
      <c r="B3028" s="167"/>
    </row>
    <row r="3029" spans="2:2" ht="15.5" x14ac:dyDescent="0.35">
      <c r="B3029" s="167"/>
    </row>
    <row r="3030" spans="2:2" ht="15.5" x14ac:dyDescent="0.35">
      <c r="B3030" s="167"/>
    </row>
    <row r="3031" spans="2:2" ht="15.5" x14ac:dyDescent="0.35">
      <c r="B3031" s="167"/>
    </row>
    <row r="3032" spans="2:2" ht="15.5" x14ac:dyDescent="0.35">
      <c r="B3032" s="167"/>
    </row>
    <row r="3033" spans="2:2" ht="15.5" x14ac:dyDescent="0.35">
      <c r="B3033" s="167"/>
    </row>
    <row r="3034" spans="2:2" ht="15.5" x14ac:dyDescent="0.35">
      <c r="B3034" s="167"/>
    </row>
    <row r="3035" spans="2:2" ht="15.5" x14ac:dyDescent="0.35">
      <c r="B3035" s="167"/>
    </row>
    <row r="3036" spans="2:2" ht="15.5" x14ac:dyDescent="0.35">
      <c r="B3036" s="167"/>
    </row>
    <row r="3037" spans="2:2" ht="15.5" x14ac:dyDescent="0.35">
      <c r="B3037" s="167"/>
    </row>
    <row r="3038" spans="2:2" ht="15.5" x14ac:dyDescent="0.35">
      <c r="B3038" s="167"/>
    </row>
    <row r="3039" spans="2:2" ht="15.5" x14ac:dyDescent="0.35">
      <c r="B3039" s="167"/>
    </row>
    <row r="3040" spans="2:2" ht="15.5" x14ac:dyDescent="0.35">
      <c r="B3040" s="167"/>
    </row>
    <row r="3041" spans="2:2" ht="15.5" x14ac:dyDescent="0.35">
      <c r="B3041" s="167"/>
    </row>
    <row r="3042" spans="2:2" ht="15.5" x14ac:dyDescent="0.35">
      <c r="B3042" s="167"/>
    </row>
    <row r="3043" spans="2:2" ht="15.5" x14ac:dyDescent="0.35">
      <c r="B3043" s="167"/>
    </row>
    <row r="3044" spans="2:2" ht="15.5" x14ac:dyDescent="0.35">
      <c r="B3044" s="167"/>
    </row>
    <row r="3045" spans="2:2" ht="15.5" x14ac:dyDescent="0.35">
      <c r="B3045" s="167"/>
    </row>
    <row r="3046" spans="2:2" ht="15.5" x14ac:dyDescent="0.35">
      <c r="B3046" s="167"/>
    </row>
    <row r="3047" spans="2:2" ht="15.5" x14ac:dyDescent="0.35">
      <c r="B3047" s="167"/>
    </row>
    <row r="3048" spans="2:2" ht="15.5" x14ac:dyDescent="0.35">
      <c r="B3048" s="167"/>
    </row>
    <row r="3049" spans="2:2" ht="15.5" x14ac:dyDescent="0.35">
      <c r="B3049" s="167"/>
    </row>
    <row r="3050" spans="2:2" ht="15.5" x14ac:dyDescent="0.35">
      <c r="B3050" s="167"/>
    </row>
    <row r="3051" spans="2:2" ht="15.5" x14ac:dyDescent="0.35">
      <c r="B3051" s="167"/>
    </row>
    <row r="3052" spans="2:2" ht="15.5" x14ac:dyDescent="0.35">
      <c r="B3052" s="167"/>
    </row>
    <row r="3053" spans="2:2" ht="15.5" x14ac:dyDescent="0.35">
      <c r="B3053" s="167"/>
    </row>
    <row r="3054" spans="2:2" ht="15.5" x14ac:dyDescent="0.35">
      <c r="B3054" s="167"/>
    </row>
    <row r="3055" spans="2:2" ht="15.5" x14ac:dyDescent="0.35">
      <c r="B3055" s="167"/>
    </row>
    <row r="3056" spans="2:2" ht="15.5" x14ac:dyDescent="0.35">
      <c r="B3056" s="167"/>
    </row>
    <row r="3057" spans="2:2" ht="15.5" x14ac:dyDescent="0.35">
      <c r="B3057" s="167"/>
    </row>
    <row r="3058" spans="2:2" ht="15.5" x14ac:dyDescent="0.35">
      <c r="B3058" s="167"/>
    </row>
    <row r="3059" spans="2:2" ht="15.5" x14ac:dyDescent="0.35">
      <c r="B3059" s="167"/>
    </row>
    <row r="3060" spans="2:2" ht="15.5" x14ac:dyDescent="0.35">
      <c r="B3060" s="167"/>
    </row>
    <row r="3061" spans="2:2" ht="15.5" x14ac:dyDescent="0.35">
      <c r="B3061" s="167"/>
    </row>
    <row r="3062" spans="2:2" ht="15.5" x14ac:dyDescent="0.35">
      <c r="B3062" s="167"/>
    </row>
    <row r="3063" spans="2:2" ht="15.5" x14ac:dyDescent="0.35">
      <c r="B3063" s="167"/>
    </row>
    <row r="3064" spans="2:2" ht="15.5" x14ac:dyDescent="0.35">
      <c r="B3064" s="167"/>
    </row>
    <row r="3065" spans="2:2" ht="15.5" x14ac:dyDescent="0.35">
      <c r="B3065" s="167"/>
    </row>
    <row r="3066" spans="2:2" ht="15.5" x14ac:dyDescent="0.35">
      <c r="B3066" s="167"/>
    </row>
    <row r="3067" spans="2:2" ht="15.5" x14ac:dyDescent="0.35">
      <c r="B3067" s="167"/>
    </row>
    <row r="3068" spans="2:2" ht="15.5" x14ac:dyDescent="0.35">
      <c r="B3068" s="167"/>
    </row>
    <row r="3069" spans="2:2" ht="15.5" x14ac:dyDescent="0.35">
      <c r="B3069" s="167"/>
    </row>
    <row r="3070" spans="2:2" ht="15.5" x14ac:dyDescent="0.35">
      <c r="B3070" s="167"/>
    </row>
    <row r="3071" spans="2:2" ht="15.5" x14ac:dyDescent="0.35">
      <c r="B3071" s="167"/>
    </row>
    <row r="3072" spans="2:2" ht="15.5" x14ac:dyDescent="0.35">
      <c r="B3072" s="167"/>
    </row>
    <row r="3073" spans="2:2" ht="15.5" x14ac:dyDescent="0.35">
      <c r="B3073" s="167"/>
    </row>
    <row r="3074" spans="2:2" ht="15.5" x14ac:dyDescent="0.35">
      <c r="B3074" s="167"/>
    </row>
    <row r="3075" spans="2:2" ht="15.5" x14ac:dyDescent="0.35">
      <c r="B3075" s="167"/>
    </row>
    <row r="3076" spans="2:2" ht="15.5" x14ac:dyDescent="0.35">
      <c r="B3076" s="167"/>
    </row>
    <row r="3077" spans="2:2" ht="15.5" x14ac:dyDescent="0.35">
      <c r="B3077" s="167"/>
    </row>
    <row r="3078" spans="2:2" ht="15.5" x14ac:dyDescent="0.35">
      <c r="B3078" s="167"/>
    </row>
    <row r="3079" spans="2:2" ht="15.5" x14ac:dyDescent="0.35">
      <c r="B3079" s="167"/>
    </row>
    <row r="3080" spans="2:2" ht="15.5" x14ac:dyDescent="0.35">
      <c r="B3080" s="167"/>
    </row>
    <row r="3081" spans="2:2" ht="15.5" x14ac:dyDescent="0.35">
      <c r="B3081" s="167"/>
    </row>
    <row r="3082" spans="2:2" ht="15.5" x14ac:dyDescent="0.35">
      <c r="B3082" s="167"/>
    </row>
    <row r="3083" spans="2:2" ht="15.5" x14ac:dyDescent="0.35">
      <c r="B3083" s="167"/>
    </row>
    <row r="3084" spans="2:2" ht="15.5" x14ac:dyDescent="0.35">
      <c r="B3084" s="167"/>
    </row>
    <row r="3085" spans="2:2" ht="15.5" x14ac:dyDescent="0.35">
      <c r="B3085" s="167"/>
    </row>
    <row r="3086" spans="2:2" ht="15.5" x14ac:dyDescent="0.35">
      <c r="B3086" s="167"/>
    </row>
    <row r="3087" spans="2:2" ht="15.5" x14ac:dyDescent="0.35">
      <c r="B3087" s="167"/>
    </row>
    <row r="3088" spans="2:2" ht="15.5" x14ac:dyDescent="0.35">
      <c r="B3088" s="167"/>
    </row>
    <row r="3089" spans="2:2" ht="15.5" x14ac:dyDescent="0.35">
      <c r="B3089" s="167"/>
    </row>
    <row r="3090" spans="2:2" ht="15.5" x14ac:dyDescent="0.35">
      <c r="B3090" s="167"/>
    </row>
    <row r="3091" spans="2:2" ht="15.5" x14ac:dyDescent="0.35">
      <c r="B3091" s="167"/>
    </row>
    <row r="3092" spans="2:2" ht="15.5" x14ac:dyDescent="0.35">
      <c r="B3092" s="167"/>
    </row>
    <row r="3093" spans="2:2" ht="15.5" x14ac:dyDescent="0.35">
      <c r="B3093" s="167"/>
    </row>
    <row r="3094" spans="2:2" ht="15.5" x14ac:dyDescent="0.35">
      <c r="B3094" s="167"/>
    </row>
    <row r="3095" spans="2:2" ht="15.5" x14ac:dyDescent="0.35">
      <c r="B3095" s="167"/>
    </row>
    <row r="3096" spans="2:2" ht="15.5" x14ac:dyDescent="0.35">
      <c r="B3096" s="167"/>
    </row>
    <row r="3097" spans="2:2" ht="15.5" x14ac:dyDescent="0.35">
      <c r="B3097" s="167"/>
    </row>
    <row r="3098" spans="2:2" ht="15.5" x14ac:dyDescent="0.35">
      <c r="B3098" s="167"/>
    </row>
    <row r="3099" spans="2:2" ht="15.5" x14ac:dyDescent="0.35">
      <c r="B3099" s="167"/>
    </row>
    <row r="3100" spans="2:2" ht="15.5" x14ac:dyDescent="0.35">
      <c r="B3100" s="167"/>
    </row>
    <row r="3101" spans="2:2" ht="15.5" x14ac:dyDescent="0.35">
      <c r="B3101" s="167"/>
    </row>
    <row r="3102" spans="2:2" ht="15.5" x14ac:dyDescent="0.35">
      <c r="B3102" s="167"/>
    </row>
    <row r="3103" spans="2:2" ht="15.5" x14ac:dyDescent="0.35">
      <c r="B3103" s="167"/>
    </row>
    <row r="3104" spans="2:2" ht="15.5" x14ac:dyDescent="0.35">
      <c r="B3104" s="167"/>
    </row>
    <row r="3105" spans="2:2" ht="15.5" x14ac:dyDescent="0.35">
      <c r="B3105" s="167"/>
    </row>
    <row r="3106" spans="2:2" ht="15.5" x14ac:dyDescent="0.35">
      <c r="B3106" s="167"/>
    </row>
    <row r="3107" spans="2:2" ht="15.5" x14ac:dyDescent="0.35">
      <c r="B3107" s="167"/>
    </row>
    <row r="3108" spans="2:2" ht="15.5" x14ac:dyDescent="0.35">
      <c r="B3108" s="167"/>
    </row>
    <row r="3109" spans="2:2" ht="15.5" x14ac:dyDescent="0.35">
      <c r="B3109" s="167"/>
    </row>
    <row r="3110" spans="2:2" ht="15.5" x14ac:dyDescent="0.35">
      <c r="B3110" s="167"/>
    </row>
    <row r="3111" spans="2:2" ht="15.5" x14ac:dyDescent="0.35">
      <c r="B3111" s="167"/>
    </row>
    <row r="3112" spans="2:2" ht="15.5" x14ac:dyDescent="0.35">
      <c r="B3112" s="167"/>
    </row>
    <row r="3113" spans="2:2" ht="15.5" x14ac:dyDescent="0.35">
      <c r="B3113" s="167"/>
    </row>
    <row r="3114" spans="2:2" ht="15.5" x14ac:dyDescent="0.35">
      <c r="B3114" s="167"/>
    </row>
    <row r="3115" spans="2:2" ht="15.5" x14ac:dyDescent="0.35">
      <c r="B3115" s="167"/>
    </row>
    <row r="3116" spans="2:2" ht="15.5" x14ac:dyDescent="0.35">
      <c r="B3116" s="167"/>
    </row>
    <row r="3117" spans="2:2" ht="15.5" x14ac:dyDescent="0.35">
      <c r="B3117" s="167"/>
    </row>
    <row r="3118" spans="2:2" ht="15.5" x14ac:dyDescent="0.35">
      <c r="B3118" s="167"/>
    </row>
    <row r="3119" spans="2:2" ht="15.5" x14ac:dyDescent="0.35">
      <c r="B3119" s="167"/>
    </row>
    <row r="3120" spans="2:2" ht="15.5" x14ac:dyDescent="0.35">
      <c r="B3120" s="167"/>
    </row>
    <row r="3121" spans="2:2" ht="15.5" x14ac:dyDescent="0.35">
      <c r="B3121" s="167"/>
    </row>
    <row r="3122" spans="2:2" ht="15.5" x14ac:dyDescent="0.35">
      <c r="B3122" s="167"/>
    </row>
    <row r="3123" spans="2:2" ht="15.5" x14ac:dyDescent="0.35">
      <c r="B3123" s="167"/>
    </row>
    <row r="3124" spans="2:2" ht="15.5" x14ac:dyDescent="0.35">
      <c r="B3124" s="167"/>
    </row>
    <row r="3125" spans="2:2" ht="15.5" x14ac:dyDescent="0.35">
      <c r="B3125" s="167"/>
    </row>
    <row r="3126" spans="2:2" ht="15.5" x14ac:dyDescent="0.35">
      <c r="B3126" s="167"/>
    </row>
    <row r="3127" spans="2:2" ht="15.5" x14ac:dyDescent="0.35">
      <c r="B3127" s="167"/>
    </row>
    <row r="3128" spans="2:2" ht="15.5" x14ac:dyDescent="0.35">
      <c r="B3128" s="167"/>
    </row>
    <row r="3129" spans="2:2" ht="15.5" x14ac:dyDescent="0.35">
      <c r="B3129" s="167"/>
    </row>
    <row r="3130" spans="2:2" ht="15.5" x14ac:dyDescent="0.35">
      <c r="B3130" s="167"/>
    </row>
    <row r="3131" spans="2:2" ht="15.5" x14ac:dyDescent="0.35">
      <c r="B3131" s="167"/>
    </row>
    <row r="3132" spans="2:2" ht="15.5" x14ac:dyDescent="0.35">
      <c r="B3132" s="167"/>
    </row>
    <row r="3133" spans="2:2" ht="15.5" x14ac:dyDescent="0.35">
      <c r="B3133" s="167"/>
    </row>
    <row r="3134" spans="2:2" ht="15.5" x14ac:dyDescent="0.35">
      <c r="B3134" s="167"/>
    </row>
    <row r="3135" spans="2:2" ht="15.5" x14ac:dyDescent="0.35">
      <c r="B3135" s="167"/>
    </row>
    <row r="3136" spans="2:2" ht="15.5" x14ac:dyDescent="0.35">
      <c r="B3136" s="167"/>
    </row>
    <row r="3137" spans="2:2" ht="15.5" x14ac:dyDescent="0.35">
      <c r="B3137" s="167"/>
    </row>
    <row r="3138" spans="2:2" ht="15.5" x14ac:dyDescent="0.35">
      <c r="B3138" s="167"/>
    </row>
    <row r="3139" spans="2:2" ht="15.5" x14ac:dyDescent="0.35">
      <c r="B3139" s="167"/>
    </row>
    <row r="3140" spans="2:2" ht="15.5" x14ac:dyDescent="0.35">
      <c r="B3140" s="167"/>
    </row>
    <row r="3141" spans="2:2" ht="15.5" x14ac:dyDescent="0.35">
      <c r="B3141" s="167"/>
    </row>
    <row r="3142" spans="2:2" ht="15.5" x14ac:dyDescent="0.35">
      <c r="B3142" s="167"/>
    </row>
    <row r="3143" spans="2:2" ht="15.5" x14ac:dyDescent="0.35">
      <c r="B3143" s="167"/>
    </row>
    <row r="3144" spans="2:2" ht="15.5" x14ac:dyDescent="0.35">
      <c r="B3144" s="167"/>
    </row>
    <row r="3145" spans="2:2" ht="15.5" x14ac:dyDescent="0.35">
      <c r="B3145" s="167"/>
    </row>
    <row r="3146" spans="2:2" ht="15.5" x14ac:dyDescent="0.35">
      <c r="B3146" s="167"/>
    </row>
    <row r="3147" spans="2:2" ht="15.5" x14ac:dyDescent="0.35">
      <c r="B3147" s="167"/>
    </row>
    <row r="3148" spans="2:2" ht="15.5" x14ac:dyDescent="0.35">
      <c r="B3148" s="167"/>
    </row>
    <row r="3149" spans="2:2" ht="15.5" x14ac:dyDescent="0.35">
      <c r="B3149" s="167"/>
    </row>
    <row r="3150" spans="2:2" ht="15.5" x14ac:dyDescent="0.35">
      <c r="B3150" s="167"/>
    </row>
    <row r="3151" spans="2:2" ht="15.5" x14ac:dyDescent="0.35">
      <c r="B3151" s="167"/>
    </row>
    <row r="3152" spans="2:2" ht="15.5" x14ac:dyDescent="0.35">
      <c r="B3152" s="167"/>
    </row>
    <row r="3153" spans="2:2" ht="15.5" x14ac:dyDescent="0.35">
      <c r="B3153" s="167"/>
    </row>
    <row r="3154" spans="2:2" ht="15.5" x14ac:dyDescent="0.35">
      <c r="B3154" s="167"/>
    </row>
    <row r="3155" spans="2:2" ht="15.5" x14ac:dyDescent="0.35">
      <c r="B3155" s="167"/>
    </row>
    <row r="3156" spans="2:2" ht="15.5" x14ac:dyDescent="0.35">
      <c r="B3156" s="167"/>
    </row>
    <row r="3157" spans="2:2" ht="15.5" x14ac:dyDescent="0.35">
      <c r="B3157" s="167"/>
    </row>
    <row r="3158" spans="2:2" ht="15.5" x14ac:dyDescent="0.35">
      <c r="B3158" s="167"/>
    </row>
    <row r="3159" spans="2:2" ht="15.5" x14ac:dyDescent="0.35">
      <c r="B3159" s="167"/>
    </row>
    <row r="3160" spans="2:2" ht="15.5" x14ac:dyDescent="0.35">
      <c r="B3160" s="167"/>
    </row>
    <row r="3161" spans="2:2" ht="15.5" x14ac:dyDescent="0.35">
      <c r="B3161" s="167"/>
    </row>
    <row r="3162" spans="2:2" ht="15.5" x14ac:dyDescent="0.35">
      <c r="B3162" s="167"/>
    </row>
    <row r="3163" spans="2:2" ht="15.5" x14ac:dyDescent="0.35">
      <c r="B3163" s="167"/>
    </row>
    <row r="3164" spans="2:2" ht="15.5" x14ac:dyDescent="0.35">
      <c r="B3164" s="167"/>
    </row>
    <row r="3165" spans="2:2" ht="15.5" x14ac:dyDescent="0.35">
      <c r="B3165" s="167"/>
    </row>
    <row r="3166" spans="2:2" ht="15.5" x14ac:dyDescent="0.35">
      <c r="B3166" s="167"/>
    </row>
    <row r="3167" spans="2:2" ht="15.5" x14ac:dyDescent="0.35">
      <c r="B3167" s="167"/>
    </row>
    <row r="3168" spans="2:2" ht="15.5" x14ac:dyDescent="0.35">
      <c r="B3168" s="167"/>
    </row>
    <row r="3169" spans="2:2" ht="15.5" x14ac:dyDescent="0.35">
      <c r="B3169" s="167"/>
    </row>
    <row r="3170" spans="2:2" ht="15.5" x14ac:dyDescent="0.35">
      <c r="B3170" s="167"/>
    </row>
    <row r="3171" spans="2:2" ht="15.5" x14ac:dyDescent="0.35">
      <c r="B3171" s="167"/>
    </row>
    <row r="3172" spans="2:2" ht="15.5" x14ac:dyDescent="0.35">
      <c r="B3172" s="167"/>
    </row>
    <row r="3173" spans="2:2" ht="15.5" x14ac:dyDescent="0.35">
      <c r="B3173" s="167"/>
    </row>
    <row r="3174" spans="2:2" ht="15.5" x14ac:dyDescent="0.35">
      <c r="B3174" s="167"/>
    </row>
    <row r="3175" spans="2:2" ht="15.5" x14ac:dyDescent="0.35">
      <c r="B3175" s="167"/>
    </row>
    <row r="3176" spans="2:2" ht="15.5" x14ac:dyDescent="0.35">
      <c r="B3176" s="167"/>
    </row>
    <row r="3177" spans="2:2" ht="15.5" x14ac:dyDescent="0.35">
      <c r="B3177" s="167"/>
    </row>
    <row r="3178" spans="2:2" ht="15.5" x14ac:dyDescent="0.35">
      <c r="B3178" s="167"/>
    </row>
    <row r="3179" spans="2:2" ht="15.5" x14ac:dyDescent="0.35">
      <c r="B3179" s="167"/>
    </row>
    <row r="3180" spans="2:2" ht="15.5" x14ac:dyDescent="0.35">
      <c r="B3180" s="167"/>
    </row>
    <row r="3181" spans="2:2" ht="15.5" x14ac:dyDescent="0.35">
      <c r="B3181" s="167"/>
    </row>
    <row r="3182" spans="2:2" ht="15.5" x14ac:dyDescent="0.35">
      <c r="B3182" s="167"/>
    </row>
    <row r="3183" spans="2:2" ht="15.5" x14ac:dyDescent="0.35">
      <c r="B3183" s="167"/>
    </row>
    <row r="3184" spans="2:2" ht="15.5" x14ac:dyDescent="0.35">
      <c r="B3184" s="167"/>
    </row>
    <row r="3185" spans="2:2" ht="15.5" x14ac:dyDescent="0.35">
      <c r="B3185" s="167"/>
    </row>
    <row r="3186" spans="2:2" ht="15.5" x14ac:dyDescent="0.35">
      <c r="B3186" s="167"/>
    </row>
    <row r="3187" spans="2:2" ht="15.5" x14ac:dyDescent="0.35">
      <c r="B3187" s="167"/>
    </row>
    <row r="3188" spans="2:2" ht="15.5" x14ac:dyDescent="0.35">
      <c r="B3188" s="167"/>
    </row>
    <row r="3189" spans="2:2" ht="15.5" x14ac:dyDescent="0.35">
      <c r="B3189" s="167"/>
    </row>
    <row r="3190" spans="2:2" ht="15.5" x14ac:dyDescent="0.35">
      <c r="B3190" s="167"/>
    </row>
    <row r="3191" spans="2:2" ht="15.5" x14ac:dyDescent="0.35">
      <c r="B3191" s="167"/>
    </row>
    <row r="3192" spans="2:2" ht="15.5" x14ac:dyDescent="0.35">
      <c r="B3192" s="167"/>
    </row>
    <row r="3193" spans="2:2" ht="15.5" x14ac:dyDescent="0.35">
      <c r="B3193" s="167"/>
    </row>
    <row r="3194" spans="2:2" ht="15.5" x14ac:dyDescent="0.35">
      <c r="B3194" s="167"/>
    </row>
    <row r="3195" spans="2:2" ht="15.5" x14ac:dyDescent="0.35">
      <c r="B3195" s="167"/>
    </row>
    <row r="3196" spans="2:2" ht="15.5" x14ac:dyDescent="0.35">
      <c r="B3196" s="167"/>
    </row>
    <row r="3197" spans="2:2" ht="15.5" x14ac:dyDescent="0.35">
      <c r="B3197" s="167"/>
    </row>
    <row r="3198" spans="2:2" ht="15.5" x14ac:dyDescent="0.35">
      <c r="B3198" s="167"/>
    </row>
    <row r="3199" spans="2:2" ht="15.5" x14ac:dyDescent="0.35">
      <c r="B3199" s="167"/>
    </row>
    <row r="3200" spans="2:2" ht="15.5" x14ac:dyDescent="0.35">
      <c r="B3200" s="167"/>
    </row>
    <row r="3201" spans="2:2" ht="15.5" x14ac:dyDescent="0.35">
      <c r="B3201" s="167"/>
    </row>
    <row r="3202" spans="2:2" ht="15.5" x14ac:dyDescent="0.35">
      <c r="B3202" s="167"/>
    </row>
    <row r="3203" spans="2:2" ht="15.5" x14ac:dyDescent="0.35">
      <c r="B3203" s="167"/>
    </row>
    <row r="3204" spans="2:2" ht="15.5" x14ac:dyDescent="0.35">
      <c r="B3204" s="167"/>
    </row>
    <row r="3205" spans="2:2" ht="15.5" x14ac:dyDescent="0.35">
      <c r="B3205" s="167"/>
    </row>
    <row r="3206" spans="2:2" ht="15.5" x14ac:dyDescent="0.35">
      <c r="B3206" s="167"/>
    </row>
    <row r="3207" spans="2:2" ht="15.5" x14ac:dyDescent="0.35">
      <c r="B3207" s="167"/>
    </row>
    <row r="3208" spans="2:2" ht="15.5" x14ac:dyDescent="0.35">
      <c r="B3208" s="167"/>
    </row>
    <row r="3209" spans="2:2" ht="15.5" x14ac:dyDescent="0.35">
      <c r="B3209" s="167"/>
    </row>
    <row r="3210" spans="2:2" ht="15.5" x14ac:dyDescent="0.35">
      <c r="B3210" s="167"/>
    </row>
    <row r="3211" spans="2:2" ht="15.5" x14ac:dyDescent="0.35">
      <c r="B3211" s="167"/>
    </row>
    <row r="3212" spans="2:2" ht="15.5" x14ac:dyDescent="0.35">
      <c r="B3212" s="167"/>
    </row>
    <row r="3213" spans="2:2" ht="15.5" x14ac:dyDescent="0.35">
      <c r="B3213" s="167"/>
    </row>
    <row r="3214" spans="2:2" ht="15.5" x14ac:dyDescent="0.35">
      <c r="B3214" s="167"/>
    </row>
    <row r="3215" spans="2:2" ht="15.5" x14ac:dyDescent="0.35">
      <c r="B3215" s="167"/>
    </row>
    <row r="3216" spans="2:2" ht="15.5" x14ac:dyDescent="0.35">
      <c r="B3216" s="167"/>
    </row>
    <row r="3217" spans="2:2" ht="15.5" x14ac:dyDescent="0.35">
      <c r="B3217" s="167"/>
    </row>
    <row r="3218" spans="2:2" ht="15.5" x14ac:dyDescent="0.35">
      <c r="B3218" s="167"/>
    </row>
    <row r="3219" spans="2:2" ht="15.5" x14ac:dyDescent="0.35">
      <c r="B3219" s="167"/>
    </row>
    <row r="3220" spans="2:2" ht="15.5" x14ac:dyDescent="0.35">
      <c r="B3220" s="167"/>
    </row>
    <row r="3221" spans="2:2" ht="15.5" x14ac:dyDescent="0.35">
      <c r="B3221" s="167"/>
    </row>
    <row r="3222" spans="2:2" ht="15.5" x14ac:dyDescent="0.35">
      <c r="B3222" s="167"/>
    </row>
    <row r="3223" spans="2:2" ht="15.5" x14ac:dyDescent="0.35">
      <c r="B3223" s="167"/>
    </row>
    <row r="3224" spans="2:2" ht="15.5" x14ac:dyDescent="0.35">
      <c r="B3224" s="167"/>
    </row>
    <row r="3225" spans="2:2" ht="15.5" x14ac:dyDescent="0.35">
      <c r="B3225" s="167"/>
    </row>
    <row r="3226" spans="2:2" ht="15.5" x14ac:dyDescent="0.35">
      <c r="B3226" s="167"/>
    </row>
    <row r="3227" spans="2:2" ht="15.5" x14ac:dyDescent="0.35">
      <c r="B3227" s="167"/>
    </row>
    <row r="3228" spans="2:2" ht="15.5" x14ac:dyDescent="0.35">
      <c r="B3228" s="167"/>
    </row>
    <row r="3229" spans="2:2" ht="15.5" x14ac:dyDescent="0.35">
      <c r="B3229" s="167"/>
    </row>
    <row r="3230" spans="2:2" ht="15.5" x14ac:dyDescent="0.35">
      <c r="B3230" s="167"/>
    </row>
    <row r="3231" spans="2:2" ht="15.5" x14ac:dyDescent="0.35">
      <c r="B3231" s="167"/>
    </row>
    <row r="3232" spans="2:2" ht="15.5" x14ac:dyDescent="0.35">
      <c r="B3232" s="167"/>
    </row>
    <row r="3233" spans="2:2" ht="15.5" x14ac:dyDescent="0.35">
      <c r="B3233" s="167"/>
    </row>
    <row r="3234" spans="2:2" ht="15.5" x14ac:dyDescent="0.35">
      <c r="B3234" s="167"/>
    </row>
    <row r="3235" spans="2:2" ht="15.5" x14ac:dyDescent="0.35">
      <c r="B3235" s="167"/>
    </row>
    <row r="3236" spans="2:2" ht="15.5" x14ac:dyDescent="0.35">
      <c r="B3236" s="167"/>
    </row>
    <row r="3237" spans="2:2" ht="15.5" x14ac:dyDescent="0.35">
      <c r="B3237" s="167"/>
    </row>
    <row r="3238" spans="2:2" ht="15.5" x14ac:dyDescent="0.35">
      <c r="B3238" s="167"/>
    </row>
    <row r="3239" spans="2:2" ht="15.5" x14ac:dyDescent="0.35">
      <c r="B3239" s="167"/>
    </row>
    <row r="3240" spans="2:2" ht="15.5" x14ac:dyDescent="0.35">
      <c r="B3240" s="167"/>
    </row>
    <row r="3241" spans="2:2" ht="15.5" x14ac:dyDescent="0.35">
      <c r="B3241" s="167"/>
    </row>
    <row r="3242" spans="2:2" ht="15.5" x14ac:dyDescent="0.35">
      <c r="B3242" s="167"/>
    </row>
    <row r="3243" spans="2:2" ht="15.5" x14ac:dyDescent="0.35">
      <c r="B3243" s="167"/>
    </row>
    <row r="3244" spans="2:2" ht="15.5" x14ac:dyDescent="0.35">
      <c r="B3244" s="167"/>
    </row>
    <row r="3245" spans="2:2" ht="15.5" x14ac:dyDescent="0.35">
      <c r="B3245" s="167"/>
    </row>
    <row r="3246" spans="2:2" ht="15.5" x14ac:dyDescent="0.35">
      <c r="B3246" s="167"/>
    </row>
    <row r="3247" spans="2:2" ht="15.5" x14ac:dyDescent="0.35">
      <c r="B3247" s="167"/>
    </row>
    <row r="3248" spans="2:2" ht="15.5" x14ac:dyDescent="0.35">
      <c r="B3248" s="167"/>
    </row>
    <row r="3249" spans="2:2" ht="15.5" x14ac:dyDescent="0.35">
      <c r="B3249" s="167"/>
    </row>
    <row r="3250" spans="2:2" ht="15.5" x14ac:dyDescent="0.35">
      <c r="B3250" s="167"/>
    </row>
    <row r="3251" spans="2:2" ht="15.5" x14ac:dyDescent="0.35">
      <c r="B3251" s="167"/>
    </row>
    <row r="3252" spans="2:2" ht="15.5" x14ac:dyDescent="0.35">
      <c r="B3252" s="167"/>
    </row>
    <row r="3253" spans="2:2" ht="15.5" x14ac:dyDescent="0.35">
      <c r="B3253" s="167"/>
    </row>
    <row r="3254" spans="2:2" ht="15.5" x14ac:dyDescent="0.35">
      <c r="B3254" s="167"/>
    </row>
    <row r="3255" spans="2:2" ht="15.5" x14ac:dyDescent="0.35">
      <c r="B3255" s="167"/>
    </row>
    <row r="3256" spans="2:2" ht="15.5" x14ac:dyDescent="0.35">
      <c r="B3256" s="167"/>
    </row>
    <row r="3257" spans="2:2" ht="15.5" x14ac:dyDescent="0.35">
      <c r="B3257" s="167"/>
    </row>
    <row r="3258" spans="2:2" ht="15.5" x14ac:dyDescent="0.35">
      <c r="B3258" s="167"/>
    </row>
    <row r="3259" spans="2:2" ht="15.5" x14ac:dyDescent="0.35">
      <c r="B3259" s="167"/>
    </row>
    <row r="3260" spans="2:2" ht="15.5" x14ac:dyDescent="0.35">
      <c r="B3260" s="167"/>
    </row>
    <row r="3261" spans="2:2" ht="15.5" x14ac:dyDescent="0.35">
      <c r="B3261" s="167"/>
    </row>
    <row r="3262" spans="2:2" ht="15.5" x14ac:dyDescent="0.35">
      <c r="B3262" s="167"/>
    </row>
    <row r="3263" spans="2:2" ht="15.5" x14ac:dyDescent="0.35">
      <c r="B3263" s="167"/>
    </row>
    <row r="3264" spans="2:2" ht="15.5" x14ac:dyDescent="0.35">
      <c r="B3264" s="167"/>
    </row>
    <row r="3265" spans="2:2" ht="15.5" x14ac:dyDescent="0.35">
      <c r="B3265" s="167"/>
    </row>
    <row r="3266" spans="2:2" ht="15.5" x14ac:dyDescent="0.35">
      <c r="B3266" s="167"/>
    </row>
    <row r="3267" spans="2:2" ht="15.5" x14ac:dyDescent="0.35">
      <c r="B3267" s="167"/>
    </row>
    <row r="3268" spans="2:2" ht="15.5" x14ac:dyDescent="0.35">
      <c r="B3268" s="167"/>
    </row>
    <row r="3269" spans="2:2" ht="15.5" x14ac:dyDescent="0.35">
      <c r="B3269" s="167"/>
    </row>
    <row r="3270" spans="2:2" ht="15.5" x14ac:dyDescent="0.35">
      <c r="B3270" s="167"/>
    </row>
    <row r="3271" spans="2:2" ht="15.5" x14ac:dyDescent="0.35">
      <c r="B3271" s="167"/>
    </row>
    <row r="3272" spans="2:2" ht="15.5" x14ac:dyDescent="0.35">
      <c r="B3272" s="167"/>
    </row>
    <row r="3273" spans="2:2" ht="15.5" x14ac:dyDescent="0.35">
      <c r="B3273" s="167"/>
    </row>
    <row r="3274" spans="2:2" ht="15.5" x14ac:dyDescent="0.35">
      <c r="B3274" s="167"/>
    </row>
    <row r="3275" spans="2:2" ht="15.5" x14ac:dyDescent="0.35">
      <c r="B3275" s="167"/>
    </row>
    <row r="3276" spans="2:2" ht="15.5" x14ac:dyDescent="0.35">
      <c r="B3276" s="167"/>
    </row>
    <row r="3277" spans="2:2" ht="15.5" x14ac:dyDescent="0.35">
      <c r="B3277" s="167"/>
    </row>
    <row r="3278" spans="2:2" ht="15.5" x14ac:dyDescent="0.35">
      <c r="B3278" s="167"/>
    </row>
    <row r="3279" spans="2:2" ht="15.5" x14ac:dyDescent="0.35">
      <c r="B3279" s="167"/>
    </row>
    <row r="3280" spans="2:2" ht="15.5" x14ac:dyDescent="0.35">
      <c r="B3280" s="167"/>
    </row>
    <row r="3281" spans="2:2" ht="15.5" x14ac:dyDescent="0.35">
      <c r="B3281" s="167"/>
    </row>
    <row r="3282" spans="2:2" ht="15.5" x14ac:dyDescent="0.35">
      <c r="B3282" s="167"/>
    </row>
    <row r="3283" spans="2:2" ht="15.5" x14ac:dyDescent="0.35">
      <c r="B3283" s="167"/>
    </row>
    <row r="3284" spans="2:2" ht="15.5" x14ac:dyDescent="0.35">
      <c r="B3284" s="167"/>
    </row>
    <row r="3285" spans="2:2" ht="15.5" x14ac:dyDescent="0.35">
      <c r="B3285" s="167"/>
    </row>
    <row r="3286" spans="2:2" ht="15.5" x14ac:dyDescent="0.35">
      <c r="B3286" s="167"/>
    </row>
    <row r="3287" spans="2:2" ht="15.5" x14ac:dyDescent="0.35">
      <c r="B3287" s="167"/>
    </row>
    <row r="3288" spans="2:2" ht="15.5" x14ac:dyDescent="0.35">
      <c r="B3288" s="167"/>
    </row>
    <row r="3289" spans="2:2" ht="15.5" x14ac:dyDescent="0.35">
      <c r="B3289" s="167"/>
    </row>
    <row r="3290" spans="2:2" ht="15.5" x14ac:dyDescent="0.35">
      <c r="B3290" s="167"/>
    </row>
    <row r="3291" spans="2:2" ht="15.5" x14ac:dyDescent="0.35">
      <c r="B3291" s="167"/>
    </row>
    <row r="3292" spans="2:2" ht="15.5" x14ac:dyDescent="0.35">
      <c r="B3292" s="167"/>
    </row>
    <row r="3293" spans="2:2" ht="15.5" x14ac:dyDescent="0.35">
      <c r="B3293" s="167"/>
    </row>
    <row r="3294" spans="2:2" ht="15.5" x14ac:dyDescent="0.35">
      <c r="B3294" s="167"/>
    </row>
    <row r="3295" spans="2:2" ht="15.5" x14ac:dyDescent="0.35">
      <c r="B3295" s="167"/>
    </row>
    <row r="3296" spans="2:2" ht="15.5" x14ac:dyDescent="0.35">
      <c r="B3296" s="167"/>
    </row>
    <row r="3297" spans="2:2" ht="15.5" x14ac:dyDescent="0.35">
      <c r="B3297" s="167"/>
    </row>
    <row r="3298" spans="2:2" ht="15.5" x14ac:dyDescent="0.35">
      <c r="B3298" s="167"/>
    </row>
    <row r="3299" spans="2:2" ht="15.5" x14ac:dyDescent="0.35">
      <c r="B3299" s="167"/>
    </row>
    <row r="3300" spans="2:2" ht="15.5" x14ac:dyDescent="0.35">
      <c r="B3300" s="167"/>
    </row>
    <row r="3301" spans="2:2" ht="15.5" x14ac:dyDescent="0.35">
      <c r="B3301" s="167"/>
    </row>
    <row r="3302" spans="2:2" ht="15.5" x14ac:dyDescent="0.35">
      <c r="B3302" s="167"/>
    </row>
    <row r="3303" spans="2:2" ht="15.5" x14ac:dyDescent="0.35">
      <c r="B3303" s="167"/>
    </row>
    <row r="3304" spans="2:2" ht="15.5" x14ac:dyDescent="0.35">
      <c r="B3304" s="167"/>
    </row>
    <row r="3305" spans="2:2" ht="15.5" x14ac:dyDescent="0.35">
      <c r="B3305" s="167"/>
    </row>
    <row r="3306" spans="2:2" ht="15.5" x14ac:dyDescent="0.35">
      <c r="B3306" s="167"/>
    </row>
    <row r="3307" spans="2:2" ht="15.5" x14ac:dyDescent="0.35">
      <c r="B3307" s="167"/>
    </row>
    <row r="3308" spans="2:2" ht="15.5" x14ac:dyDescent="0.35">
      <c r="B3308" s="167"/>
    </row>
    <row r="3309" spans="2:2" ht="15.5" x14ac:dyDescent="0.35">
      <c r="B3309" s="167"/>
    </row>
    <row r="3310" spans="2:2" ht="15.5" x14ac:dyDescent="0.35">
      <c r="B3310" s="167"/>
    </row>
    <row r="3311" spans="2:2" ht="15.5" x14ac:dyDescent="0.35">
      <c r="B3311" s="167"/>
    </row>
    <row r="3312" spans="2:2" ht="15.5" x14ac:dyDescent="0.35">
      <c r="B3312" s="167"/>
    </row>
    <row r="3313" spans="2:2" ht="15.5" x14ac:dyDescent="0.35">
      <c r="B3313" s="167"/>
    </row>
    <row r="3314" spans="2:2" ht="15.5" x14ac:dyDescent="0.35">
      <c r="B3314" s="167"/>
    </row>
    <row r="3315" spans="2:2" ht="15.5" x14ac:dyDescent="0.35">
      <c r="B3315" s="167"/>
    </row>
    <row r="3316" spans="2:2" ht="15.5" x14ac:dyDescent="0.35">
      <c r="B3316" s="167"/>
    </row>
    <row r="3317" spans="2:2" ht="15.5" x14ac:dyDescent="0.35">
      <c r="B3317" s="167"/>
    </row>
    <row r="3318" spans="2:2" ht="15.5" x14ac:dyDescent="0.35">
      <c r="B3318" s="167"/>
    </row>
    <row r="3319" spans="2:2" ht="15.5" x14ac:dyDescent="0.35">
      <c r="B3319" s="167"/>
    </row>
    <row r="3320" spans="2:2" ht="15.5" x14ac:dyDescent="0.35">
      <c r="B3320" s="167"/>
    </row>
    <row r="3321" spans="2:2" ht="15.5" x14ac:dyDescent="0.35">
      <c r="B3321" s="167"/>
    </row>
    <row r="3322" spans="2:2" ht="15.5" x14ac:dyDescent="0.35">
      <c r="B3322" s="167"/>
    </row>
    <row r="3323" spans="2:2" ht="15.5" x14ac:dyDescent="0.35">
      <c r="B3323" s="167"/>
    </row>
    <row r="3324" spans="2:2" ht="15.5" x14ac:dyDescent="0.35">
      <c r="B3324" s="167"/>
    </row>
    <row r="3325" spans="2:2" ht="15.5" x14ac:dyDescent="0.35">
      <c r="B3325" s="167"/>
    </row>
    <row r="3326" spans="2:2" ht="15.5" x14ac:dyDescent="0.35">
      <c r="B3326" s="167"/>
    </row>
    <row r="3327" spans="2:2" ht="15.5" x14ac:dyDescent="0.35">
      <c r="B3327" s="167"/>
    </row>
    <row r="3328" spans="2:2" ht="15.5" x14ac:dyDescent="0.35">
      <c r="B3328" s="167"/>
    </row>
    <row r="3329" spans="2:2" ht="15.5" x14ac:dyDescent="0.35">
      <c r="B3329" s="167"/>
    </row>
    <row r="3330" spans="2:2" ht="15.5" x14ac:dyDescent="0.35">
      <c r="B3330" s="167"/>
    </row>
    <row r="3331" spans="2:2" ht="15.5" x14ac:dyDescent="0.35">
      <c r="B3331" s="167"/>
    </row>
    <row r="3332" spans="2:2" ht="15.5" x14ac:dyDescent="0.35">
      <c r="B3332" s="167"/>
    </row>
    <row r="3333" spans="2:2" ht="15.5" x14ac:dyDescent="0.35">
      <c r="B3333" s="167"/>
    </row>
    <row r="3334" spans="2:2" ht="15.5" x14ac:dyDescent="0.35">
      <c r="B3334" s="167"/>
    </row>
    <row r="3335" spans="2:2" ht="15.5" x14ac:dyDescent="0.35">
      <c r="B3335" s="167"/>
    </row>
    <row r="3336" spans="2:2" ht="15.5" x14ac:dyDescent="0.35">
      <c r="B3336" s="167"/>
    </row>
    <row r="3337" spans="2:2" ht="15.5" x14ac:dyDescent="0.35">
      <c r="B3337" s="167"/>
    </row>
    <row r="3338" spans="2:2" ht="15.5" x14ac:dyDescent="0.35">
      <c r="B3338" s="167"/>
    </row>
    <row r="3339" spans="2:2" ht="15.5" x14ac:dyDescent="0.35">
      <c r="B3339" s="167"/>
    </row>
    <row r="3340" spans="2:2" ht="15.5" x14ac:dyDescent="0.35">
      <c r="B3340" s="167"/>
    </row>
    <row r="3341" spans="2:2" ht="15.5" x14ac:dyDescent="0.35">
      <c r="B3341" s="167"/>
    </row>
    <row r="3342" spans="2:2" ht="15.5" x14ac:dyDescent="0.35">
      <c r="B3342" s="167"/>
    </row>
    <row r="3343" spans="2:2" ht="15.5" x14ac:dyDescent="0.35">
      <c r="B3343" s="167"/>
    </row>
    <row r="3344" spans="2:2" ht="15.5" x14ac:dyDescent="0.35">
      <c r="B3344" s="167"/>
    </row>
    <row r="3345" spans="2:2" ht="15.5" x14ac:dyDescent="0.35">
      <c r="B3345" s="167"/>
    </row>
    <row r="3346" spans="2:2" ht="15.5" x14ac:dyDescent="0.35">
      <c r="B3346" s="167"/>
    </row>
    <row r="3347" spans="2:2" ht="15.5" x14ac:dyDescent="0.35">
      <c r="B3347" s="167"/>
    </row>
    <row r="3348" spans="2:2" ht="15.5" x14ac:dyDescent="0.35">
      <c r="B3348" s="167"/>
    </row>
    <row r="3349" spans="2:2" ht="15.5" x14ac:dyDescent="0.35">
      <c r="B3349" s="167"/>
    </row>
    <row r="3350" spans="2:2" ht="15.5" x14ac:dyDescent="0.35">
      <c r="B3350" s="167"/>
    </row>
    <row r="3351" spans="2:2" ht="15.5" x14ac:dyDescent="0.35">
      <c r="B3351" s="167"/>
    </row>
    <row r="3352" spans="2:2" ht="15.5" x14ac:dyDescent="0.35">
      <c r="B3352" s="167"/>
    </row>
    <row r="3353" spans="2:2" ht="15.5" x14ac:dyDescent="0.35">
      <c r="B3353" s="167"/>
    </row>
    <row r="3354" spans="2:2" ht="15.5" x14ac:dyDescent="0.35">
      <c r="B3354" s="167"/>
    </row>
    <row r="3355" spans="2:2" ht="15.5" x14ac:dyDescent="0.35">
      <c r="B3355" s="167"/>
    </row>
    <row r="3356" spans="2:2" ht="15.5" x14ac:dyDescent="0.35">
      <c r="B3356" s="167"/>
    </row>
    <row r="3357" spans="2:2" ht="15.5" x14ac:dyDescent="0.35">
      <c r="B3357" s="167"/>
    </row>
    <row r="3358" spans="2:2" ht="15.5" x14ac:dyDescent="0.35">
      <c r="B3358" s="167"/>
    </row>
    <row r="3359" spans="2:2" ht="15.5" x14ac:dyDescent="0.35">
      <c r="B3359" s="167"/>
    </row>
    <row r="3360" spans="2:2" ht="15.5" x14ac:dyDescent="0.35">
      <c r="B3360" s="167"/>
    </row>
    <row r="3361" spans="2:2" ht="15.5" x14ac:dyDescent="0.35">
      <c r="B3361" s="167"/>
    </row>
    <row r="3362" spans="2:2" ht="15.5" x14ac:dyDescent="0.35">
      <c r="B3362" s="167"/>
    </row>
    <row r="3363" spans="2:2" ht="15.5" x14ac:dyDescent="0.35">
      <c r="B3363" s="167"/>
    </row>
    <row r="3364" spans="2:2" ht="15.5" x14ac:dyDescent="0.35">
      <c r="B3364" s="167"/>
    </row>
    <row r="3365" spans="2:2" ht="15.5" x14ac:dyDescent="0.35">
      <c r="B3365" s="167"/>
    </row>
    <row r="3366" spans="2:2" ht="15.5" x14ac:dyDescent="0.35">
      <c r="B3366" s="167"/>
    </row>
    <row r="3367" spans="2:2" ht="15.5" x14ac:dyDescent="0.35">
      <c r="B3367" s="167"/>
    </row>
    <row r="3368" spans="2:2" ht="15.5" x14ac:dyDescent="0.35">
      <c r="B3368" s="167"/>
    </row>
    <row r="3369" spans="2:2" ht="15.5" x14ac:dyDescent="0.35">
      <c r="B3369" s="167"/>
    </row>
    <row r="3370" spans="2:2" ht="15.5" x14ac:dyDescent="0.35">
      <c r="B3370" s="167"/>
    </row>
    <row r="3371" spans="2:2" ht="15.5" x14ac:dyDescent="0.35">
      <c r="B3371" s="167"/>
    </row>
    <row r="3372" spans="2:2" ht="15.5" x14ac:dyDescent="0.35">
      <c r="B3372" s="167"/>
    </row>
    <row r="3373" spans="2:2" ht="15.5" x14ac:dyDescent="0.35">
      <c r="B3373" s="167"/>
    </row>
    <row r="3374" spans="2:2" ht="15.5" x14ac:dyDescent="0.35">
      <c r="B3374" s="167"/>
    </row>
    <row r="3375" spans="2:2" ht="15.5" x14ac:dyDescent="0.35">
      <c r="B3375" s="167"/>
    </row>
    <row r="3376" spans="2:2" ht="15.5" x14ac:dyDescent="0.35">
      <c r="B3376" s="167"/>
    </row>
    <row r="3377" spans="2:2" ht="15.5" x14ac:dyDescent="0.35">
      <c r="B3377" s="167"/>
    </row>
    <row r="3378" spans="2:2" ht="15.5" x14ac:dyDescent="0.35">
      <c r="B3378" s="167"/>
    </row>
    <row r="3379" spans="2:2" ht="15.5" x14ac:dyDescent="0.35">
      <c r="B3379" s="167"/>
    </row>
    <row r="3380" spans="2:2" ht="15.5" x14ac:dyDescent="0.35">
      <c r="B3380" s="167"/>
    </row>
    <row r="3381" spans="2:2" ht="15.5" x14ac:dyDescent="0.35">
      <c r="B3381" s="167"/>
    </row>
    <row r="3382" spans="2:2" ht="15.5" x14ac:dyDescent="0.35">
      <c r="B3382" s="167"/>
    </row>
    <row r="3383" spans="2:2" ht="15.5" x14ac:dyDescent="0.35">
      <c r="B3383" s="167"/>
    </row>
    <row r="3384" spans="2:2" ht="15.5" x14ac:dyDescent="0.35">
      <c r="B3384" s="167"/>
    </row>
    <row r="3385" spans="2:2" ht="15.5" x14ac:dyDescent="0.35">
      <c r="B3385" s="167"/>
    </row>
    <row r="3386" spans="2:2" ht="15.5" x14ac:dyDescent="0.35">
      <c r="B3386" s="167"/>
    </row>
    <row r="3387" spans="2:2" ht="15.5" x14ac:dyDescent="0.35">
      <c r="B3387" s="167"/>
    </row>
    <row r="3388" spans="2:2" ht="15.5" x14ac:dyDescent="0.35">
      <c r="B3388" s="167"/>
    </row>
    <row r="3389" spans="2:2" ht="15.5" x14ac:dyDescent="0.35">
      <c r="B3389" s="167"/>
    </row>
    <row r="3390" spans="2:2" ht="15.5" x14ac:dyDescent="0.35">
      <c r="B3390" s="167"/>
    </row>
    <row r="3391" spans="2:2" ht="15.5" x14ac:dyDescent="0.35">
      <c r="B3391" s="167"/>
    </row>
    <row r="3392" spans="2:2" ht="15.5" x14ac:dyDescent="0.35">
      <c r="B3392" s="167"/>
    </row>
    <row r="3393" spans="2:2" ht="15.5" x14ac:dyDescent="0.35">
      <c r="B3393" s="167"/>
    </row>
    <row r="3394" spans="2:2" ht="15.5" x14ac:dyDescent="0.35">
      <c r="B3394" s="167"/>
    </row>
    <row r="3395" spans="2:2" ht="15.5" x14ac:dyDescent="0.35">
      <c r="B3395" s="167"/>
    </row>
    <row r="3396" spans="2:2" ht="15.5" x14ac:dyDescent="0.35">
      <c r="B3396" s="167"/>
    </row>
    <row r="3397" spans="2:2" ht="15.5" x14ac:dyDescent="0.35">
      <c r="B3397" s="167"/>
    </row>
    <row r="3398" spans="2:2" ht="15.5" x14ac:dyDescent="0.35">
      <c r="B3398" s="167"/>
    </row>
    <row r="3399" spans="2:2" ht="15.5" x14ac:dyDescent="0.35">
      <c r="B3399" s="167"/>
    </row>
    <row r="3400" spans="2:2" ht="15.5" x14ac:dyDescent="0.35">
      <c r="B3400" s="167"/>
    </row>
    <row r="3401" spans="2:2" ht="15.5" x14ac:dyDescent="0.35">
      <c r="B3401" s="167"/>
    </row>
    <row r="3402" spans="2:2" ht="15.5" x14ac:dyDescent="0.35">
      <c r="B3402" s="167"/>
    </row>
    <row r="3403" spans="2:2" ht="15.5" x14ac:dyDescent="0.35">
      <c r="B3403" s="167"/>
    </row>
    <row r="3404" spans="2:2" ht="15.5" x14ac:dyDescent="0.35">
      <c r="B3404" s="167"/>
    </row>
    <row r="3405" spans="2:2" ht="15.5" x14ac:dyDescent="0.35">
      <c r="B3405" s="167"/>
    </row>
    <row r="3406" spans="2:2" ht="15.5" x14ac:dyDescent="0.35">
      <c r="B3406" s="167"/>
    </row>
    <row r="3407" spans="2:2" ht="15.5" x14ac:dyDescent="0.35">
      <c r="B3407" s="167"/>
    </row>
    <row r="3408" spans="2:2" ht="15.5" x14ac:dyDescent="0.35">
      <c r="B3408" s="167"/>
    </row>
    <row r="3409" spans="2:2" ht="15.5" x14ac:dyDescent="0.35">
      <c r="B3409" s="167"/>
    </row>
    <row r="3410" spans="2:2" ht="15.5" x14ac:dyDescent="0.35">
      <c r="B3410" s="167"/>
    </row>
    <row r="3411" spans="2:2" ht="15.5" x14ac:dyDescent="0.35">
      <c r="B3411" s="167"/>
    </row>
    <row r="3412" spans="2:2" ht="15.5" x14ac:dyDescent="0.35">
      <c r="B3412" s="167"/>
    </row>
    <row r="3413" spans="2:2" ht="15.5" x14ac:dyDescent="0.35">
      <c r="B3413" s="167"/>
    </row>
    <row r="3414" spans="2:2" ht="15.5" x14ac:dyDescent="0.35">
      <c r="B3414" s="167"/>
    </row>
    <row r="3415" spans="2:2" ht="15.5" x14ac:dyDescent="0.35">
      <c r="B3415" s="167"/>
    </row>
    <row r="3416" spans="2:2" ht="15.5" x14ac:dyDescent="0.35">
      <c r="B3416" s="167"/>
    </row>
    <row r="3417" spans="2:2" ht="15.5" x14ac:dyDescent="0.35">
      <c r="B3417" s="167"/>
    </row>
    <row r="3418" spans="2:2" ht="15.5" x14ac:dyDescent="0.35">
      <c r="B3418" s="167"/>
    </row>
    <row r="3419" spans="2:2" ht="15.5" x14ac:dyDescent="0.35">
      <c r="B3419" s="167"/>
    </row>
    <row r="3420" spans="2:2" ht="15.5" x14ac:dyDescent="0.35">
      <c r="B3420" s="167"/>
    </row>
    <row r="3421" spans="2:2" ht="15.5" x14ac:dyDescent="0.35">
      <c r="B3421" s="167"/>
    </row>
    <row r="3422" spans="2:2" ht="15.5" x14ac:dyDescent="0.35">
      <c r="B3422" s="167"/>
    </row>
    <row r="3423" spans="2:2" ht="15.5" x14ac:dyDescent="0.35">
      <c r="B3423" s="167"/>
    </row>
    <row r="3424" spans="2:2" ht="15.5" x14ac:dyDescent="0.35">
      <c r="B3424" s="167"/>
    </row>
    <row r="3425" spans="2:2" ht="15.5" x14ac:dyDescent="0.35">
      <c r="B3425" s="167"/>
    </row>
    <row r="3426" spans="2:2" ht="15.5" x14ac:dyDescent="0.35">
      <c r="B3426" s="167"/>
    </row>
    <row r="3427" spans="2:2" ht="15.5" x14ac:dyDescent="0.35">
      <c r="B3427" s="167"/>
    </row>
    <row r="3428" spans="2:2" ht="15.5" x14ac:dyDescent="0.35">
      <c r="B3428" s="167"/>
    </row>
    <row r="3429" spans="2:2" ht="15.5" x14ac:dyDescent="0.35">
      <c r="B3429" s="167"/>
    </row>
    <row r="3430" spans="2:2" ht="15.5" x14ac:dyDescent="0.35">
      <c r="B3430" s="167"/>
    </row>
    <row r="3431" spans="2:2" ht="15.5" x14ac:dyDescent="0.35">
      <c r="B3431" s="167"/>
    </row>
    <row r="3432" spans="2:2" ht="15.5" x14ac:dyDescent="0.35">
      <c r="B3432" s="167"/>
    </row>
    <row r="3433" spans="2:2" ht="15.5" x14ac:dyDescent="0.35">
      <c r="B3433" s="167"/>
    </row>
    <row r="3434" spans="2:2" ht="15.5" x14ac:dyDescent="0.35">
      <c r="B3434" s="167"/>
    </row>
    <row r="3435" spans="2:2" ht="15.5" x14ac:dyDescent="0.35">
      <c r="B3435" s="167"/>
    </row>
    <row r="3436" spans="2:2" ht="15.5" x14ac:dyDescent="0.35">
      <c r="B3436" s="167"/>
    </row>
    <row r="3437" spans="2:2" ht="15.5" x14ac:dyDescent="0.35">
      <c r="B3437" s="167"/>
    </row>
    <row r="3438" spans="2:2" ht="15.5" x14ac:dyDescent="0.35">
      <c r="B3438" s="167"/>
    </row>
    <row r="3439" spans="2:2" ht="15.5" x14ac:dyDescent="0.35">
      <c r="B3439" s="167"/>
    </row>
    <row r="3440" spans="2:2" ht="15.5" x14ac:dyDescent="0.35">
      <c r="B3440" s="167"/>
    </row>
    <row r="3441" spans="2:2" ht="15.5" x14ac:dyDescent="0.35">
      <c r="B3441" s="167"/>
    </row>
    <row r="3442" spans="2:2" ht="15.5" x14ac:dyDescent="0.35">
      <c r="B3442" s="167"/>
    </row>
    <row r="3443" spans="2:2" ht="15.5" x14ac:dyDescent="0.35">
      <c r="B3443" s="167"/>
    </row>
    <row r="3444" spans="2:2" ht="15.5" x14ac:dyDescent="0.35">
      <c r="B3444" s="167"/>
    </row>
    <row r="3445" spans="2:2" ht="15.5" x14ac:dyDescent="0.35">
      <c r="B3445" s="167"/>
    </row>
    <row r="3446" spans="2:2" ht="15.5" x14ac:dyDescent="0.35">
      <c r="B3446" s="167"/>
    </row>
    <row r="3447" spans="2:2" ht="15.5" x14ac:dyDescent="0.35">
      <c r="B3447" s="167"/>
    </row>
    <row r="3448" spans="2:2" ht="15.5" x14ac:dyDescent="0.35">
      <c r="B3448" s="167"/>
    </row>
    <row r="3449" spans="2:2" ht="15.5" x14ac:dyDescent="0.35">
      <c r="B3449" s="167"/>
    </row>
    <row r="3450" spans="2:2" ht="15.5" x14ac:dyDescent="0.35">
      <c r="B3450" s="167"/>
    </row>
    <row r="3451" spans="2:2" ht="15.5" x14ac:dyDescent="0.35">
      <c r="B3451" s="167"/>
    </row>
    <row r="3452" spans="2:2" ht="15.5" x14ac:dyDescent="0.35">
      <c r="B3452" s="167"/>
    </row>
    <row r="3453" spans="2:2" ht="15.5" x14ac:dyDescent="0.35">
      <c r="B3453" s="167"/>
    </row>
    <row r="3454" spans="2:2" ht="15.5" x14ac:dyDescent="0.35">
      <c r="B3454" s="167"/>
    </row>
    <row r="3455" spans="2:2" ht="15.5" x14ac:dyDescent="0.35">
      <c r="B3455" s="167"/>
    </row>
    <row r="3456" spans="2:2" ht="15.5" x14ac:dyDescent="0.35">
      <c r="B3456" s="167"/>
    </row>
    <row r="3457" spans="2:2" ht="15.5" x14ac:dyDescent="0.35">
      <c r="B3457" s="167"/>
    </row>
    <row r="3458" spans="2:2" ht="15.5" x14ac:dyDescent="0.35">
      <c r="B3458" s="167"/>
    </row>
    <row r="3459" spans="2:2" ht="15.5" x14ac:dyDescent="0.35">
      <c r="B3459" s="167"/>
    </row>
    <row r="3460" spans="2:2" ht="15.5" x14ac:dyDescent="0.35">
      <c r="B3460" s="167"/>
    </row>
    <row r="3461" spans="2:2" ht="15.5" x14ac:dyDescent="0.35">
      <c r="B3461" s="167"/>
    </row>
    <row r="3462" spans="2:2" ht="15.5" x14ac:dyDescent="0.35">
      <c r="B3462" s="167"/>
    </row>
    <row r="3463" spans="2:2" ht="15.5" x14ac:dyDescent="0.35">
      <c r="B3463" s="167"/>
    </row>
    <row r="3464" spans="2:2" ht="15.5" x14ac:dyDescent="0.35">
      <c r="B3464" s="167"/>
    </row>
    <row r="3465" spans="2:2" ht="15.5" x14ac:dyDescent="0.35">
      <c r="B3465" s="167"/>
    </row>
    <row r="3466" spans="2:2" ht="15.5" x14ac:dyDescent="0.35">
      <c r="B3466" s="167"/>
    </row>
    <row r="3467" spans="2:2" ht="15.5" x14ac:dyDescent="0.35">
      <c r="B3467" s="167"/>
    </row>
    <row r="3468" spans="2:2" ht="15.5" x14ac:dyDescent="0.35">
      <c r="B3468" s="167"/>
    </row>
    <row r="3469" spans="2:2" ht="15.5" x14ac:dyDescent="0.35">
      <c r="B3469" s="167"/>
    </row>
    <row r="3470" spans="2:2" ht="15.5" x14ac:dyDescent="0.35">
      <c r="B3470" s="167"/>
    </row>
    <row r="3471" spans="2:2" ht="15.5" x14ac:dyDescent="0.35">
      <c r="B3471" s="167"/>
    </row>
    <row r="3472" spans="2:2" ht="15.5" x14ac:dyDescent="0.35">
      <c r="B3472" s="167"/>
    </row>
    <row r="3473" spans="2:2" ht="15.5" x14ac:dyDescent="0.35">
      <c r="B3473" s="167"/>
    </row>
    <row r="3474" spans="2:2" ht="15.5" x14ac:dyDescent="0.35">
      <c r="B3474" s="167"/>
    </row>
    <row r="3475" spans="2:2" ht="15.5" x14ac:dyDescent="0.35">
      <c r="B3475" s="167"/>
    </row>
    <row r="3476" spans="2:2" ht="15.5" x14ac:dyDescent="0.35">
      <c r="B3476" s="167"/>
    </row>
    <row r="3477" spans="2:2" ht="15.5" x14ac:dyDescent="0.35">
      <c r="B3477" s="167"/>
    </row>
    <row r="3478" spans="2:2" ht="15.5" x14ac:dyDescent="0.35">
      <c r="B3478" s="167"/>
    </row>
    <row r="3479" spans="2:2" ht="15.5" x14ac:dyDescent="0.35">
      <c r="B3479" s="167"/>
    </row>
    <row r="3480" spans="2:2" ht="15.5" x14ac:dyDescent="0.35">
      <c r="B3480" s="167"/>
    </row>
    <row r="3481" spans="2:2" ht="15.5" x14ac:dyDescent="0.35">
      <c r="B3481" s="167"/>
    </row>
    <row r="3482" spans="2:2" ht="15.5" x14ac:dyDescent="0.35">
      <c r="B3482" s="167"/>
    </row>
    <row r="3483" spans="2:2" ht="15.5" x14ac:dyDescent="0.35">
      <c r="B3483" s="167"/>
    </row>
    <row r="3484" spans="2:2" ht="15.5" x14ac:dyDescent="0.35">
      <c r="B3484" s="167"/>
    </row>
    <row r="3485" spans="2:2" ht="15.5" x14ac:dyDescent="0.35">
      <c r="B3485" s="167"/>
    </row>
    <row r="3486" spans="2:2" ht="15.5" x14ac:dyDescent="0.35">
      <c r="B3486" s="167"/>
    </row>
    <row r="3487" spans="2:2" ht="15.5" x14ac:dyDescent="0.35">
      <c r="B3487" s="167"/>
    </row>
    <row r="3488" spans="2:2" ht="15.5" x14ac:dyDescent="0.35">
      <c r="B3488" s="167"/>
    </row>
    <row r="3489" spans="2:2" ht="15.5" x14ac:dyDescent="0.35">
      <c r="B3489" s="167"/>
    </row>
    <row r="3490" spans="2:2" ht="15.5" x14ac:dyDescent="0.35">
      <c r="B3490" s="167"/>
    </row>
    <row r="3491" spans="2:2" ht="15.5" x14ac:dyDescent="0.35">
      <c r="B3491" s="167"/>
    </row>
    <row r="3492" spans="2:2" ht="15.5" x14ac:dyDescent="0.35">
      <c r="B3492" s="167"/>
    </row>
    <row r="3493" spans="2:2" ht="15.5" x14ac:dyDescent="0.35">
      <c r="B3493" s="167"/>
    </row>
    <row r="3494" spans="2:2" ht="15.5" x14ac:dyDescent="0.35">
      <c r="B3494" s="167"/>
    </row>
    <row r="3495" spans="2:2" ht="15.5" x14ac:dyDescent="0.35">
      <c r="B3495" s="167"/>
    </row>
    <row r="3496" spans="2:2" ht="15.5" x14ac:dyDescent="0.35">
      <c r="B3496" s="167"/>
    </row>
    <row r="3497" spans="2:2" ht="15.5" x14ac:dyDescent="0.35">
      <c r="B3497" s="167"/>
    </row>
    <row r="3498" spans="2:2" ht="15.5" x14ac:dyDescent="0.35">
      <c r="B3498" s="167"/>
    </row>
    <row r="3499" spans="2:2" ht="15.5" x14ac:dyDescent="0.35">
      <c r="B3499" s="167"/>
    </row>
    <row r="3500" spans="2:2" ht="15.5" x14ac:dyDescent="0.35">
      <c r="B3500" s="167"/>
    </row>
    <row r="3501" spans="2:2" ht="15.5" x14ac:dyDescent="0.35">
      <c r="B3501" s="167"/>
    </row>
    <row r="3502" spans="2:2" ht="15.5" x14ac:dyDescent="0.35">
      <c r="B3502" s="167"/>
    </row>
    <row r="3503" spans="2:2" ht="15.5" x14ac:dyDescent="0.35">
      <c r="B3503" s="167"/>
    </row>
    <row r="3504" spans="2:2" ht="15.5" x14ac:dyDescent="0.35">
      <c r="B3504" s="167"/>
    </row>
    <row r="3505" spans="2:2" ht="15.5" x14ac:dyDescent="0.35">
      <c r="B3505" s="167"/>
    </row>
    <row r="3506" spans="2:2" ht="15.5" x14ac:dyDescent="0.35">
      <c r="B3506" s="167"/>
    </row>
    <row r="3507" spans="2:2" ht="15.5" x14ac:dyDescent="0.35">
      <c r="B3507" s="167"/>
    </row>
    <row r="3508" spans="2:2" ht="15.5" x14ac:dyDescent="0.35">
      <c r="B3508" s="167"/>
    </row>
    <row r="3509" spans="2:2" ht="15.5" x14ac:dyDescent="0.35">
      <c r="B3509" s="167"/>
    </row>
    <row r="3510" spans="2:2" ht="15.5" x14ac:dyDescent="0.35">
      <c r="B3510" s="167"/>
    </row>
    <row r="3511" spans="2:2" ht="15.5" x14ac:dyDescent="0.35">
      <c r="B3511" s="167"/>
    </row>
    <row r="3512" spans="2:2" ht="15.5" x14ac:dyDescent="0.35">
      <c r="B3512" s="167"/>
    </row>
    <row r="3513" spans="2:2" ht="15.5" x14ac:dyDescent="0.35">
      <c r="B3513" s="167"/>
    </row>
    <row r="3514" spans="2:2" ht="15.5" x14ac:dyDescent="0.35">
      <c r="B3514" s="167"/>
    </row>
    <row r="3515" spans="2:2" ht="15.5" x14ac:dyDescent="0.35">
      <c r="B3515" s="167"/>
    </row>
    <row r="3516" spans="2:2" ht="15.5" x14ac:dyDescent="0.35">
      <c r="B3516" s="167"/>
    </row>
    <row r="3517" spans="2:2" ht="15.5" x14ac:dyDescent="0.35">
      <c r="B3517" s="167"/>
    </row>
    <row r="3518" spans="2:2" ht="15.5" x14ac:dyDescent="0.35">
      <c r="B3518" s="167"/>
    </row>
    <row r="3519" spans="2:2" ht="15.5" x14ac:dyDescent="0.35">
      <c r="B3519" s="167"/>
    </row>
    <row r="3520" spans="2:2" ht="15.5" x14ac:dyDescent="0.35">
      <c r="B3520" s="167"/>
    </row>
    <row r="3521" spans="2:2" ht="15.5" x14ac:dyDescent="0.35">
      <c r="B3521" s="167"/>
    </row>
    <row r="3522" spans="2:2" ht="15.5" x14ac:dyDescent="0.35">
      <c r="B3522" s="167"/>
    </row>
    <row r="3523" spans="2:2" ht="15.5" x14ac:dyDescent="0.35">
      <c r="B3523" s="167"/>
    </row>
    <row r="3524" spans="2:2" ht="15.5" x14ac:dyDescent="0.35">
      <c r="B3524" s="167"/>
    </row>
    <row r="3525" spans="2:2" ht="15.5" x14ac:dyDescent="0.35">
      <c r="B3525" s="167"/>
    </row>
    <row r="3526" spans="2:2" ht="15.5" x14ac:dyDescent="0.35">
      <c r="B3526" s="167"/>
    </row>
    <row r="3527" spans="2:2" ht="15.5" x14ac:dyDescent="0.35">
      <c r="B3527" s="167"/>
    </row>
    <row r="3528" spans="2:2" ht="15.5" x14ac:dyDescent="0.35">
      <c r="B3528" s="167"/>
    </row>
    <row r="3529" spans="2:2" ht="15.5" x14ac:dyDescent="0.35">
      <c r="B3529" s="167"/>
    </row>
    <row r="3530" spans="2:2" ht="15.5" x14ac:dyDescent="0.35">
      <c r="B3530" s="167"/>
    </row>
    <row r="3531" spans="2:2" ht="15.5" x14ac:dyDescent="0.35">
      <c r="B3531" s="167"/>
    </row>
    <row r="3532" spans="2:2" ht="15.5" x14ac:dyDescent="0.35">
      <c r="B3532" s="167"/>
    </row>
    <row r="3533" spans="2:2" ht="15.5" x14ac:dyDescent="0.35">
      <c r="B3533" s="167"/>
    </row>
    <row r="3534" spans="2:2" ht="15.5" x14ac:dyDescent="0.35">
      <c r="B3534" s="167"/>
    </row>
    <row r="3535" spans="2:2" ht="15.5" x14ac:dyDescent="0.35">
      <c r="B3535" s="167"/>
    </row>
    <row r="3536" spans="2:2" ht="15.5" x14ac:dyDescent="0.35">
      <c r="B3536" s="167"/>
    </row>
    <row r="3537" spans="2:2" ht="15.5" x14ac:dyDescent="0.35">
      <c r="B3537" s="167"/>
    </row>
    <row r="3538" spans="2:2" ht="15.5" x14ac:dyDescent="0.35">
      <c r="B3538" s="167"/>
    </row>
    <row r="3539" spans="2:2" ht="15.5" x14ac:dyDescent="0.35">
      <c r="B3539" s="167"/>
    </row>
    <row r="3540" spans="2:2" ht="15.5" x14ac:dyDescent="0.35">
      <c r="B3540" s="167"/>
    </row>
    <row r="3541" spans="2:2" ht="15.5" x14ac:dyDescent="0.35">
      <c r="B3541" s="167"/>
    </row>
    <row r="3542" spans="2:2" ht="15.5" x14ac:dyDescent="0.35">
      <c r="B3542" s="167"/>
    </row>
    <row r="3543" spans="2:2" ht="15.5" x14ac:dyDescent="0.35">
      <c r="B3543" s="167"/>
    </row>
    <row r="3544" spans="2:2" ht="15.5" x14ac:dyDescent="0.35">
      <c r="B3544" s="167"/>
    </row>
    <row r="3545" spans="2:2" ht="15.5" x14ac:dyDescent="0.35">
      <c r="B3545" s="167"/>
    </row>
    <row r="3546" spans="2:2" ht="15.5" x14ac:dyDescent="0.35">
      <c r="B3546" s="167"/>
    </row>
    <row r="3547" spans="2:2" ht="15.5" x14ac:dyDescent="0.35">
      <c r="B3547" s="167"/>
    </row>
    <row r="3548" spans="2:2" ht="15.5" x14ac:dyDescent="0.35">
      <c r="B3548" s="167"/>
    </row>
    <row r="3549" spans="2:2" ht="15.5" x14ac:dyDescent="0.35">
      <c r="B3549" s="167"/>
    </row>
    <row r="3550" spans="2:2" ht="15.5" x14ac:dyDescent="0.35">
      <c r="B3550" s="167"/>
    </row>
    <row r="3551" spans="2:2" ht="15.5" x14ac:dyDescent="0.35">
      <c r="B3551" s="167"/>
    </row>
    <row r="3552" spans="2:2" ht="15.5" x14ac:dyDescent="0.35">
      <c r="B3552" s="167"/>
    </row>
    <row r="3553" spans="2:2" ht="15.5" x14ac:dyDescent="0.35">
      <c r="B3553" s="167"/>
    </row>
    <row r="3554" spans="2:2" ht="15.5" x14ac:dyDescent="0.35">
      <c r="B3554" s="167"/>
    </row>
    <row r="3555" spans="2:2" ht="15.5" x14ac:dyDescent="0.35">
      <c r="B3555" s="167"/>
    </row>
    <row r="3556" spans="2:2" ht="15.5" x14ac:dyDescent="0.35">
      <c r="B3556" s="167"/>
    </row>
    <row r="3557" spans="2:2" ht="15.5" x14ac:dyDescent="0.35">
      <c r="B3557" s="167"/>
    </row>
    <row r="3558" spans="2:2" ht="15.5" x14ac:dyDescent="0.35">
      <c r="B3558" s="167"/>
    </row>
    <row r="3559" spans="2:2" ht="15.5" x14ac:dyDescent="0.35">
      <c r="B3559" s="167"/>
    </row>
    <row r="3560" spans="2:2" ht="15.5" x14ac:dyDescent="0.35">
      <c r="B3560" s="167"/>
    </row>
    <row r="3561" spans="2:2" ht="15.5" x14ac:dyDescent="0.35">
      <c r="B3561" s="167"/>
    </row>
    <row r="3562" spans="2:2" ht="15.5" x14ac:dyDescent="0.35">
      <c r="B3562" s="167"/>
    </row>
    <row r="3563" spans="2:2" ht="15.5" x14ac:dyDescent="0.35">
      <c r="B3563" s="167"/>
    </row>
    <row r="3564" spans="2:2" ht="15.5" x14ac:dyDescent="0.35">
      <c r="B3564" s="167"/>
    </row>
    <row r="3565" spans="2:2" ht="15.5" x14ac:dyDescent="0.35">
      <c r="B3565" s="167"/>
    </row>
    <row r="3566" spans="2:2" ht="15.5" x14ac:dyDescent="0.35">
      <c r="B3566" s="167"/>
    </row>
    <row r="3567" spans="2:2" ht="15.5" x14ac:dyDescent="0.35">
      <c r="B3567" s="167"/>
    </row>
    <row r="3568" spans="2:2" ht="15.5" x14ac:dyDescent="0.35">
      <c r="B3568" s="167"/>
    </row>
    <row r="3569" spans="2:2" ht="15.5" x14ac:dyDescent="0.35">
      <c r="B3569" s="167"/>
    </row>
    <row r="3570" spans="2:2" ht="15.5" x14ac:dyDescent="0.35">
      <c r="B3570" s="167"/>
    </row>
    <row r="3571" spans="2:2" ht="15.5" x14ac:dyDescent="0.35">
      <c r="B3571" s="167"/>
    </row>
    <row r="3572" spans="2:2" ht="15.5" x14ac:dyDescent="0.35">
      <c r="B3572" s="167"/>
    </row>
    <row r="3573" spans="2:2" ht="15.5" x14ac:dyDescent="0.35">
      <c r="B3573" s="167"/>
    </row>
    <row r="3574" spans="2:2" ht="15.5" x14ac:dyDescent="0.35">
      <c r="B3574" s="167"/>
    </row>
    <row r="3575" spans="2:2" ht="15.5" x14ac:dyDescent="0.35">
      <c r="B3575" s="167"/>
    </row>
    <row r="3576" spans="2:2" ht="15.5" x14ac:dyDescent="0.35">
      <c r="B3576" s="167"/>
    </row>
    <row r="3577" spans="2:2" ht="15.5" x14ac:dyDescent="0.35">
      <c r="B3577" s="167"/>
    </row>
    <row r="3578" spans="2:2" ht="15.5" x14ac:dyDescent="0.35">
      <c r="B3578" s="167"/>
    </row>
    <row r="3579" spans="2:2" ht="15.5" x14ac:dyDescent="0.35">
      <c r="B3579" s="167"/>
    </row>
    <row r="3580" spans="2:2" ht="15.5" x14ac:dyDescent="0.35">
      <c r="B3580" s="167"/>
    </row>
    <row r="3581" spans="2:2" ht="15.5" x14ac:dyDescent="0.35">
      <c r="B3581" s="167"/>
    </row>
    <row r="3582" spans="2:2" ht="15.5" x14ac:dyDescent="0.35">
      <c r="B3582" s="167"/>
    </row>
    <row r="3583" spans="2:2" ht="15.5" x14ac:dyDescent="0.35">
      <c r="B3583" s="167"/>
    </row>
    <row r="3584" spans="2:2" ht="15.5" x14ac:dyDescent="0.35">
      <c r="B3584" s="167"/>
    </row>
    <row r="3585" spans="2:2" ht="15.5" x14ac:dyDescent="0.35">
      <c r="B3585" s="167"/>
    </row>
    <row r="3586" spans="2:2" ht="15.5" x14ac:dyDescent="0.35">
      <c r="B3586" s="167"/>
    </row>
    <row r="3587" spans="2:2" ht="15.5" x14ac:dyDescent="0.35">
      <c r="B3587" s="167"/>
    </row>
    <row r="3588" spans="2:2" ht="15.5" x14ac:dyDescent="0.35">
      <c r="B3588" s="167"/>
    </row>
    <row r="3589" spans="2:2" ht="15.5" x14ac:dyDescent="0.35">
      <c r="B3589" s="167"/>
    </row>
    <row r="3590" spans="2:2" ht="15.5" x14ac:dyDescent="0.35">
      <c r="B3590" s="167"/>
    </row>
    <row r="3591" spans="2:2" ht="15.5" x14ac:dyDescent="0.35">
      <c r="B3591" s="167"/>
    </row>
    <row r="3592" spans="2:2" ht="15.5" x14ac:dyDescent="0.35">
      <c r="B3592" s="167"/>
    </row>
    <row r="3593" spans="2:2" ht="15.5" x14ac:dyDescent="0.35">
      <c r="B3593" s="167"/>
    </row>
    <row r="3594" spans="2:2" ht="15.5" x14ac:dyDescent="0.35">
      <c r="B3594" s="167"/>
    </row>
    <row r="3595" spans="2:2" ht="15.5" x14ac:dyDescent="0.35">
      <c r="B3595" s="167"/>
    </row>
    <row r="3596" spans="2:2" ht="15.5" x14ac:dyDescent="0.35">
      <c r="B3596" s="167"/>
    </row>
    <row r="3597" spans="2:2" ht="15.5" x14ac:dyDescent="0.35">
      <c r="B3597" s="167"/>
    </row>
    <row r="3598" spans="2:2" ht="15.5" x14ac:dyDescent="0.35">
      <c r="B3598" s="167"/>
    </row>
    <row r="3599" spans="2:2" ht="15.5" x14ac:dyDescent="0.35">
      <c r="B3599" s="167"/>
    </row>
    <row r="3600" spans="2:2" ht="15.5" x14ac:dyDescent="0.35">
      <c r="B3600" s="167"/>
    </row>
    <row r="3601" spans="2:2" ht="15.5" x14ac:dyDescent="0.35">
      <c r="B3601" s="167"/>
    </row>
    <row r="3602" spans="2:2" ht="15.5" x14ac:dyDescent="0.35">
      <c r="B3602" s="167"/>
    </row>
    <row r="3603" spans="2:2" ht="15.5" x14ac:dyDescent="0.35">
      <c r="B3603" s="167"/>
    </row>
    <row r="3604" spans="2:2" ht="15.5" x14ac:dyDescent="0.35">
      <c r="B3604" s="167"/>
    </row>
    <row r="3605" spans="2:2" ht="15.5" x14ac:dyDescent="0.35">
      <c r="B3605" s="167"/>
    </row>
    <row r="3606" spans="2:2" ht="15.5" x14ac:dyDescent="0.35">
      <c r="B3606" s="167"/>
    </row>
    <row r="3607" spans="2:2" ht="15.5" x14ac:dyDescent="0.35">
      <c r="B3607" s="167"/>
    </row>
    <row r="3608" spans="2:2" ht="15.5" x14ac:dyDescent="0.35">
      <c r="B3608" s="167"/>
    </row>
    <row r="3609" spans="2:2" ht="15.5" x14ac:dyDescent="0.35">
      <c r="B3609" s="167"/>
    </row>
    <row r="3610" spans="2:2" ht="15.5" x14ac:dyDescent="0.35">
      <c r="B3610" s="167"/>
    </row>
    <row r="3611" spans="2:2" ht="15.5" x14ac:dyDescent="0.35">
      <c r="B3611" s="167"/>
    </row>
    <row r="3612" spans="2:2" ht="15.5" x14ac:dyDescent="0.35">
      <c r="B3612" s="167"/>
    </row>
    <row r="3613" spans="2:2" ht="15.5" x14ac:dyDescent="0.35">
      <c r="B3613" s="167"/>
    </row>
    <row r="3614" spans="2:2" ht="15.5" x14ac:dyDescent="0.35">
      <c r="B3614" s="167"/>
    </row>
    <row r="3615" spans="2:2" ht="15.5" x14ac:dyDescent="0.35">
      <c r="B3615" s="167"/>
    </row>
    <row r="3616" spans="2:2" ht="15.5" x14ac:dyDescent="0.35">
      <c r="B3616" s="167"/>
    </row>
    <row r="3617" spans="2:2" ht="15.5" x14ac:dyDescent="0.35">
      <c r="B3617" s="167"/>
    </row>
    <row r="3618" spans="2:2" ht="15.5" x14ac:dyDescent="0.35">
      <c r="B3618" s="167"/>
    </row>
    <row r="3619" spans="2:2" ht="15.5" x14ac:dyDescent="0.35">
      <c r="B3619" s="167"/>
    </row>
    <row r="3620" spans="2:2" ht="15.5" x14ac:dyDescent="0.35">
      <c r="B3620" s="167"/>
    </row>
    <row r="3621" spans="2:2" ht="15.5" x14ac:dyDescent="0.35">
      <c r="B3621" s="167"/>
    </row>
    <row r="3622" spans="2:2" ht="15.5" x14ac:dyDescent="0.35">
      <c r="B3622" s="167"/>
    </row>
    <row r="3623" spans="2:2" ht="15.5" x14ac:dyDescent="0.35">
      <c r="B3623" s="167"/>
    </row>
    <row r="3624" spans="2:2" ht="15.5" x14ac:dyDescent="0.35">
      <c r="B3624" s="167"/>
    </row>
    <row r="3625" spans="2:2" ht="15.5" x14ac:dyDescent="0.35">
      <c r="B3625" s="167"/>
    </row>
    <row r="3626" spans="2:2" ht="15.5" x14ac:dyDescent="0.35">
      <c r="B3626" s="167"/>
    </row>
    <row r="3627" spans="2:2" ht="15.5" x14ac:dyDescent="0.35">
      <c r="B3627" s="167"/>
    </row>
    <row r="3628" spans="2:2" ht="15.5" x14ac:dyDescent="0.35">
      <c r="B3628" s="167"/>
    </row>
    <row r="3629" spans="2:2" ht="15.5" x14ac:dyDescent="0.35">
      <c r="B3629" s="167"/>
    </row>
    <row r="3630" spans="2:2" ht="15.5" x14ac:dyDescent="0.35">
      <c r="B3630" s="167"/>
    </row>
    <row r="3631" spans="2:2" ht="15.5" x14ac:dyDescent="0.35">
      <c r="B3631" s="167"/>
    </row>
    <row r="3632" spans="2:2" ht="15.5" x14ac:dyDescent="0.35">
      <c r="B3632" s="167"/>
    </row>
    <row r="3633" spans="2:2" ht="15.5" x14ac:dyDescent="0.35">
      <c r="B3633" s="167"/>
    </row>
    <row r="3634" spans="2:2" ht="15.5" x14ac:dyDescent="0.35">
      <c r="B3634" s="167"/>
    </row>
    <row r="3635" spans="2:2" ht="15.5" x14ac:dyDescent="0.35">
      <c r="B3635" s="167"/>
    </row>
    <row r="3636" spans="2:2" ht="15.5" x14ac:dyDescent="0.35">
      <c r="B3636" s="167"/>
    </row>
    <row r="3637" spans="2:2" ht="15.5" x14ac:dyDescent="0.35">
      <c r="B3637" s="167"/>
    </row>
    <row r="3638" spans="2:2" ht="15.5" x14ac:dyDescent="0.35">
      <c r="B3638" s="167"/>
    </row>
    <row r="3639" spans="2:2" ht="15.5" x14ac:dyDescent="0.35">
      <c r="B3639" s="167"/>
    </row>
    <row r="3640" spans="2:2" ht="15.5" x14ac:dyDescent="0.35">
      <c r="B3640" s="167"/>
    </row>
    <row r="3641" spans="2:2" ht="15.5" x14ac:dyDescent="0.35">
      <c r="B3641" s="167"/>
    </row>
    <row r="3642" spans="2:2" ht="15.5" x14ac:dyDescent="0.35">
      <c r="B3642" s="167"/>
    </row>
    <row r="3643" spans="2:2" ht="15.5" x14ac:dyDescent="0.35">
      <c r="B3643" s="167"/>
    </row>
    <row r="3644" spans="2:2" ht="15.5" x14ac:dyDescent="0.35">
      <c r="B3644" s="167"/>
    </row>
    <row r="3645" spans="2:2" ht="15.5" x14ac:dyDescent="0.35">
      <c r="B3645" s="167"/>
    </row>
    <row r="3646" spans="2:2" ht="15.5" x14ac:dyDescent="0.35">
      <c r="B3646" s="167"/>
    </row>
    <row r="3647" spans="2:2" ht="15.5" x14ac:dyDescent="0.35">
      <c r="B3647" s="167"/>
    </row>
    <row r="3648" spans="2:2" ht="15.5" x14ac:dyDescent="0.35">
      <c r="B3648" s="167"/>
    </row>
    <row r="3649" spans="2:2" ht="15.5" x14ac:dyDescent="0.35">
      <c r="B3649" s="167"/>
    </row>
    <row r="3650" spans="2:2" ht="15.5" x14ac:dyDescent="0.35">
      <c r="B3650" s="167"/>
    </row>
    <row r="3651" spans="2:2" ht="15.5" x14ac:dyDescent="0.35">
      <c r="B3651" s="167"/>
    </row>
    <row r="3652" spans="2:2" ht="15.5" x14ac:dyDescent="0.35">
      <c r="B3652" s="167"/>
    </row>
    <row r="3653" spans="2:2" ht="15.5" x14ac:dyDescent="0.35">
      <c r="B3653" s="167"/>
    </row>
    <row r="3654" spans="2:2" ht="15.5" x14ac:dyDescent="0.35">
      <c r="B3654" s="167"/>
    </row>
    <row r="3655" spans="2:2" ht="15.5" x14ac:dyDescent="0.35">
      <c r="B3655" s="167"/>
    </row>
    <row r="3656" spans="2:2" ht="15.5" x14ac:dyDescent="0.35">
      <c r="B3656" s="167"/>
    </row>
    <row r="3657" spans="2:2" ht="15.5" x14ac:dyDescent="0.35">
      <c r="B3657" s="167"/>
    </row>
    <row r="3658" spans="2:2" ht="15.5" x14ac:dyDescent="0.35">
      <c r="B3658" s="167"/>
    </row>
    <row r="3659" spans="2:2" ht="15.5" x14ac:dyDescent="0.35">
      <c r="B3659" s="167"/>
    </row>
    <row r="3660" spans="2:2" ht="15.5" x14ac:dyDescent="0.35">
      <c r="B3660" s="167"/>
    </row>
    <row r="3661" spans="2:2" ht="15.5" x14ac:dyDescent="0.35">
      <c r="B3661" s="167"/>
    </row>
    <row r="3662" spans="2:2" ht="15.5" x14ac:dyDescent="0.35">
      <c r="B3662" s="167"/>
    </row>
    <row r="3663" spans="2:2" ht="15.5" x14ac:dyDescent="0.35">
      <c r="B3663" s="167"/>
    </row>
    <row r="3664" spans="2:2" ht="15.5" x14ac:dyDescent="0.35">
      <c r="B3664" s="167"/>
    </row>
    <row r="3665" spans="2:2" ht="15.5" x14ac:dyDescent="0.35">
      <c r="B3665" s="167"/>
    </row>
    <row r="3666" spans="2:2" ht="15.5" x14ac:dyDescent="0.35">
      <c r="B3666" s="167"/>
    </row>
    <row r="3667" spans="2:2" ht="15.5" x14ac:dyDescent="0.35">
      <c r="B3667" s="167"/>
    </row>
    <row r="3668" spans="2:2" ht="15.5" x14ac:dyDescent="0.35">
      <c r="B3668" s="167"/>
    </row>
    <row r="3669" spans="2:2" ht="15.5" x14ac:dyDescent="0.35">
      <c r="B3669" s="167"/>
    </row>
    <row r="3670" spans="2:2" ht="15.5" x14ac:dyDescent="0.35">
      <c r="B3670" s="167"/>
    </row>
    <row r="3671" spans="2:2" ht="15.5" x14ac:dyDescent="0.35">
      <c r="B3671" s="167"/>
    </row>
    <row r="3672" spans="2:2" ht="15.5" x14ac:dyDescent="0.35">
      <c r="B3672" s="167"/>
    </row>
    <row r="3673" spans="2:2" ht="15.5" x14ac:dyDescent="0.35">
      <c r="B3673" s="167"/>
    </row>
    <row r="3674" spans="2:2" ht="15.5" x14ac:dyDescent="0.35">
      <c r="B3674" s="167"/>
    </row>
    <row r="3675" spans="2:2" ht="15.5" x14ac:dyDescent="0.35">
      <c r="B3675" s="167"/>
    </row>
    <row r="3676" spans="2:2" ht="15.5" x14ac:dyDescent="0.35">
      <c r="B3676" s="167"/>
    </row>
    <row r="3677" spans="2:2" ht="15.5" x14ac:dyDescent="0.35">
      <c r="B3677" s="167"/>
    </row>
    <row r="3678" spans="2:2" ht="15.5" x14ac:dyDescent="0.35">
      <c r="B3678" s="167"/>
    </row>
    <row r="3679" spans="2:2" ht="15.5" x14ac:dyDescent="0.35">
      <c r="B3679" s="167"/>
    </row>
    <row r="3680" spans="2:2" ht="15.5" x14ac:dyDescent="0.35">
      <c r="B3680" s="167"/>
    </row>
    <row r="3681" spans="2:2" ht="15.5" x14ac:dyDescent="0.35">
      <c r="B3681" s="167"/>
    </row>
    <row r="3682" spans="2:2" ht="15.5" x14ac:dyDescent="0.35">
      <c r="B3682" s="167"/>
    </row>
    <row r="3683" spans="2:2" ht="15.5" x14ac:dyDescent="0.35">
      <c r="B3683" s="167"/>
    </row>
    <row r="3684" spans="2:2" ht="15.5" x14ac:dyDescent="0.35">
      <c r="B3684" s="167"/>
    </row>
    <row r="3685" spans="2:2" ht="15.5" x14ac:dyDescent="0.35">
      <c r="B3685" s="167"/>
    </row>
    <row r="3686" spans="2:2" ht="15.5" x14ac:dyDescent="0.35">
      <c r="B3686" s="167"/>
    </row>
    <row r="3687" spans="2:2" ht="15.5" x14ac:dyDescent="0.35">
      <c r="B3687" s="167"/>
    </row>
    <row r="3688" spans="2:2" ht="15.5" x14ac:dyDescent="0.35">
      <c r="B3688" s="167"/>
    </row>
    <row r="3689" spans="2:2" ht="15.5" x14ac:dyDescent="0.35">
      <c r="B3689" s="167"/>
    </row>
    <row r="3690" spans="2:2" ht="15.5" x14ac:dyDescent="0.35">
      <c r="B3690" s="167"/>
    </row>
    <row r="3691" spans="2:2" ht="15.5" x14ac:dyDescent="0.35">
      <c r="B3691" s="167"/>
    </row>
    <row r="3692" spans="2:2" ht="15.5" x14ac:dyDescent="0.35">
      <c r="B3692" s="167"/>
    </row>
    <row r="3693" spans="2:2" ht="15.5" x14ac:dyDescent="0.35">
      <c r="B3693" s="167"/>
    </row>
    <row r="3694" spans="2:2" ht="15.5" x14ac:dyDescent="0.35">
      <c r="B3694" s="167"/>
    </row>
    <row r="3695" spans="2:2" ht="15.5" x14ac:dyDescent="0.35">
      <c r="B3695" s="167"/>
    </row>
    <row r="3696" spans="2:2" ht="15.5" x14ac:dyDescent="0.35">
      <c r="B3696" s="167"/>
    </row>
    <row r="3697" spans="2:2" ht="15.5" x14ac:dyDescent="0.35">
      <c r="B3697" s="167"/>
    </row>
    <row r="3698" spans="2:2" ht="15.5" x14ac:dyDescent="0.35">
      <c r="B3698" s="167"/>
    </row>
    <row r="3699" spans="2:2" ht="15.5" x14ac:dyDescent="0.35">
      <c r="B3699" s="167"/>
    </row>
    <row r="3700" spans="2:2" ht="15.5" x14ac:dyDescent="0.35">
      <c r="B3700" s="167"/>
    </row>
    <row r="3701" spans="2:2" ht="15.5" x14ac:dyDescent="0.35">
      <c r="B3701" s="167"/>
    </row>
    <row r="3702" spans="2:2" ht="15.5" x14ac:dyDescent="0.35">
      <c r="B3702" s="167"/>
    </row>
    <row r="3703" spans="2:2" ht="15.5" x14ac:dyDescent="0.35">
      <c r="B3703" s="167"/>
    </row>
    <row r="3704" spans="2:2" ht="15.5" x14ac:dyDescent="0.35">
      <c r="B3704" s="167"/>
    </row>
    <row r="3705" spans="2:2" ht="15.5" x14ac:dyDescent="0.35">
      <c r="B3705" s="167"/>
    </row>
    <row r="3706" spans="2:2" ht="15.5" x14ac:dyDescent="0.35">
      <c r="B3706" s="167"/>
    </row>
    <row r="3707" spans="2:2" ht="15.5" x14ac:dyDescent="0.35">
      <c r="B3707" s="167"/>
    </row>
    <row r="3708" spans="2:2" ht="15.5" x14ac:dyDescent="0.35">
      <c r="B3708" s="167"/>
    </row>
    <row r="3709" spans="2:2" ht="15.5" x14ac:dyDescent="0.35">
      <c r="B3709" s="167"/>
    </row>
    <row r="3710" spans="2:2" ht="15.5" x14ac:dyDescent="0.35">
      <c r="B3710" s="167"/>
    </row>
    <row r="3711" spans="2:2" ht="15.5" x14ac:dyDescent="0.35">
      <c r="B3711" s="167"/>
    </row>
    <row r="3712" spans="2:2" ht="15.5" x14ac:dyDescent="0.35">
      <c r="B3712" s="167"/>
    </row>
    <row r="3713" spans="2:2" ht="15.5" x14ac:dyDescent="0.35">
      <c r="B3713" s="167"/>
    </row>
    <row r="3714" spans="2:2" ht="15.5" x14ac:dyDescent="0.35">
      <c r="B3714" s="167"/>
    </row>
    <row r="3715" spans="2:2" ht="15.5" x14ac:dyDescent="0.35">
      <c r="B3715" s="167"/>
    </row>
    <row r="3716" spans="2:2" ht="15.5" x14ac:dyDescent="0.35">
      <c r="B3716" s="167"/>
    </row>
    <row r="3717" spans="2:2" ht="15.5" x14ac:dyDescent="0.35">
      <c r="B3717" s="167"/>
    </row>
    <row r="3718" spans="2:2" ht="15.5" x14ac:dyDescent="0.35">
      <c r="B3718" s="167"/>
    </row>
    <row r="3719" spans="2:2" ht="15.5" x14ac:dyDescent="0.35">
      <c r="B3719" s="167"/>
    </row>
    <row r="3720" spans="2:2" ht="15.5" x14ac:dyDescent="0.35">
      <c r="B3720" s="167"/>
    </row>
    <row r="3721" spans="2:2" ht="15.5" x14ac:dyDescent="0.35">
      <c r="B3721" s="167"/>
    </row>
    <row r="3722" spans="2:2" ht="15.5" x14ac:dyDescent="0.35">
      <c r="B3722" s="167"/>
    </row>
    <row r="3723" spans="2:2" ht="15.5" x14ac:dyDescent="0.35">
      <c r="B3723" s="167"/>
    </row>
    <row r="3724" spans="2:2" ht="15.5" x14ac:dyDescent="0.35">
      <c r="B3724" s="167"/>
    </row>
    <row r="3725" spans="2:2" ht="15.5" x14ac:dyDescent="0.35">
      <c r="B3725" s="167"/>
    </row>
    <row r="3726" spans="2:2" ht="15.5" x14ac:dyDescent="0.35">
      <c r="B3726" s="167"/>
    </row>
    <row r="3727" spans="2:2" ht="15.5" x14ac:dyDescent="0.35">
      <c r="B3727" s="167"/>
    </row>
    <row r="3728" spans="2:2" ht="15.5" x14ac:dyDescent="0.35">
      <c r="B3728" s="167"/>
    </row>
    <row r="3729" spans="2:2" ht="15.5" x14ac:dyDescent="0.35">
      <c r="B3729" s="167"/>
    </row>
    <row r="3730" spans="2:2" ht="15.5" x14ac:dyDescent="0.35">
      <c r="B3730" s="167"/>
    </row>
    <row r="3731" spans="2:2" ht="15.5" x14ac:dyDescent="0.35">
      <c r="B3731" s="167"/>
    </row>
    <row r="3732" spans="2:2" ht="15.5" x14ac:dyDescent="0.35">
      <c r="B3732" s="167"/>
    </row>
    <row r="3733" spans="2:2" ht="15.5" x14ac:dyDescent="0.35">
      <c r="B3733" s="167"/>
    </row>
    <row r="3734" spans="2:2" ht="15.5" x14ac:dyDescent="0.35">
      <c r="B3734" s="167"/>
    </row>
    <row r="3735" spans="2:2" ht="15.5" x14ac:dyDescent="0.35">
      <c r="B3735" s="167"/>
    </row>
    <row r="3736" spans="2:2" ht="15.5" x14ac:dyDescent="0.35">
      <c r="B3736" s="167"/>
    </row>
    <row r="3737" spans="2:2" ht="15.5" x14ac:dyDescent="0.35">
      <c r="B3737" s="167"/>
    </row>
    <row r="3738" spans="2:2" ht="15.5" x14ac:dyDescent="0.35">
      <c r="B3738" s="167"/>
    </row>
    <row r="3739" spans="2:2" ht="15.5" x14ac:dyDescent="0.35">
      <c r="B3739" s="167"/>
    </row>
    <row r="3740" spans="2:2" ht="15.5" x14ac:dyDescent="0.35">
      <c r="B3740" s="167"/>
    </row>
    <row r="3741" spans="2:2" ht="15.5" x14ac:dyDescent="0.35">
      <c r="B3741" s="167"/>
    </row>
    <row r="3742" spans="2:2" ht="15.5" x14ac:dyDescent="0.35">
      <c r="B3742" s="167"/>
    </row>
    <row r="3743" spans="2:2" ht="15.5" x14ac:dyDescent="0.35">
      <c r="B3743" s="167"/>
    </row>
    <row r="3744" spans="2:2" ht="15.5" x14ac:dyDescent="0.35">
      <c r="B3744" s="167"/>
    </row>
    <row r="3745" spans="2:2" ht="15.5" x14ac:dyDescent="0.35">
      <c r="B3745" s="167"/>
    </row>
    <row r="3746" spans="2:2" ht="15.5" x14ac:dyDescent="0.35">
      <c r="B3746" s="167"/>
    </row>
    <row r="3747" spans="2:2" ht="15.5" x14ac:dyDescent="0.35">
      <c r="B3747" s="167"/>
    </row>
    <row r="3748" spans="2:2" ht="15.5" x14ac:dyDescent="0.35">
      <c r="B3748" s="167"/>
    </row>
    <row r="3749" spans="2:2" ht="15.5" x14ac:dyDescent="0.35">
      <c r="B3749" s="167"/>
    </row>
    <row r="3750" spans="2:2" ht="15.5" x14ac:dyDescent="0.35">
      <c r="B3750" s="167"/>
    </row>
    <row r="3751" spans="2:2" ht="15.5" x14ac:dyDescent="0.35">
      <c r="B3751" s="167"/>
    </row>
    <row r="3752" spans="2:2" ht="15.5" x14ac:dyDescent="0.35">
      <c r="B3752" s="167"/>
    </row>
    <row r="3753" spans="2:2" ht="15.5" x14ac:dyDescent="0.35">
      <c r="B3753" s="167"/>
    </row>
    <row r="3754" spans="2:2" ht="15.5" x14ac:dyDescent="0.35">
      <c r="B3754" s="167"/>
    </row>
    <row r="3755" spans="2:2" ht="15.5" x14ac:dyDescent="0.35">
      <c r="B3755" s="167"/>
    </row>
    <row r="3756" spans="2:2" ht="15.5" x14ac:dyDescent="0.35">
      <c r="B3756" s="167"/>
    </row>
    <row r="3757" spans="2:2" ht="15.5" x14ac:dyDescent="0.35">
      <c r="B3757" s="167"/>
    </row>
    <row r="3758" spans="2:2" ht="15.5" x14ac:dyDescent="0.35">
      <c r="B3758" s="167"/>
    </row>
    <row r="3759" spans="2:2" ht="15.5" x14ac:dyDescent="0.35">
      <c r="B3759" s="167"/>
    </row>
    <row r="3760" spans="2:2" ht="15.5" x14ac:dyDescent="0.35">
      <c r="B3760" s="167"/>
    </row>
    <row r="3761" spans="2:2" ht="15.5" x14ac:dyDescent="0.35">
      <c r="B3761" s="167"/>
    </row>
    <row r="3762" spans="2:2" ht="15.5" x14ac:dyDescent="0.35">
      <c r="B3762" s="167"/>
    </row>
    <row r="3763" spans="2:2" ht="15.5" x14ac:dyDescent="0.35">
      <c r="B3763" s="167"/>
    </row>
    <row r="3764" spans="2:2" ht="15.5" x14ac:dyDescent="0.35">
      <c r="B3764" s="167"/>
    </row>
    <row r="3765" spans="2:2" ht="15.5" x14ac:dyDescent="0.35">
      <c r="B3765" s="167"/>
    </row>
    <row r="3766" spans="2:2" ht="15.5" x14ac:dyDescent="0.35">
      <c r="B3766" s="167"/>
    </row>
    <row r="3767" spans="2:2" ht="15.5" x14ac:dyDescent="0.35">
      <c r="B3767" s="167"/>
    </row>
    <row r="3768" spans="2:2" ht="15.5" x14ac:dyDescent="0.35">
      <c r="B3768" s="167"/>
    </row>
    <row r="3769" spans="2:2" ht="15.5" x14ac:dyDescent="0.35">
      <c r="B3769" s="167"/>
    </row>
    <row r="3770" spans="2:2" ht="15.5" x14ac:dyDescent="0.35">
      <c r="B3770" s="167"/>
    </row>
    <row r="3771" spans="2:2" ht="15.5" x14ac:dyDescent="0.35">
      <c r="B3771" s="167"/>
    </row>
    <row r="3772" spans="2:2" ht="15.5" x14ac:dyDescent="0.35">
      <c r="B3772" s="167"/>
    </row>
    <row r="3773" spans="2:2" ht="15.5" x14ac:dyDescent="0.35">
      <c r="B3773" s="167"/>
    </row>
    <row r="3774" spans="2:2" ht="15.5" x14ac:dyDescent="0.35">
      <c r="B3774" s="167"/>
    </row>
    <row r="3775" spans="2:2" ht="15.5" x14ac:dyDescent="0.35">
      <c r="B3775" s="167"/>
    </row>
    <row r="3776" spans="2:2" ht="15.5" x14ac:dyDescent="0.35">
      <c r="B3776" s="167"/>
    </row>
    <row r="3777" spans="2:2" ht="15.5" x14ac:dyDescent="0.35">
      <c r="B3777" s="167"/>
    </row>
    <row r="3778" spans="2:2" ht="15.5" x14ac:dyDescent="0.35">
      <c r="B3778" s="167"/>
    </row>
    <row r="3779" spans="2:2" ht="15.5" x14ac:dyDescent="0.35">
      <c r="B3779" s="167"/>
    </row>
    <row r="3780" spans="2:2" ht="15.5" x14ac:dyDescent="0.35">
      <c r="B3780" s="167"/>
    </row>
    <row r="3781" spans="2:2" ht="15.5" x14ac:dyDescent="0.35">
      <c r="B3781" s="167"/>
    </row>
    <row r="3782" spans="2:2" ht="15.5" x14ac:dyDescent="0.35">
      <c r="B3782" s="167"/>
    </row>
    <row r="3783" spans="2:2" ht="15.5" x14ac:dyDescent="0.35">
      <c r="B3783" s="167"/>
    </row>
    <row r="3784" spans="2:2" ht="15.5" x14ac:dyDescent="0.35">
      <c r="B3784" s="167"/>
    </row>
    <row r="3785" spans="2:2" ht="15.5" x14ac:dyDescent="0.35">
      <c r="B3785" s="167"/>
    </row>
    <row r="3786" spans="2:2" ht="15.5" x14ac:dyDescent="0.35">
      <c r="B3786" s="167"/>
    </row>
    <row r="3787" spans="2:2" ht="15.5" x14ac:dyDescent="0.35">
      <c r="B3787" s="167"/>
    </row>
    <row r="3788" spans="2:2" ht="15.5" x14ac:dyDescent="0.35">
      <c r="B3788" s="167"/>
    </row>
    <row r="3789" spans="2:2" ht="15.5" x14ac:dyDescent="0.35">
      <c r="B3789" s="167"/>
    </row>
    <row r="3790" spans="2:2" ht="15.5" x14ac:dyDescent="0.35">
      <c r="B3790" s="167"/>
    </row>
    <row r="3791" spans="2:2" ht="15.5" x14ac:dyDescent="0.35">
      <c r="B3791" s="167"/>
    </row>
    <row r="3792" spans="2:2" ht="15.5" x14ac:dyDescent="0.35">
      <c r="B3792" s="167"/>
    </row>
    <row r="3793" spans="2:2" ht="15.5" x14ac:dyDescent="0.35">
      <c r="B3793" s="167"/>
    </row>
    <row r="3794" spans="2:2" ht="15.5" x14ac:dyDescent="0.35">
      <c r="B3794" s="167"/>
    </row>
    <row r="3795" spans="2:2" ht="15.5" x14ac:dyDescent="0.35">
      <c r="B3795" s="167"/>
    </row>
    <row r="3796" spans="2:2" ht="15.5" x14ac:dyDescent="0.35">
      <c r="B3796" s="167"/>
    </row>
    <row r="3797" spans="2:2" ht="15.5" x14ac:dyDescent="0.35">
      <c r="B3797" s="167"/>
    </row>
    <row r="3798" spans="2:2" ht="15.5" x14ac:dyDescent="0.35">
      <c r="B3798" s="167"/>
    </row>
    <row r="3799" spans="2:2" ht="15.5" x14ac:dyDescent="0.35">
      <c r="B3799" s="167"/>
    </row>
    <row r="3800" spans="2:2" ht="15.5" x14ac:dyDescent="0.35">
      <c r="B3800" s="167"/>
    </row>
    <row r="3801" spans="2:2" ht="15.5" x14ac:dyDescent="0.35">
      <c r="B3801" s="167"/>
    </row>
    <row r="3802" spans="2:2" ht="15.5" x14ac:dyDescent="0.35">
      <c r="B3802" s="167"/>
    </row>
    <row r="3803" spans="2:2" ht="15.5" x14ac:dyDescent="0.35">
      <c r="B3803" s="167"/>
    </row>
    <row r="3804" spans="2:2" ht="15.5" x14ac:dyDescent="0.35">
      <c r="B3804" s="167"/>
    </row>
    <row r="3805" spans="2:2" ht="15.5" x14ac:dyDescent="0.35">
      <c r="B3805" s="167"/>
    </row>
    <row r="3806" spans="2:2" ht="15.5" x14ac:dyDescent="0.35">
      <c r="B3806" s="167"/>
    </row>
    <row r="3807" spans="2:2" ht="15.5" x14ac:dyDescent="0.35">
      <c r="B3807" s="167"/>
    </row>
    <row r="3808" spans="2:2" ht="15.5" x14ac:dyDescent="0.35">
      <c r="B3808" s="167"/>
    </row>
    <row r="3809" spans="2:2" ht="15.5" x14ac:dyDescent="0.35">
      <c r="B3809" s="167"/>
    </row>
    <row r="3810" spans="2:2" ht="15.5" x14ac:dyDescent="0.35">
      <c r="B3810" s="167"/>
    </row>
    <row r="3811" spans="2:2" ht="15.5" x14ac:dyDescent="0.35">
      <c r="B3811" s="167"/>
    </row>
    <row r="3812" spans="2:2" ht="15.5" x14ac:dyDescent="0.35">
      <c r="B3812" s="167"/>
    </row>
    <row r="3813" spans="2:2" ht="15.5" x14ac:dyDescent="0.35">
      <c r="B3813" s="167"/>
    </row>
    <row r="3814" spans="2:2" ht="15.5" x14ac:dyDescent="0.35">
      <c r="B3814" s="167"/>
    </row>
    <row r="3815" spans="2:2" ht="15.5" x14ac:dyDescent="0.35">
      <c r="B3815" s="167"/>
    </row>
    <row r="3816" spans="2:2" ht="15.5" x14ac:dyDescent="0.35">
      <c r="B3816" s="167"/>
    </row>
    <row r="3817" spans="2:2" ht="15.5" x14ac:dyDescent="0.35">
      <c r="B3817" s="167"/>
    </row>
    <row r="3818" spans="2:2" ht="15.5" x14ac:dyDescent="0.35">
      <c r="B3818" s="167"/>
    </row>
    <row r="3819" spans="2:2" ht="15.5" x14ac:dyDescent="0.35">
      <c r="B3819" s="167"/>
    </row>
    <row r="3820" spans="2:2" ht="15.5" x14ac:dyDescent="0.35">
      <c r="B3820" s="167"/>
    </row>
    <row r="3821" spans="2:2" ht="15.5" x14ac:dyDescent="0.35">
      <c r="B3821" s="167"/>
    </row>
    <row r="3822" spans="2:2" ht="15.5" x14ac:dyDescent="0.35">
      <c r="B3822" s="167"/>
    </row>
    <row r="3823" spans="2:2" ht="15.5" x14ac:dyDescent="0.35">
      <c r="B3823" s="167"/>
    </row>
    <row r="3824" spans="2:2" ht="15.5" x14ac:dyDescent="0.35">
      <c r="B3824" s="167"/>
    </row>
    <row r="3825" spans="2:2" ht="15.5" x14ac:dyDescent="0.35">
      <c r="B3825" s="167"/>
    </row>
    <row r="3826" spans="2:2" ht="15.5" x14ac:dyDescent="0.35">
      <c r="B3826" s="167"/>
    </row>
    <row r="3827" spans="2:2" ht="15.5" x14ac:dyDescent="0.35">
      <c r="B3827" s="167"/>
    </row>
    <row r="3828" spans="2:2" ht="15.5" x14ac:dyDescent="0.35">
      <c r="B3828" s="167"/>
    </row>
    <row r="3829" spans="2:2" ht="15.5" x14ac:dyDescent="0.35">
      <c r="B3829" s="167"/>
    </row>
    <row r="3830" spans="2:2" ht="15.5" x14ac:dyDescent="0.35">
      <c r="B3830" s="167"/>
    </row>
    <row r="3831" spans="2:2" ht="15.5" x14ac:dyDescent="0.35">
      <c r="B3831" s="167"/>
    </row>
    <row r="3832" spans="2:2" ht="15.5" x14ac:dyDescent="0.35">
      <c r="B3832" s="167"/>
    </row>
    <row r="3833" spans="2:2" ht="15.5" x14ac:dyDescent="0.35">
      <c r="B3833" s="167"/>
    </row>
    <row r="3834" spans="2:2" ht="15.5" x14ac:dyDescent="0.35">
      <c r="B3834" s="167"/>
    </row>
    <row r="3835" spans="2:2" ht="15.5" x14ac:dyDescent="0.35">
      <c r="B3835" s="167"/>
    </row>
    <row r="3836" spans="2:2" ht="15.5" x14ac:dyDescent="0.35">
      <c r="B3836" s="167"/>
    </row>
    <row r="3837" spans="2:2" ht="15.5" x14ac:dyDescent="0.35">
      <c r="B3837" s="167"/>
    </row>
    <row r="3838" spans="2:2" ht="15.5" x14ac:dyDescent="0.35">
      <c r="B3838" s="167"/>
    </row>
    <row r="3839" spans="2:2" ht="15.5" x14ac:dyDescent="0.35">
      <c r="B3839" s="167"/>
    </row>
    <row r="3840" spans="2:2" ht="15.5" x14ac:dyDescent="0.35">
      <c r="B3840" s="167"/>
    </row>
    <row r="3841" spans="2:2" ht="15.5" x14ac:dyDescent="0.35">
      <c r="B3841" s="167"/>
    </row>
    <row r="3842" spans="2:2" ht="15.5" x14ac:dyDescent="0.35">
      <c r="B3842" s="167"/>
    </row>
    <row r="3843" spans="2:2" ht="15.5" x14ac:dyDescent="0.35">
      <c r="B3843" s="167"/>
    </row>
    <row r="3844" spans="2:2" ht="15.5" x14ac:dyDescent="0.35">
      <c r="B3844" s="167"/>
    </row>
    <row r="3845" spans="2:2" ht="15.5" x14ac:dyDescent="0.35">
      <c r="B3845" s="167"/>
    </row>
    <row r="3846" spans="2:2" ht="15.5" x14ac:dyDescent="0.35">
      <c r="B3846" s="167"/>
    </row>
    <row r="3847" spans="2:2" ht="15.5" x14ac:dyDescent="0.35">
      <c r="B3847" s="167"/>
    </row>
    <row r="3848" spans="2:2" ht="15.5" x14ac:dyDescent="0.35">
      <c r="B3848" s="167"/>
    </row>
    <row r="3849" spans="2:2" ht="15.5" x14ac:dyDescent="0.35">
      <c r="B3849" s="167"/>
    </row>
    <row r="3850" spans="2:2" ht="15.5" x14ac:dyDescent="0.35">
      <c r="B3850" s="167"/>
    </row>
    <row r="3851" spans="2:2" ht="15.5" x14ac:dyDescent="0.35">
      <c r="B3851" s="167"/>
    </row>
    <row r="3852" spans="2:2" ht="15.5" x14ac:dyDescent="0.35">
      <c r="B3852" s="167"/>
    </row>
    <row r="3853" spans="2:2" ht="15.5" x14ac:dyDescent="0.35">
      <c r="B3853" s="167"/>
    </row>
    <row r="3854" spans="2:2" ht="15.5" x14ac:dyDescent="0.35">
      <c r="B3854" s="167"/>
    </row>
    <row r="3855" spans="2:2" ht="15.5" x14ac:dyDescent="0.35">
      <c r="B3855" s="167"/>
    </row>
    <row r="3856" spans="2:2" ht="15.5" x14ac:dyDescent="0.35">
      <c r="B3856" s="167"/>
    </row>
    <row r="3857" spans="2:2" ht="15.5" x14ac:dyDescent="0.35">
      <c r="B3857" s="167"/>
    </row>
    <row r="3858" spans="2:2" ht="15.5" x14ac:dyDescent="0.35">
      <c r="B3858" s="167"/>
    </row>
    <row r="3859" spans="2:2" ht="15.5" x14ac:dyDescent="0.35">
      <c r="B3859" s="167"/>
    </row>
    <row r="3860" spans="2:2" ht="15.5" x14ac:dyDescent="0.35">
      <c r="B3860" s="167"/>
    </row>
    <row r="3861" spans="2:2" ht="15.5" x14ac:dyDescent="0.35">
      <c r="B3861" s="167"/>
    </row>
    <row r="3862" spans="2:2" ht="15.5" x14ac:dyDescent="0.35">
      <c r="B3862" s="167"/>
    </row>
    <row r="3863" spans="2:2" ht="15.5" x14ac:dyDescent="0.35">
      <c r="B3863" s="167"/>
    </row>
    <row r="3864" spans="2:2" ht="15.5" x14ac:dyDescent="0.35">
      <c r="B3864" s="167"/>
    </row>
    <row r="3865" spans="2:2" ht="15.5" x14ac:dyDescent="0.35">
      <c r="B3865" s="167"/>
    </row>
    <row r="3866" spans="2:2" ht="15.5" x14ac:dyDescent="0.35">
      <c r="B3866" s="167"/>
    </row>
    <row r="3867" spans="2:2" ht="15.5" x14ac:dyDescent="0.35">
      <c r="B3867" s="167"/>
    </row>
    <row r="3868" spans="2:2" ht="15.5" x14ac:dyDescent="0.35">
      <c r="B3868" s="167"/>
    </row>
    <row r="3869" spans="2:2" ht="15.5" x14ac:dyDescent="0.35">
      <c r="B3869" s="167"/>
    </row>
    <row r="3870" spans="2:2" ht="15.5" x14ac:dyDescent="0.35">
      <c r="B3870" s="167"/>
    </row>
    <row r="3871" spans="2:2" ht="15.5" x14ac:dyDescent="0.35">
      <c r="B3871" s="167"/>
    </row>
    <row r="3872" spans="2:2" ht="15.5" x14ac:dyDescent="0.35">
      <c r="B3872" s="167"/>
    </row>
    <row r="3873" spans="2:2" ht="15.5" x14ac:dyDescent="0.35">
      <c r="B3873" s="167"/>
    </row>
    <row r="3874" spans="2:2" ht="15.5" x14ac:dyDescent="0.35">
      <c r="B3874" s="167"/>
    </row>
    <row r="3875" spans="2:2" ht="15.5" x14ac:dyDescent="0.35">
      <c r="B3875" s="167"/>
    </row>
    <row r="3876" spans="2:2" ht="15.5" x14ac:dyDescent="0.35">
      <c r="B3876" s="167"/>
    </row>
    <row r="3877" spans="2:2" ht="15.5" x14ac:dyDescent="0.35">
      <c r="B3877" s="167"/>
    </row>
    <row r="3878" spans="2:2" ht="15.5" x14ac:dyDescent="0.35">
      <c r="B3878" s="167"/>
    </row>
    <row r="3879" spans="2:2" ht="15.5" x14ac:dyDescent="0.35">
      <c r="B3879" s="167"/>
    </row>
    <row r="3880" spans="2:2" ht="15.5" x14ac:dyDescent="0.35">
      <c r="B3880" s="167"/>
    </row>
    <row r="3881" spans="2:2" ht="15.5" x14ac:dyDescent="0.35">
      <c r="B3881" s="167"/>
    </row>
    <row r="3882" spans="2:2" ht="15.5" x14ac:dyDescent="0.35">
      <c r="B3882" s="167"/>
    </row>
    <row r="3883" spans="2:2" ht="15.5" x14ac:dyDescent="0.35">
      <c r="B3883" s="167"/>
    </row>
    <row r="3884" spans="2:2" ht="15.5" x14ac:dyDescent="0.35">
      <c r="B3884" s="167"/>
    </row>
    <row r="3885" spans="2:2" ht="15.5" x14ac:dyDescent="0.35">
      <c r="B3885" s="167"/>
    </row>
    <row r="3886" spans="2:2" ht="15.5" x14ac:dyDescent="0.35">
      <c r="B3886" s="167"/>
    </row>
    <row r="3887" spans="2:2" ht="15.5" x14ac:dyDescent="0.35">
      <c r="B3887" s="167"/>
    </row>
    <row r="3888" spans="2:2" ht="15.5" x14ac:dyDescent="0.35">
      <c r="B3888" s="167"/>
    </row>
    <row r="3889" spans="2:2" ht="15.5" x14ac:dyDescent="0.35">
      <c r="B3889" s="167"/>
    </row>
    <row r="3890" spans="2:2" ht="15.5" x14ac:dyDescent="0.35">
      <c r="B3890" s="167"/>
    </row>
    <row r="3891" spans="2:2" ht="15.5" x14ac:dyDescent="0.35">
      <c r="B3891" s="167"/>
    </row>
    <row r="3892" spans="2:2" ht="15.5" x14ac:dyDescent="0.35">
      <c r="B3892" s="167"/>
    </row>
    <row r="3893" spans="2:2" ht="15.5" x14ac:dyDescent="0.35">
      <c r="B3893" s="167"/>
    </row>
    <row r="3894" spans="2:2" ht="15.5" x14ac:dyDescent="0.35">
      <c r="B3894" s="167"/>
    </row>
    <row r="3895" spans="2:2" ht="15.5" x14ac:dyDescent="0.35">
      <c r="B3895" s="167"/>
    </row>
    <row r="3896" spans="2:2" ht="15.5" x14ac:dyDescent="0.35">
      <c r="B3896" s="167"/>
    </row>
    <row r="3897" spans="2:2" ht="15.5" x14ac:dyDescent="0.35">
      <c r="B3897" s="167"/>
    </row>
    <row r="3898" spans="2:2" ht="15.5" x14ac:dyDescent="0.35">
      <c r="B3898" s="167"/>
    </row>
    <row r="3899" spans="2:2" ht="15.5" x14ac:dyDescent="0.35">
      <c r="B3899" s="167"/>
    </row>
    <row r="3900" spans="2:2" ht="15.5" x14ac:dyDescent="0.35">
      <c r="B3900" s="167"/>
    </row>
    <row r="3901" spans="2:2" ht="15.5" x14ac:dyDescent="0.35">
      <c r="B3901" s="167"/>
    </row>
    <row r="3902" spans="2:2" ht="15.5" x14ac:dyDescent="0.35">
      <c r="B3902" s="167"/>
    </row>
    <row r="3903" spans="2:2" ht="15.5" x14ac:dyDescent="0.35">
      <c r="B3903" s="167"/>
    </row>
    <row r="3904" spans="2:2" ht="15.5" x14ac:dyDescent="0.35">
      <c r="B3904" s="167"/>
    </row>
    <row r="3905" spans="2:2" ht="15.5" x14ac:dyDescent="0.35">
      <c r="B3905" s="167"/>
    </row>
    <row r="3906" spans="2:2" ht="15.5" x14ac:dyDescent="0.35">
      <c r="B3906" s="167"/>
    </row>
    <row r="3907" spans="2:2" ht="15.5" x14ac:dyDescent="0.35">
      <c r="B3907" s="167"/>
    </row>
    <row r="3908" spans="2:2" ht="15.5" x14ac:dyDescent="0.35">
      <c r="B3908" s="167"/>
    </row>
    <row r="3909" spans="2:2" ht="15.5" x14ac:dyDescent="0.35">
      <c r="B3909" s="167"/>
    </row>
    <row r="3910" spans="2:2" ht="15.5" x14ac:dyDescent="0.35">
      <c r="B3910" s="167"/>
    </row>
    <row r="3911" spans="2:2" ht="15.5" x14ac:dyDescent="0.35">
      <c r="B3911" s="167"/>
    </row>
    <row r="3912" spans="2:2" ht="15.5" x14ac:dyDescent="0.35">
      <c r="B3912" s="167"/>
    </row>
    <row r="3913" spans="2:2" ht="15.5" x14ac:dyDescent="0.35">
      <c r="B3913" s="167"/>
    </row>
    <row r="3914" spans="2:2" ht="15.5" x14ac:dyDescent="0.35">
      <c r="B3914" s="167"/>
    </row>
    <row r="3915" spans="2:2" ht="15.5" x14ac:dyDescent="0.35">
      <c r="B3915" s="167"/>
    </row>
    <row r="3916" spans="2:2" ht="15.5" x14ac:dyDescent="0.35">
      <c r="B3916" s="167"/>
    </row>
    <row r="3917" spans="2:2" ht="15.5" x14ac:dyDescent="0.35">
      <c r="B3917" s="167"/>
    </row>
    <row r="3918" spans="2:2" ht="15.5" x14ac:dyDescent="0.35">
      <c r="B3918" s="167"/>
    </row>
    <row r="3919" spans="2:2" ht="15.5" x14ac:dyDescent="0.35">
      <c r="B3919" s="167"/>
    </row>
    <row r="3920" spans="2:2" ht="15.5" x14ac:dyDescent="0.35">
      <c r="B3920" s="167"/>
    </row>
    <row r="3921" spans="2:2" ht="15.5" x14ac:dyDescent="0.35">
      <c r="B3921" s="167"/>
    </row>
    <row r="3922" spans="2:2" ht="15.5" x14ac:dyDescent="0.35">
      <c r="B3922" s="167"/>
    </row>
    <row r="3923" spans="2:2" ht="15.5" x14ac:dyDescent="0.35">
      <c r="B3923" s="167"/>
    </row>
    <row r="3924" spans="2:2" ht="15.5" x14ac:dyDescent="0.35">
      <c r="B3924" s="167"/>
    </row>
    <row r="3925" spans="2:2" ht="15.5" x14ac:dyDescent="0.35">
      <c r="B3925" s="167"/>
    </row>
    <row r="3926" spans="2:2" ht="15.5" x14ac:dyDescent="0.35">
      <c r="B3926" s="167"/>
    </row>
    <row r="3927" spans="2:2" ht="15.5" x14ac:dyDescent="0.35">
      <c r="B3927" s="167"/>
    </row>
    <row r="3928" spans="2:2" ht="15.5" x14ac:dyDescent="0.35">
      <c r="B3928" s="167"/>
    </row>
    <row r="3929" spans="2:2" ht="15.5" x14ac:dyDescent="0.35">
      <c r="B3929" s="167"/>
    </row>
    <row r="3930" spans="2:2" ht="15.5" x14ac:dyDescent="0.35">
      <c r="B3930" s="167"/>
    </row>
    <row r="3931" spans="2:2" ht="15.5" x14ac:dyDescent="0.35">
      <c r="B3931" s="167"/>
    </row>
    <row r="3932" spans="2:2" ht="15.5" x14ac:dyDescent="0.35">
      <c r="B3932" s="167"/>
    </row>
    <row r="3933" spans="2:2" ht="15.5" x14ac:dyDescent="0.35">
      <c r="B3933" s="167"/>
    </row>
    <row r="3934" spans="2:2" ht="15.5" x14ac:dyDescent="0.35">
      <c r="B3934" s="167"/>
    </row>
    <row r="3935" spans="2:2" ht="15.5" x14ac:dyDescent="0.35">
      <c r="B3935" s="167"/>
    </row>
    <row r="3936" spans="2:2" ht="15.5" x14ac:dyDescent="0.35">
      <c r="B3936" s="167"/>
    </row>
    <row r="3937" spans="2:2" ht="15.5" x14ac:dyDescent="0.35">
      <c r="B3937" s="167"/>
    </row>
    <row r="3938" spans="2:2" ht="15.5" x14ac:dyDescent="0.35">
      <c r="B3938" s="167"/>
    </row>
    <row r="3939" spans="2:2" ht="15.5" x14ac:dyDescent="0.35">
      <c r="B3939" s="167"/>
    </row>
    <row r="3940" spans="2:2" ht="15.5" x14ac:dyDescent="0.35">
      <c r="B3940" s="167"/>
    </row>
    <row r="3941" spans="2:2" ht="15.5" x14ac:dyDescent="0.35">
      <c r="B3941" s="167"/>
    </row>
    <row r="3942" spans="2:2" ht="15.5" x14ac:dyDescent="0.35">
      <c r="B3942" s="167"/>
    </row>
    <row r="3943" spans="2:2" ht="15.5" x14ac:dyDescent="0.35">
      <c r="B3943" s="167"/>
    </row>
    <row r="3944" spans="2:2" ht="15.5" x14ac:dyDescent="0.35">
      <c r="B3944" s="167"/>
    </row>
    <row r="3945" spans="2:2" ht="15.5" x14ac:dyDescent="0.35">
      <c r="B3945" s="167"/>
    </row>
    <row r="3946" spans="2:2" ht="15.5" x14ac:dyDescent="0.35">
      <c r="B3946" s="167"/>
    </row>
    <row r="3947" spans="2:2" ht="15.5" x14ac:dyDescent="0.35">
      <c r="B3947" s="167"/>
    </row>
    <row r="3948" spans="2:2" ht="15.5" x14ac:dyDescent="0.35">
      <c r="B3948" s="167"/>
    </row>
    <row r="3949" spans="2:2" ht="15.5" x14ac:dyDescent="0.35">
      <c r="B3949" s="167"/>
    </row>
    <row r="3950" spans="2:2" ht="15.5" x14ac:dyDescent="0.35">
      <c r="B3950" s="167"/>
    </row>
    <row r="3951" spans="2:2" ht="15.5" x14ac:dyDescent="0.35">
      <c r="B3951" s="167"/>
    </row>
    <row r="3952" spans="2:2" ht="15.5" x14ac:dyDescent="0.35">
      <c r="B3952" s="167"/>
    </row>
    <row r="3953" spans="2:2" ht="15.5" x14ac:dyDescent="0.35">
      <c r="B3953" s="167"/>
    </row>
    <row r="3954" spans="2:2" ht="15.5" x14ac:dyDescent="0.35">
      <c r="B3954" s="167"/>
    </row>
    <row r="3955" spans="2:2" ht="15.5" x14ac:dyDescent="0.35">
      <c r="B3955" s="167"/>
    </row>
    <row r="3956" spans="2:2" ht="15.5" x14ac:dyDescent="0.35">
      <c r="B3956" s="167"/>
    </row>
    <row r="3957" spans="2:2" ht="15.5" x14ac:dyDescent="0.35">
      <c r="B3957" s="167"/>
    </row>
    <row r="3958" spans="2:2" ht="15.5" x14ac:dyDescent="0.35">
      <c r="B3958" s="167"/>
    </row>
    <row r="3959" spans="2:2" ht="15.5" x14ac:dyDescent="0.35">
      <c r="B3959" s="167"/>
    </row>
    <row r="3960" spans="2:2" ht="15.5" x14ac:dyDescent="0.35">
      <c r="B3960" s="167"/>
    </row>
    <row r="3961" spans="2:2" ht="15.5" x14ac:dyDescent="0.35">
      <c r="B3961" s="167"/>
    </row>
    <row r="3962" spans="2:2" ht="15.5" x14ac:dyDescent="0.35">
      <c r="B3962" s="167"/>
    </row>
    <row r="3963" spans="2:2" ht="15.5" x14ac:dyDescent="0.35">
      <c r="B3963" s="167"/>
    </row>
    <row r="3964" spans="2:2" ht="15.5" x14ac:dyDescent="0.35">
      <c r="B3964" s="167"/>
    </row>
    <row r="3965" spans="2:2" ht="15.5" x14ac:dyDescent="0.35">
      <c r="B3965" s="167"/>
    </row>
    <row r="3966" spans="2:2" ht="15.5" x14ac:dyDescent="0.35">
      <c r="B3966" s="167"/>
    </row>
    <row r="3967" spans="2:2" ht="15.5" x14ac:dyDescent="0.35">
      <c r="B3967" s="167"/>
    </row>
    <row r="3968" spans="2:2" ht="15.5" x14ac:dyDescent="0.35">
      <c r="B3968" s="167"/>
    </row>
    <row r="3969" spans="2:2" ht="15.5" x14ac:dyDescent="0.35">
      <c r="B3969" s="167"/>
    </row>
    <row r="3970" spans="2:2" ht="15.5" x14ac:dyDescent="0.35">
      <c r="B3970" s="167"/>
    </row>
    <row r="3971" spans="2:2" ht="15.5" x14ac:dyDescent="0.35">
      <c r="B3971" s="167"/>
    </row>
    <row r="3972" spans="2:2" ht="15.5" x14ac:dyDescent="0.35">
      <c r="B3972" s="167"/>
    </row>
    <row r="3973" spans="2:2" ht="15.5" x14ac:dyDescent="0.35">
      <c r="B3973" s="167"/>
    </row>
    <row r="3974" spans="2:2" ht="15.5" x14ac:dyDescent="0.35">
      <c r="B3974" s="167"/>
    </row>
    <row r="3975" spans="2:2" ht="15.5" x14ac:dyDescent="0.35">
      <c r="B3975" s="167"/>
    </row>
    <row r="3976" spans="2:2" ht="15.5" x14ac:dyDescent="0.35">
      <c r="B3976" s="167"/>
    </row>
    <row r="3977" spans="2:2" ht="15.5" x14ac:dyDescent="0.35">
      <c r="B3977" s="167"/>
    </row>
    <row r="3978" spans="2:2" ht="15.5" x14ac:dyDescent="0.35">
      <c r="B3978" s="167"/>
    </row>
    <row r="3979" spans="2:2" ht="15.5" x14ac:dyDescent="0.35">
      <c r="B3979" s="167"/>
    </row>
    <row r="3980" spans="2:2" ht="15.5" x14ac:dyDescent="0.35">
      <c r="B3980" s="167"/>
    </row>
    <row r="3981" spans="2:2" ht="15.5" x14ac:dyDescent="0.35">
      <c r="B3981" s="167"/>
    </row>
    <row r="3982" spans="2:2" ht="15.5" x14ac:dyDescent="0.35">
      <c r="B3982" s="167"/>
    </row>
    <row r="3983" spans="2:2" ht="15.5" x14ac:dyDescent="0.35">
      <c r="B3983" s="167"/>
    </row>
    <row r="3984" spans="2:2" ht="15.5" x14ac:dyDescent="0.35">
      <c r="B3984" s="167"/>
    </row>
    <row r="3985" spans="2:2" ht="15.5" x14ac:dyDescent="0.35">
      <c r="B3985" s="167"/>
    </row>
    <row r="3986" spans="2:2" ht="15.5" x14ac:dyDescent="0.35">
      <c r="B3986" s="167"/>
    </row>
    <row r="3987" spans="2:2" ht="15.5" x14ac:dyDescent="0.35">
      <c r="B3987" s="167"/>
    </row>
    <row r="3988" spans="2:2" ht="15.5" x14ac:dyDescent="0.35">
      <c r="B3988" s="167"/>
    </row>
    <row r="3989" spans="2:2" ht="15.5" x14ac:dyDescent="0.35">
      <c r="B3989" s="167"/>
    </row>
    <row r="3990" spans="2:2" ht="15.5" x14ac:dyDescent="0.35">
      <c r="B3990" s="167"/>
    </row>
    <row r="3991" spans="2:2" ht="15.5" x14ac:dyDescent="0.35">
      <c r="B3991" s="167"/>
    </row>
    <row r="3992" spans="2:2" ht="15.5" x14ac:dyDescent="0.35">
      <c r="B3992" s="167"/>
    </row>
    <row r="3993" spans="2:2" ht="15.5" x14ac:dyDescent="0.35">
      <c r="B3993" s="167"/>
    </row>
    <row r="3994" spans="2:2" ht="15.5" x14ac:dyDescent="0.35">
      <c r="B3994" s="167"/>
    </row>
    <row r="3995" spans="2:2" ht="15.5" x14ac:dyDescent="0.35">
      <c r="B3995" s="167"/>
    </row>
    <row r="3996" spans="2:2" ht="15.5" x14ac:dyDescent="0.35">
      <c r="B3996" s="167"/>
    </row>
    <row r="3997" spans="2:2" ht="15.5" x14ac:dyDescent="0.35">
      <c r="B3997" s="167"/>
    </row>
    <row r="3998" spans="2:2" ht="15.5" x14ac:dyDescent="0.35">
      <c r="B3998" s="167"/>
    </row>
    <row r="3999" spans="2:2" ht="15.5" x14ac:dyDescent="0.35">
      <c r="B3999" s="167"/>
    </row>
    <row r="4000" spans="2:2" ht="15.5" x14ac:dyDescent="0.35">
      <c r="B4000" s="167"/>
    </row>
    <row r="4001" spans="2:2" ht="15.5" x14ac:dyDescent="0.35">
      <c r="B4001" s="167"/>
    </row>
    <row r="4002" spans="2:2" ht="15.5" x14ac:dyDescent="0.35">
      <c r="B4002" s="167"/>
    </row>
    <row r="4003" spans="2:2" ht="15.5" x14ac:dyDescent="0.35">
      <c r="B4003" s="167"/>
    </row>
    <row r="4004" spans="2:2" ht="15.5" x14ac:dyDescent="0.35">
      <c r="B4004" s="167"/>
    </row>
    <row r="4005" spans="2:2" ht="15.5" x14ac:dyDescent="0.35">
      <c r="B4005" s="167"/>
    </row>
    <row r="4006" spans="2:2" ht="15.5" x14ac:dyDescent="0.35">
      <c r="B4006" s="167"/>
    </row>
    <row r="4007" spans="2:2" ht="15.5" x14ac:dyDescent="0.35">
      <c r="B4007" s="167"/>
    </row>
    <row r="4008" spans="2:2" ht="15.5" x14ac:dyDescent="0.35">
      <c r="B4008" s="167"/>
    </row>
    <row r="4009" spans="2:2" ht="15.5" x14ac:dyDescent="0.35">
      <c r="B4009" s="167"/>
    </row>
    <row r="4010" spans="2:2" ht="15.5" x14ac:dyDescent="0.35">
      <c r="B4010" s="167"/>
    </row>
    <row r="4011" spans="2:2" ht="15.5" x14ac:dyDescent="0.35">
      <c r="B4011" s="167"/>
    </row>
    <row r="4012" spans="2:2" ht="15.5" x14ac:dyDescent="0.35">
      <c r="B4012" s="167"/>
    </row>
    <row r="4013" spans="2:2" ht="15.5" x14ac:dyDescent="0.35">
      <c r="B4013" s="167"/>
    </row>
    <row r="4014" spans="2:2" ht="15.5" x14ac:dyDescent="0.35">
      <c r="B4014" s="167"/>
    </row>
    <row r="4015" spans="2:2" ht="15.5" x14ac:dyDescent="0.35">
      <c r="B4015" s="167"/>
    </row>
    <row r="4016" spans="2:2" ht="15.5" x14ac:dyDescent="0.35">
      <c r="B4016" s="167"/>
    </row>
    <row r="4017" spans="2:2" ht="15.5" x14ac:dyDescent="0.35">
      <c r="B4017" s="167"/>
    </row>
    <row r="4018" spans="2:2" ht="15.5" x14ac:dyDescent="0.35">
      <c r="B4018" s="167"/>
    </row>
    <row r="4019" spans="2:2" ht="15.5" x14ac:dyDescent="0.35">
      <c r="B4019" s="167"/>
    </row>
    <row r="4020" spans="2:2" ht="15.5" x14ac:dyDescent="0.35">
      <c r="B4020" s="167"/>
    </row>
    <row r="4021" spans="2:2" ht="15.5" x14ac:dyDescent="0.35">
      <c r="B4021" s="167"/>
    </row>
    <row r="4022" spans="2:2" ht="15.5" x14ac:dyDescent="0.35">
      <c r="B4022" s="167"/>
    </row>
    <row r="4023" spans="2:2" ht="15.5" x14ac:dyDescent="0.35">
      <c r="B4023" s="167"/>
    </row>
    <row r="4024" spans="2:2" ht="15.5" x14ac:dyDescent="0.35">
      <c r="B4024" s="167"/>
    </row>
    <row r="4025" spans="2:2" ht="15.5" x14ac:dyDescent="0.35">
      <c r="B4025" s="167"/>
    </row>
    <row r="4026" spans="2:2" ht="15.5" x14ac:dyDescent="0.35">
      <c r="B4026" s="167"/>
    </row>
    <row r="4027" spans="2:2" ht="15.5" x14ac:dyDescent="0.35">
      <c r="B4027" s="167"/>
    </row>
    <row r="4028" spans="2:2" ht="15.5" x14ac:dyDescent="0.35">
      <c r="B4028" s="167"/>
    </row>
    <row r="4029" spans="2:2" ht="15.5" x14ac:dyDescent="0.35">
      <c r="B4029" s="167"/>
    </row>
    <row r="4030" spans="2:2" ht="15.5" x14ac:dyDescent="0.35">
      <c r="B4030" s="167"/>
    </row>
    <row r="4031" spans="2:2" ht="15.5" x14ac:dyDescent="0.35">
      <c r="B4031" s="167"/>
    </row>
    <row r="4032" spans="2:2" ht="15.5" x14ac:dyDescent="0.35">
      <c r="B4032" s="167"/>
    </row>
    <row r="4033" spans="2:2" ht="15.5" x14ac:dyDescent="0.35">
      <c r="B4033" s="167"/>
    </row>
    <row r="4034" spans="2:2" ht="15.5" x14ac:dyDescent="0.35">
      <c r="B4034" s="167"/>
    </row>
    <row r="4035" spans="2:2" ht="15.5" x14ac:dyDescent="0.35">
      <c r="B4035" s="167"/>
    </row>
    <row r="4036" spans="2:2" ht="15.5" x14ac:dyDescent="0.35">
      <c r="B4036" s="167"/>
    </row>
    <row r="4037" spans="2:2" ht="15.5" x14ac:dyDescent="0.35">
      <c r="B4037" s="167"/>
    </row>
    <row r="4038" spans="2:2" ht="15.5" x14ac:dyDescent="0.35">
      <c r="B4038" s="167"/>
    </row>
    <row r="4039" spans="2:2" ht="15.5" x14ac:dyDescent="0.35">
      <c r="B4039" s="167"/>
    </row>
    <row r="4040" spans="2:2" ht="15.5" x14ac:dyDescent="0.35">
      <c r="B4040" s="167"/>
    </row>
    <row r="4041" spans="2:2" ht="15.5" x14ac:dyDescent="0.35">
      <c r="B4041" s="167"/>
    </row>
    <row r="4042" spans="2:2" ht="15.5" x14ac:dyDescent="0.35">
      <c r="B4042" s="167"/>
    </row>
    <row r="4043" spans="2:2" ht="15.5" x14ac:dyDescent="0.35">
      <c r="B4043" s="167"/>
    </row>
    <row r="4044" spans="2:2" ht="15.5" x14ac:dyDescent="0.35">
      <c r="B4044" s="167"/>
    </row>
    <row r="4045" spans="2:2" ht="15.5" x14ac:dyDescent="0.35">
      <c r="B4045" s="167"/>
    </row>
    <row r="4046" spans="2:2" ht="15.5" x14ac:dyDescent="0.35">
      <c r="B4046" s="167"/>
    </row>
    <row r="4047" spans="2:2" ht="15.5" x14ac:dyDescent="0.35">
      <c r="B4047" s="167"/>
    </row>
    <row r="4048" spans="2:2" ht="15.5" x14ac:dyDescent="0.35">
      <c r="B4048" s="167"/>
    </row>
    <row r="4049" spans="2:2" ht="15.5" x14ac:dyDescent="0.35">
      <c r="B4049" s="167"/>
    </row>
    <row r="4050" spans="2:2" ht="15.5" x14ac:dyDescent="0.35">
      <c r="B4050" s="167"/>
    </row>
    <row r="4051" spans="2:2" ht="15.5" x14ac:dyDescent="0.35">
      <c r="B4051" s="167"/>
    </row>
    <row r="4052" spans="2:2" ht="15.5" x14ac:dyDescent="0.35">
      <c r="B4052" s="167"/>
    </row>
    <row r="4053" spans="2:2" ht="15.5" x14ac:dyDescent="0.35">
      <c r="B4053" s="167"/>
    </row>
    <row r="4054" spans="2:2" ht="15.5" x14ac:dyDescent="0.35">
      <c r="B4054" s="167"/>
    </row>
    <row r="4055" spans="2:2" ht="15.5" x14ac:dyDescent="0.35">
      <c r="B4055" s="167"/>
    </row>
    <row r="4056" spans="2:2" ht="15.5" x14ac:dyDescent="0.35">
      <c r="B4056" s="167"/>
    </row>
    <row r="4057" spans="2:2" ht="15.5" x14ac:dyDescent="0.35">
      <c r="B4057" s="167"/>
    </row>
    <row r="4058" spans="2:2" ht="15.5" x14ac:dyDescent="0.35">
      <c r="B4058" s="167"/>
    </row>
    <row r="4059" spans="2:2" ht="15.5" x14ac:dyDescent="0.35">
      <c r="B4059" s="167"/>
    </row>
    <row r="4060" spans="2:2" ht="15.5" x14ac:dyDescent="0.35">
      <c r="B4060" s="167"/>
    </row>
    <row r="4061" spans="2:2" ht="15.5" x14ac:dyDescent="0.35">
      <c r="B4061" s="167"/>
    </row>
    <row r="4062" spans="2:2" ht="15.5" x14ac:dyDescent="0.35">
      <c r="B4062" s="167"/>
    </row>
    <row r="4063" spans="2:2" ht="15.5" x14ac:dyDescent="0.35">
      <c r="B4063" s="167"/>
    </row>
    <row r="4064" spans="2:2" ht="15.5" x14ac:dyDescent="0.35">
      <c r="B4064" s="167"/>
    </row>
    <row r="4065" spans="2:2" ht="15.5" x14ac:dyDescent="0.35">
      <c r="B4065" s="167"/>
    </row>
    <row r="4066" spans="2:2" ht="15.5" x14ac:dyDescent="0.35">
      <c r="B4066" s="167"/>
    </row>
    <row r="4067" spans="2:2" ht="15.5" x14ac:dyDescent="0.35">
      <c r="B4067" s="167"/>
    </row>
    <row r="4068" spans="2:2" ht="15.5" x14ac:dyDescent="0.35">
      <c r="B4068" s="167"/>
    </row>
    <row r="4069" spans="2:2" ht="15.5" x14ac:dyDescent="0.35">
      <c r="B4069" s="167"/>
    </row>
    <row r="4070" spans="2:2" ht="15.5" x14ac:dyDescent="0.35">
      <c r="B4070" s="167"/>
    </row>
    <row r="4071" spans="2:2" ht="15.5" x14ac:dyDescent="0.35">
      <c r="B4071" s="167"/>
    </row>
    <row r="4072" spans="2:2" ht="15.5" x14ac:dyDescent="0.35">
      <c r="B4072" s="167"/>
    </row>
    <row r="4073" spans="2:2" ht="15.5" x14ac:dyDescent="0.35">
      <c r="B4073" s="167"/>
    </row>
    <row r="4074" spans="2:2" ht="15.5" x14ac:dyDescent="0.35">
      <c r="B4074" s="167"/>
    </row>
    <row r="4075" spans="2:2" ht="15.5" x14ac:dyDescent="0.35">
      <c r="B4075" s="167"/>
    </row>
    <row r="4076" spans="2:2" ht="15.5" x14ac:dyDescent="0.35">
      <c r="B4076" s="167"/>
    </row>
    <row r="4077" spans="2:2" ht="15.5" x14ac:dyDescent="0.35">
      <c r="B4077" s="167"/>
    </row>
    <row r="4078" spans="2:2" ht="15.5" x14ac:dyDescent="0.35">
      <c r="B4078" s="167"/>
    </row>
    <row r="4079" spans="2:2" ht="15.5" x14ac:dyDescent="0.35">
      <c r="B4079" s="167"/>
    </row>
    <row r="4080" spans="2:2" ht="15.5" x14ac:dyDescent="0.35">
      <c r="B4080" s="167"/>
    </row>
    <row r="4081" spans="2:2" ht="15.5" x14ac:dyDescent="0.35">
      <c r="B4081" s="167"/>
    </row>
    <row r="4082" spans="2:2" ht="15.5" x14ac:dyDescent="0.35">
      <c r="B4082" s="167"/>
    </row>
    <row r="4083" spans="2:2" ht="15.5" x14ac:dyDescent="0.35">
      <c r="B4083" s="167"/>
    </row>
    <row r="4084" spans="2:2" ht="15.5" x14ac:dyDescent="0.35">
      <c r="B4084" s="167"/>
    </row>
    <row r="4085" spans="2:2" ht="15.5" x14ac:dyDescent="0.35">
      <c r="B4085" s="167"/>
    </row>
    <row r="4086" spans="2:2" ht="15.5" x14ac:dyDescent="0.35">
      <c r="B4086" s="167"/>
    </row>
    <row r="4087" spans="2:2" ht="15.5" x14ac:dyDescent="0.35">
      <c r="B4087" s="167"/>
    </row>
    <row r="4088" spans="2:2" ht="15.5" x14ac:dyDescent="0.35">
      <c r="B4088" s="167"/>
    </row>
    <row r="4089" spans="2:2" ht="15.5" x14ac:dyDescent="0.35">
      <c r="B4089" s="167"/>
    </row>
    <row r="4090" spans="2:2" ht="15.5" x14ac:dyDescent="0.35">
      <c r="B4090" s="167"/>
    </row>
    <row r="4091" spans="2:2" ht="15.5" x14ac:dyDescent="0.35">
      <c r="B4091" s="167"/>
    </row>
    <row r="4092" spans="2:2" ht="15.5" x14ac:dyDescent="0.35">
      <c r="B4092" s="167"/>
    </row>
    <row r="4093" spans="2:2" ht="15.5" x14ac:dyDescent="0.35">
      <c r="B4093" s="167"/>
    </row>
    <row r="4094" spans="2:2" ht="15.5" x14ac:dyDescent="0.35">
      <c r="B4094" s="167"/>
    </row>
    <row r="4095" spans="2:2" ht="15.5" x14ac:dyDescent="0.35">
      <c r="B4095" s="167"/>
    </row>
    <row r="4096" spans="2:2" ht="15.5" x14ac:dyDescent="0.35">
      <c r="B4096" s="167"/>
    </row>
    <row r="4097" spans="2:2" ht="15.5" x14ac:dyDescent="0.35">
      <c r="B4097" s="167"/>
    </row>
    <row r="4098" spans="2:2" ht="15.5" x14ac:dyDescent="0.35">
      <c r="B4098" s="167"/>
    </row>
    <row r="4099" spans="2:2" ht="15.5" x14ac:dyDescent="0.35">
      <c r="B4099" s="167"/>
    </row>
    <row r="4100" spans="2:2" ht="15.5" x14ac:dyDescent="0.35">
      <c r="B4100" s="167"/>
    </row>
    <row r="4101" spans="2:2" ht="15.5" x14ac:dyDescent="0.35">
      <c r="B4101" s="167"/>
    </row>
    <row r="4102" spans="2:2" ht="15.5" x14ac:dyDescent="0.35">
      <c r="B4102" s="167"/>
    </row>
    <row r="4103" spans="2:2" ht="15.5" x14ac:dyDescent="0.35">
      <c r="B4103" s="167"/>
    </row>
    <row r="4104" spans="2:2" ht="15.5" x14ac:dyDescent="0.35">
      <c r="B4104" s="167"/>
    </row>
    <row r="4105" spans="2:2" ht="15.5" x14ac:dyDescent="0.35">
      <c r="B4105" s="167"/>
    </row>
    <row r="4106" spans="2:2" ht="15.5" x14ac:dyDescent="0.35">
      <c r="B4106" s="167"/>
    </row>
    <row r="4107" spans="2:2" ht="15.5" x14ac:dyDescent="0.35">
      <c r="B4107" s="167"/>
    </row>
    <row r="4108" spans="2:2" ht="15.5" x14ac:dyDescent="0.35">
      <c r="B4108" s="167"/>
    </row>
    <row r="4109" spans="2:2" ht="15.5" x14ac:dyDescent="0.35">
      <c r="B4109" s="167"/>
    </row>
    <row r="4110" spans="2:2" ht="15.5" x14ac:dyDescent="0.35">
      <c r="B4110" s="167"/>
    </row>
    <row r="4111" spans="2:2" ht="15.5" x14ac:dyDescent="0.35">
      <c r="B4111" s="167"/>
    </row>
    <row r="4112" spans="2:2" ht="15.5" x14ac:dyDescent="0.35">
      <c r="B4112" s="167"/>
    </row>
    <row r="4113" spans="2:2" ht="15.5" x14ac:dyDescent="0.35">
      <c r="B4113" s="167"/>
    </row>
    <row r="4114" spans="2:2" ht="15.5" x14ac:dyDescent="0.35">
      <c r="B4114" s="167"/>
    </row>
    <row r="4115" spans="2:2" ht="15.5" x14ac:dyDescent="0.35">
      <c r="B4115" s="167"/>
    </row>
    <row r="4116" spans="2:2" ht="15.5" x14ac:dyDescent="0.35">
      <c r="B4116" s="167"/>
    </row>
    <row r="4117" spans="2:2" ht="15.5" x14ac:dyDescent="0.35">
      <c r="B4117" s="167"/>
    </row>
    <row r="4118" spans="2:2" ht="15.5" x14ac:dyDescent="0.35">
      <c r="B4118" s="167"/>
    </row>
    <row r="4119" spans="2:2" ht="15.5" x14ac:dyDescent="0.35">
      <c r="B4119" s="167"/>
    </row>
    <row r="4120" spans="2:2" ht="15.5" x14ac:dyDescent="0.35">
      <c r="B4120" s="167"/>
    </row>
    <row r="4121" spans="2:2" ht="15.5" x14ac:dyDescent="0.35">
      <c r="B4121" s="167"/>
    </row>
    <row r="4122" spans="2:2" ht="15.5" x14ac:dyDescent="0.35">
      <c r="B4122" s="167"/>
    </row>
    <row r="4123" spans="2:2" ht="15.5" x14ac:dyDescent="0.35">
      <c r="B4123" s="167"/>
    </row>
    <row r="4124" spans="2:2" ht="15.5" x14ac:dyDescent="0.35">
      <c r="B4124" s="167"/>
    </row>
    <row r="4125" spans="2:2" ht="15.5" x14ac:dyDescent="0.35">
      <c r="B4125" s="167"/>
    </row>
    <row r="4126" spans="2:2" ht="15.5" x14ac:dyDescent="0.35">
      <c r="B4126" s="167"/>
    </row>
    <row r="4127" spans="2:2" ht="15.5" x14ac:dyDescent="0.35">
      <c r="B4127" s="167"/>
    </row>
    <row r="4128" spans="2:2" ht="15.5" x14ac:dyDescent="0.35">
      <c r="B4128" s="167"/>
    </row>
    <row r="4129" spans="2:2" ht="15.5" x14ac:dyDescent="0.35">
      <c r="B4129" s="167"/>
    </row>
    <row r="4130" spans="2:2" ht="15.5" x14ac:dyDescent="0.35">
      <c r="B4130" s="167"/>
    </row>
    <row r="4131" spans="2:2" ht="15.5" x14ac:dyDescent="0.35">
      <c r="B4131" s="167"/>
    </row>
    <row r="4132" spans="2:2" ht="15.5" x14ac:dyDescent="0.35">
      <c r="B4132" s="167"/>
    </row>
    <row r="4133" spans="2:2" ht="15.5" x14ac:dyDescent="0.35">
      <c r="B4133" s="167"/>
    </row>
    <row r="4134" spans="2:2" ht="15.5" x14ac:dyDescent="0.35">
      <c r="B4134" s="167"/>
    </row>
    <row r="4135" spans="2:2" ht="15.5" x14ac:dyDescent="0.35">
      <c r="B4135" s="167"/>
    </row>
    <row r="4136" spans="2:2" ht="15.5" x14ac:dyDescent="0.35">
      <c r="B4136" s="167"/>
    </row>
    <row r="4137" spans="2:2" ht="15.5" x14ac:dyDescent="0.35">
      <c r="B4137" s="167"/>
    </row>
    <row r="4138" spans="2:2" ht="15.5" x14ac:dyDescent="0.35">
      <c r="B4138" s="167"/>
    </row>
    <row r="4139" spans="2:2" ht="15.5" x14ac:dyDescent="0.35">
      <c r="B4139" s="167"/>
    </row>
    <row r="4140" spans="2:2" ht="15.5" x14ac:dyDescent="0.35">
      <c r="B4140" s="167"/>
    </row>
    <row r="4141" spans="2:2" ht="15.5" x14ac:dyDescent="0.35">
      <c r="B4141" s="167"/>
    </row>
    <row r="4142" spans="2:2" ht="15.5" x14ac:dyDescent="0.35">
      <c r="B4142" s="167"/>
    </row>
    <row r="4143" spans="2:2" ht="15.5" x14ac:dyDescent="0.35">
      <c r="B4143" s="167"/>
    </row>
    <row r="4144" spans="2:2" ht="15.5" x14ac:dyDescent="0.35">
      <c r="B4144" s="167"/>
    </row>
    <row r="4145" spans="2:2" ht="15.5" x14ac:dyDescent="0.35">
      <c r="B4145" s="167"/>
    </row>
    <row r="4146" spans="2:2" ht="15.5" x14ac:dyDescent="0.35">
      <c r="B4146" s="167"/>
    </row>
    <row r="4147" spans="2:2" ht="15.5" x14ac:dyDescent="0.35">
      <c r="B4147" s="167"/>
    </row>
    <row r="4148" spans="2:2" ht="15.5" x14ac:dyDescent="0.35">
      <c r="B4148" s="167"/>
    </row>
    <row r="4149" spans="2:2" ht="15.5" x14ac:dyDescent="0.35">
      <c r="B4149" s="167"/>
    </row>
    <row r="4150" spans="2:2" ht="15.5" x14ac:dyDescent="0.35">
      <c r="B4150" s="167"/>
    </row>
    <row r="4151" spans="2:2" ht="15.5" x14ac:dyDescent="0.35">
      <c r="B4151" s="167"/>
    </row>
    <row r="4152" spans="2:2" ht="15.5" x14ac:dyDescent="0.35">
      <c r="B4152" s="167"/>
    </row>
    <row r="4153" spans="2:2" ht="15.5" x14ac:dyDescent="0.35">
      <c r="B4153" s="167"/>
    </row>
    <row r="4154" spans="2:2" ht="15.5" x14ac:dyDescent="0.35">
      <c r="B4154" s="167"/>
    </row>
    <row r="4155" spans="2:2" ht="15.5" x14ac:dyDescent="0.35">
      <c r="B4155" s="167"/>
    </row>
    <row r="4156" spans="2:2" ht="15.5" x14ac:dyDescent="0.35">
      <c r="B4156" s="167"/>
    </row>
    <row r="4157" spans="2:2" ht="15.5" x14ac:dyDescent="0.35">
      <c r="B4157" s="167"/>
    </row>
    <row r="4158" spans="2:2" ht="15.5" x14ac:dyDescent="0.35">
      <c r="B4158" s="167"/>
    </row>
    <row r="4159" spans="2:2" ht="15.5" x14ac:dyDescent="0.35">
      <c r="B4159" s="167"/>
    </row>
    <row r="4160" spans="2:2" ht="15.5" x14ac:dyDescent="0.35">
      <c r="B4160" s="167"/>
    </row>
    <row r="4161" spans="2:2" ht="15.5" x14ac:dyDescent="0.35">
      <c r="B4161" s="167"/>
    </row>
    <row r="4162" spans="2:2" ht="15.5" x14ac:dyDescent="0.35">
      <c r="B4162" s="167"/>
    </row>
    <row r="4163" spans="2:2" ht="15.5" x14ac:dyDescent="0.35">
      <c r="B4163" s="167"/>
    </row>
    <row r="4164" spans="2:2" ht="15.5" x14ac:dyDescent="0.35">
      <c r="B4164" s="167"/>
    </row>
    <row r="4165" spans="2:2" ht="15.5" x14ac:dyDescent="0.35">
      <c r="B4165" s="167"/>
    </row>
    <row r="4166" spans="2:2" ht="15.5" x14ac:dyDescent="0.35">
      <c r="B4166" s="167"/>
    </row>
    <row r="4167" spans="2:2" ht="15.5" x14ac:dyDescent="0.35">
      <c r="B4167" s="167"/>
    </row>
    <row r="4168" spans="2:2" ht="15.5" x14ac:dyDescent="0.35">
      <c r="B4168" s="167"/>
    </row>
    <row r="4169" spans="2:2" ht="15.5" x14ac:dyDescent="0.35">
      <c r="B4169" s="167"/>
    </row>
    <row r="4170" spans="2:2" ht="15.5" x14ac:dyDescent="0.35">
      <c r="B4170" s="167"/>
    </row>
    <row r="4171" spans="2:2" ht="15.5" x14ac:dyDescent="0.35">
      <c r="B4171" s="167"/>
    </row>
    <row r="4172" spans="2:2" ht="15.5" x14ac:dyDescent="0.35">
      <c r="B4172" s="167"/>
    </row>
    <row r="4173" spans="2:2" ht="15.5" x14ac:dyDescent="0.35">
      <c r="B4173" s="167"/>
    </row>
    <row r="4174" spans="2:2" ht="15.5" x14ac:dyDescent="0.35">
      <c r="B4174" s="167"/>
    </row>
    <row r="4175" spans="2:2" ht="15.5" x14ac:dyDescent="0.35">
      <c r="B4175" s="167"/>
    </row>
    <row r="4176" spans="2:2" ht="15.5" x14ac:dyDescent="0.35">
      <c r="B4176" s="167"/>
    </row>
    <row r="4177" spans="2:2" ht="15.5" x14ac:dyDescent="0.35">
      <c r="B4177" s="167"/>
    </row>
    <row r="4178" spans="2:2" ht="15.5" x14ac:dyDescent="0.35">
      <c r="B4178" s="167"/>
    </row>
    <row r="4179" spans="2:2" ht="15.5" x14ac:dyDescent="0.35">
      <c r="B4179" s="167"/>
    </row>
    <row r="4180" spans="2:2" ht="15.5" x14ac:dyDescent="0.35">
      <c r="B4180" s="167"/>
    </row>
    <row r="4181" spans="2:2" ht="15.5" x14ac:dyDescent="0.35">
      <c r="B4181" s="167"/>
    </row>
    <row r="4182" spans="2:2" ht="15.5" x14ac:dyDescent="0.35">
      <c r="B4182" s="167"/>
    </row>
    <row r="4183" spans="2:2" ht="15.5" x14ac:dyDescent="0.35">
      <c r="B4183" s="167"/>
    </row>
    <row r="4184" spans="2:2" ht="15.5" x14ac:dyDescent="0.35">
      <c r="B4184" s="167"/>
    </row>
    <row r="4185" spans="2:2" ht="15.5" x14ac:dyDescent="0.35">
      <c r="B4185" s="167"/>
    </row>
    <row r="4186" spans="2:2" ht="15.5" x14ac:dyDescent="0.35">
      <c r="B4186" s="167"/>
    </row>
    <row r="4187" spans="2:2" ht="15.5" x14ac:dyDescent="0.35">
      <c r="B4187" s="167"/>
    </row>
    <row r="4188" spans="2:2" ht="15.5" x14ac:dyDescent="0.35">
      <c r="B4188" s="167"/>
    </row>
    <row r="4189" spans="2:2" ht="15.5" x14ac:dyDescent="0.35">
      <c r="B4189" s="167"/>
    </row>
    <row r="4190" spans="2:2" ht="15.5" x14ac:dyDescent="0.35">
      <c r="B4190" s="167"/>
    </row>
    <row r="4191" spans="2:2" ht="15.5" x14ac:dyDescent="0.35">
      <c r="B4191" s="167"/>
    </row>
    <row r="4192" spans="2:2" ht="15.5" x14ac:dyDescent="0.35">
      <c r="B4192" s="167"/>
    </row>
    <row r="4193" spans="2:2" ht="15.5" x14ac:dyDescent="0.35">
      <c r="B4193" s="167"/>
    </row>
    <row r="4194" spans="2:2" ht="15.5" x14ac:dyDescent="0.35">
      <c r="B4194" s="167"/>
    </row>
    <row r="4195" spans="2:2" ht="15.5" x14ac:dyDescent="0.35">
      <c r="B4195" s="167"/>
    </row>
    <row r="4196" spans="2:2" ht="15.5" x14ac:dyDescent="0.35">
      <c r="B4196" s="167"/>
    </row>
    <row r="4197" spans="2:2" ht="15.5" x14ac:dyDescent="0.35">
      <c r="B4197" s="167"/>
    </row>
    <row r="4198" spans="2:2" ht="15.5" x14ac:dyDescent="0.35">
      <c r="B4198" s="167"/>
    </row>
    <row r="4199" spans="2:2" ht="15.5" x14ac:dyDescent="0.35">
      <c r="B4199" s="167"/>
    </row>
    <row r="4200" spans="2:2" ht="15.5" x14ac:dyDescent="0.35">
      <c r="B4200" s="167"/>
    </row>
    <row r="4201" spans="2:2" ht="15.5" x14ac:dyDescent="0.35">
      <c r="B4201" s="167"/>
    </row>
    <row r="4202" spans="2:2" ht="15.5" x14ac:dyDescent="0.35">
      <c r="B4202" s="167"/>
    </row>
    <row r="4203" spans="2:2" ht="15.5" x14ac:dyDescent="0.35">
      <c r="B4203" s="167"/>
    </row>
    <row r="4204" spans="2:2" ht="15.5" x14ac:dyDescent="0.35">
      <c r="B4204" s="167"/>
    </row>
    <row r="4205" spans="2:2" ht="15.5" x14ac:dyDescent="0.35">
      <c r="B4205" s="167"/>
    </row>
    <row r="4206" spans="2:2" ht="15.5" x14ac:dyDescent="0.35">
      <c r="B4206" s="167"/>
    </row>
    <row r="4207" spans="2:2" ht="15.5" x14ac:dyDescent="0.35">
      <c r="B4207" s="167"/>
    </row>
    <row r="4208" spans="2:2" ht="15.5" x14ac:dyDescent="0.35">
      <c r="B4208" s="167"/>
    </row>
    <row r="4209" spans="2:2" ht="15.5" x14ac:dyDescent="0.35">
      <c r="B4209" s="167"/>
    </row>
    <row r="4210" spans="2:2" ht="15.5" x14ac:dyDescent="0.35">
      <c r="B4210" s="167"/>
    </row>
    <row r="4211" spans="2:2" ht="15.5" x14ac:dyDescent="0.35">
      <c r="B4211" s="167"/>
    </row>
    <row r="4212" spans="2:2" ht="15.5" x14ac:dyDescent="0.35">
      <c r="B4212" s="167"/>
    </row>
    <row r="4213" spans="2:2" ht="15.5" x14ac:dyDescent="0.35">
      <c r="B4213" s="167"/>
    </row>
    <row r="4214" spans="2:2" ht="15.5" x14ac:dyDescent="0.35">
      <c r="B4214" s="167"/>
    </row>
    <row r="4215" spans="2:2" ht="15.5" x14ac:dyDescent="0.35">
      <c r="B4215" s="167"/>
    </row>
    <row r="4216" spans="2:2" ht="15.5" x14ac:dyDescent="0.35">
      <c r="B4216" s="167"/>
    </row>
    <row r="4217" spans="2:2" ht="15.5" x14ac:dyDescent="0.35">
      <c r="B4217" s="167"/>
    </row>
    <row r="4218" spans="2:2" ht="15.5" x14ac:dyDescent="0.35">
      <c r="B4218" s="167"/>
    </row>
    <row r="4219" spans="2:2" ht="15.5" x14ac:dyDescent="0.35">
      <c r="B4219" s="167"/>
    </row>
    <row r="4220" spans="2:2" ht="15.5" x14ac:dyDescent="0.35">
      <c r="B4220" s="167"/>
    </row>
    <row r="4221" spans="2:2" ht="15.5" x14ac:dyDescent="0.35">
      <c r="B4221" s="167"/>
    </row>
    <row r="4222" spans="2:2" ht="15.5" x14ac:dyDescent="0.35">
      <c r="B4222" s="167"/>
    </row>
    <row r="4223" spans="2:2" ht="15.5" x14ac:dyDescent="0.35">
      <c r="B4223" s="167"/>
    </row>
    <row r="4224" spans="2:2" ht="15.5" x14ac:dyDescent="0.35">
      <c r="B4224" s="167"/>
    </row>
    <row r="4225" spans="2:2" ht="15.5" x14ac:dyDescent="0.35">
      <c r="B4225" s="167"/>
    </row>
    <row r="4226" spans="2:2" ht="15.5" x14ac:dyDescent="0.35">
      <c r="B4226" s="167"/>
    </row>
    <row r="4227" spans="2:2" ht="15.5" x14ac:dyDescent="0.35">
      <c r="B4227" s="167"/>
    </row>
    <row r="4228" spans="2:2" ht="15.5" x14ac:dyDescent="0.35">
      <c r="B4228" s="167"/>
    </row>
    <row r="4229" spans="2:2" ht="15.5" x14ac:dyDescent="0.35">
      <c r="B4229" s="167"/>
    </row>
    <row r="4230" spans="2:2" ht="15.5" x14ac:dyDescent="0.35">
      <c r="B4230" s="167"/>
    </row>
    <row r="4231" spans="2:2" ht="15.5" x14ac:dyDescent="0.35">
      <c r="B4231" s="167"/>
    </row>
    <row r="4232" spans="2:2" ht="15.5" x14ac:dyDescent="0.35">
      <c r="B4232" s="167"/>
    </row>
    <row r="4233" spans="2:2" ht="15.5" x14ac:dyDescent="0.35">
      <c r="B4233" s="167"/>
    </row>
    <row r="4234" spans="2:2" ht="15.5" x14ac:dyDescent="0.35">
      <c r="B4234" s="167"/>
    </row>
    <row r="4235" spans="2:2" ht="15.5" x14ac:dyDescent="0.35">
      <c r="B4235" s="167"/>
    </row>
    <row r="4236" spans="2:2" ht="15.5" x14ac:dyDescent="0.35">
      <c r="B4236" s="167"/>
    </row>
    <row r="4237" spans="2:2" ht="15.5" x14ac:dyDescent="0.35">
      <c r="B4237" s="167"/>
    </row>
    <row r="4238" spans="2:2" ht="15.5" x14ac:dyDescent="0.35">
      <c r="B4238" s="167"/>
    </row>
    <row r="4239" spans="2:2" ht="15.5" x14ac:dyDescent="0.35">
      <c r="B4239" s="167"/>
    </row>
    <row r="4240" spans="2:2" ht="15.5" x14ac:dyDescent="0.35">
      <c r="B4240" s="167"/>
    </row>
    <row r="4241" spans="2:2" ht="15.5" x14ac:dyDescent="0.35">
      <c r="B4241" s="167"/>
    </row>
    <row r="4242" spans="2:2" ht="15.5" x14ac:dyDescent="0.35">
      <c r="B4242" s="167"/>
    </row>
    <row r="4243" spans="2:2" ht="15.5" x14ac:dyDescent="0.35">
      <c r="B4243" s="167"/>
    </row>
    <row r="4244" spans="2:2" ht="15.5" x14ac:dyDescent="0.35">
      <c r="B4244" s="167"/>
    </row>
    <row r="4245" spans="2:2" ht="15.5" x14ac:dyDescent="0.35">
      <c r="B4245" s="167"/>
    </row>
    <row r="4246" spans="2:2" ht="15.5" x14ac:dyDescent="0.35">
      <c r="B4246" s="167"/>
    </row>
    <row r="4247" spans="2:2" ht="15.5" x14ac:dyDescent="0.35">
      <c r="B4247" s="167"/>
    </row>
    <row r="4248" spans="2:2" ht="15.5" x14ac:dyDescent="0.35">
      <c r="B4248" s="167"/>
    </row>
    <row r="4249" spans="2:2" ht="15.5" x14ac:dyDescent="0.35">
      <c r="B4249" s="167"/>
    </row>
    <row r="4250" spans="2:2" ht="15.5" x14ac:dyDescent="0.35">
      <c r="B4250" s="167"/>
    </row>
    <row r="4251" spans="2:2" ht="15.5" x14ac:dyDescent="0.35">
      <c r="B4251" s="167"/>
    </row>
    <row r="4252" spans="2:2" ht="15.5" x14ac:dyDescent="0.35">
      <c r="B4252" s="167"/>
    </row>
    <row r="4253" spans="2:2" ht="15.5" x14ac:dyDescent="0.35">
      <c r="B4253" s="167"/>
    </row>
    <row r="4254" spans="2:2" ht="15.5" x14ac:dyDescent="0.35">
      <c r="B4254" s="167"/>
    </row>
    <row r="4255" spans="2:2" ht="15.5" x14ac:dyDescent="0.35">
      <c r="B4255" s="167"/>
    </row>
    <row r="4256" spans="2:2" ht="15.5" x14ac:dyDescent="0.35">
      <c r="B4256" s="167"/>
    </row>
    <row r="4257" spans="2:2" ht="15.5" x14ac:dyDescent="0.35">
      <c r="B4257" s="167"/>
    </row>
    <row r="4258" spans="2:2" ht="15.5" x14ac:dyDescent="0.35">
      <c r="B4258" s="167"/>
    </row>
    <row r="4259" spans="2:2" ht="15.5" x14ac:dyDescent="0.35">
      <c r="B4259" s="167"/>
    </row>
    <row r="4260" spans="2:2" ht="15.5" x14ac:dyDescent="0.35">
      <c r="B4260" s="167"/>
    </row>
    <row r="4261" spans="2:2" ht="15.5" x14ac:dyDescent="0.35">
      <c r="B4261" s="167"/>
    </row>
    <row r="4262" spans="2:2" ht="15.5" x14ac:dyDescent="0.35">
      <c r="B4262" s="167"/>
    </row>
    <row r="4263" spans="2:2" ht="15.5" x14ac:dyDescent="0.35">
      <c r="B4263" s="167"/>
    </row>
    <row r="4264" spans="2:2" ht="15.5" x14ac:dyDescent="0.35">
      <c r="B4264" s="167"/>
    </row>
    <row r="4265" spans="2:2" ht="15.5" x14ac:dyDescent="0.35">
      <c r="B4265" s="167"/>
    </row>
    <row r="4266" spans="2:2" ht="15.5" x14ac:dyDescent="0.35">
      <c r="B4266" s="167"/>
    </row>
    <row r="4267" spans="2:2" ht="15.5" x14ac:dyDescent="0.35">
      <c r="B4267" s="167"/>
    </row>
    <row r="4268" spans="2:2" ht="15.5" x14ac:dyDescent="0.35">
      <c r="B4268" s="167"/>
    </row>
    <row r="4269" spans="2:2" ht="15.5" x14ac:dyDescent="0.35">
      <c r="B4269" s="167"/>
    </row>
    <row r="4270" spans="2:2" ht="15.5" x14ac:dyDescent="0.35">
      <c r="B4270" s="167"/>
    </row>
    <row r="4271" spans="2:2" ht="15.5" x14ac:dyDescent="0.35">
      <c r="B4271" s="167"/>
    </row>
    <row r="4272" spans="2:2" ht="15.5" x14ac:dyDescent="0.35">
      <c r="B4272" s="167"/>
    </row>
    <row r="4273" spans="2:2" ht="15.5" x14ac:dyDescent="0.35">
      <c r="B4273" s="167"/>
    </row>
    <row r="4274" spans="2:2" ht="15.5" x14ac:dyDescent="0.35">
      <c r="B4274" s="167"/>
    </row>
    <row r="4275" spans="2:2" ht="15.5" x14ac:dyDescent="0.35">
      <c r="B4275" s="167"/>
    </row>
    <row r="4276" spans="2:2" ht="15.5" x14ac:dyDescent="0.35">
      <c r="B4276" s="167"/>
    </row>
    <row r="4277" spans="2:2" ht="15.5" x14ac:dyDescent="0.35">
      <c r="B4277" s="167"/>
    </row>
    <row r="4278" spans="2:2" ht="15.5" x14ac:dyDescent="0.35">
      <c r="B4278" s="167"/>
    </row>
    <row r="4279" spans="2:2" ht="15.5" x14ac:dyDescent="0.35">
      <c r="B4279" s="167"/>
    </row>
    <row r="4280" spans="2:2" ht="15.5" x14ac:dyDescent="0.35">
      <c r="B4280" s="167"/>
    </row>
    <row r="4281" spans="2:2" ht="15.5" x14ac:dyDescent="0.35">
      <c r="B4281" s="167"/>
    </row>
    <row r="4282" spans="2:2" ht="15.5" x14ac:dyDescent="0.35">
      <c r="B4282" s="167"/>
    </row>
    <row r="4283" spans="2:2" ht="15.5" x14ac:dyDescent="0.35">
      <c r="B4283" s="167"/>
    </row>
    <row r="4284" spans="2:2" ht="15.5" x14ac:dyDescent="0.35">
      <c r="B4284" s="167"/>
    </row>
    <row r="4285" spans="2:2" ht="15.5" x14ac:dyDescent="0.35">
      <c r="B4285" s="167"/>
    </row>
    <row r="4286" spans="2:2" ht="15.5" x14ac:dyDescent="0.35">
      <c r="B4286" s="167"/>
    </row>
    <row r="4287" spans="2:2" ht="15.5" x14ac:dyDescent="0.35">
      <c r="B4287" s="167"/>
    </row>
    <row r="4288" spans="2:2" ht="15.5" x14ac:dyDescent="0.35">
      <c r="B4288" s="167"/>
    </row>
    <row r="4289" spans="2:2" ht="15.5" x14ac:dyDescent="0.35">
      <c r="B4289" s="167"/>
    </row>
    <row r="4290" spans="2:2" ht="15.5" x14ac:dyDescent="0.35">
      <c r="B4290" s="167"/>
    </row>
    <row r="4291" spans="2:2" ht="15.5" x14ac:dyDescent="0.35">
      <c r="B4291" s="167"/>
    </row>
    <row r="4292" spans="2:2" ht="15.5" x14ac:dyDescent="0.35">
      <c r="B4292" s="167"/>
    </row>
    <row r="4293" spans="2:2" ht="15.5" x14ac:dyDescent="0.35">
      <c r="B4293" s="167"/>
    </row>
    <row r="4294" spans="2:2" ht="15.5" x14ac:dyDescent="0.35">
      <c r="B4294" s="167"/>
    </row>
    <row r="4295" spans="2:2" ht="15.5" x14ac:dyDescent="0.35">
      <c r="B4295" s="167"/>
    </row>
    <row r="4296" spans="2:2" ht="15.5" x14ac:dyDescent="0.35">
      <c r="B4296" s="167"/>
    </row>
    <row r="4297" spans="2:2" ht="15.5" x14ac:dyDescent="0.35">
      <c r="B4297" s="167"/>
    </row>
    <row r="4298" spans="2:2" ht="15.5" x14ac:dyDescent="0.35">
      <c r="B4298" s="167"/>
    </row>
    <row r="4299" spans="2:2" ht="15.5" x14ac:dyDescent="0.35">
      <c r="B4299" s="167"/>
    </row>
    <row r="4300" spans="2:2" ht="15.5" x14ac:dyDescent="0.35">
      <c r="B4300" s="167"/>
    </row>
    <row r="4301" spans="2:2" ht="15.5" x14ac:dyDescent="0.35">
      <c r="B4301" s="167"/>
    </row>
    <row r="4302" spans="2:2" ht="15.5" x14ac:dyDescent="0.35">
      <c r="B4302" s="167"/>
    </row>
    <row r="4303" spans="2:2" ht="15.5" x14ac:dyDescent="0.35">
      <c r="B4303" s="167"/>
    </row>
    <row r="4304" spans="2:2" ht="15.5" x14ac:dyDescent="0.35">
      <c r="B4304" s="167"/>
    </row>
    <row r="4305" spans="2:2" ht="15.5" x14ac:dyDescent="0.35">
      <c r="B4305" s="167"/>
    </row>
    <row r="4306" spans="2:2" ht="15.5" x14ac:dyDescent="0.35">
      <c r="B4306" s="167"/>
    </row>
    <row r="4307" spans="2:2" ht="15.5" x14ac:dyDescent="0.35">
      <c r="B4307" s="167"/>
    </row>
    <row r="4308" spans="2:2" ht="15.5" x14ac:dyDescent="0.35">
      <c r="B4308" s="167"/>
    </row>
    <row r="4309" spans="2:2" ht="15.5" x14ac:dyDescent="0.35">
      <c r="B4309" s="167"/>
    </row>
    <row r="4310" spans="2:2" ht="15.5" x14ac:dyDescent="0.35">
      <c r="B4310" s="167"/>
    </row>
    <row r="4311" spans="2:2" ht="15.5" x14ac:dyDescent="0.35">
      <c r="B4311" s="167"/>
    </row>
    <row r="4312" spans="2:2" ht="15.5" x14ac:dyDescent="0.35">
      <c r="B4312" s="167"/>
    </row>
    <row r="4313" spans="2:2" ht="15.5" x14ac:dyDescent="0.35">
      <c r="B4313" s="167"/>
    </row>
    <row r="4314" spans="2:2" ht="15.5" x14ac:dyDescent="0.35">
      <c r="B4314" s="167"/>
    </row>
    <row r="4315" spans="2:2" ht="15.5" x14ac:dyDescent="0.35">
      <c r="B4315" s="167"/>
    </row>
    <row r="4316" spans="2:2" ht="15.5" x14ac:dyDescent="0.35">
      <c r="B4316" s="167"/>
    </row>
    <row r="4317" spans="2:2" ht="15.5" x14ac:dyDescent="0.35">
      <c r="B4317" s="167"/>
    </row>
    <row r="4318" spans="2:2" ht="15.5" x14ac:dyDescent="0.35">
      <c r="B4318" s="167"/>
    </row>
    <row r="4319" spans="2:2" ht="15.5" x14ac:dyDescent="0.35">
      <c r="B4319" s="167"/>
    </row>
    <row r="4320" spans="2:2" ht="15.5" x14ac:dyDescent="0.35">
      <c r="B4320" s="167"/>
    </row>
    <row r="4321" spans="2:2" ht="15.5" x14ac:dyDescent="0.35">
      <c r="B4321" s="167"/>
    </row>
    <row r="4322" spans="2:2" ht="15.5" x14ac:dyDescent="0.35">
      <c r="B4322" s="167"/>
    </row>
    <row r="4323" spans="2:2" ht="15.5" x14ac:dyDescent="0.35">
      <c r="B4323" s="167"/>
    </row>
    <row r="4324" spans="2:2" ht="15.5" x14ac:dyDescent="0.35">
      <c r="B4324" s="167"/>
    </row>
    <row r="4325" spans="2:2" ht="15.5" x14ac:dyDescent="0.35">
      <c r="B4325" s="167"/>
    </row>
    <row r="4326" spans="2:2" ht="15.5" x14ac:dyDescent="0.35">
      <c r="B4326" s="167"/>
    </row>
    <row r="4327" spans="2:2" ht="15.5" x14ac:dyDescent="0.35">
      <c r="B4327" s="167"/>
    </row>
    <row r="4328" spans="2:2" ht="15.5" x14ac:dyDescent="0.35">
      <c r="B4328" s="167"/>
    </row>
    <row r="4329" spans="2:2" ht="15.5" x14ac:dyDescent="0.35">
      <c r="B4329" s="167"/>
    </row>
    <row r="4330" spans="2:2" ht="15.5" x14ac:dyDescent="0.35">
      <c r="B4330" s="167"/>
    </row>
    <row r="4331" spans="2:2" ht="15.5" x14ac:dyDescent="0.35">
      <c r="B4331" s="167"/>
    </row>
    <row r="4332" spans="2:2" ht="15.5" x14ac:dyDescent="0.35">
      <c r="B4332" s="167"/>
    </row>
    <row r="4333" spans="2:2" ht="15.5" x14ac:dyDescent="0.35">
      <c r="B4333" s="167"/>
    </row>
    <row r="4334" spans="2:2" ht="15.5" x14ac:dyDescent="0.35">
      <c r="B4334" s="167"/>
    </row>
    <row r="4335" spans="2:2" ht="15.5" x14ac:dyDescent="0.35">
      <c r="B4335" s="167"/>
    </row>
    <row r="4336" spans="2:2" ht="15.5" x14ac:dyDescent="0.35">
      <c r="B4336" s="167"/>
    </row>
    <row r="4337" spans="2:2" ht="15.5" x14ac:dyDescent="0.35">
      <c r="B4337" s="167"/>
    </row>
    <row r="4338" spans="2:2" ht="15.5" x14ac:dyDescent="0.35">
      <c r="B4338" s="167"/>
    </row>
    <row r="4339" spans="2:2" ht="15.5" x14ac:dyDescent="0.35">
      <c r="B4339" s="167"/>
    </row>
    <row r="4340" spans="2:2" ht="15.5" x14ac:dyDescent="0.35">
      <c r="B4340" s="167"/>
    </row>
    <row r="4341" spans="2:2" ht="15.5" x14ac:dyDescent="0.35">
      <c r="B4341" s="167"/>
    </row>
    <row r="4342" spans="2:2" ht="15.5" x14ac:dyDescent="0.35">
      <c r="B4342" s="167"/>
    </row>
    <row r="4343" spans="2:2" ht="15.5" x14ac:dyDescent="0.35">
      <c r="B4343" s="167"/>
    </row>
    <row r="4344" spans="2:2" ht="15.5" x14ac:dyDescent="0.35">
      <c r="B4344" s="167"/>
    </row>
    <row r="4345" spans="2:2" ht="15.5" x14ac:dyDescent="0.35">
      <c r="B4345" s="167"/>
    </row>
    <row r="4346" spans="2:2" ht="15.5" x14ac:dyDescent="0.35">
      <c r="B4346" s="167"/>
    </row>
    <row r="4347" spans="2:2" ht="15.5" x14ac:dyDescent="0.35">
      <c r="B4347" s="167"/>
    </row>
    <row r="4348" spans="2:2" ht="15.5" x14ac:dyDescent="0.35">
      <c r="B4348" s="167"/>
    </row>
    <row r="4349" spans="2:2" ht="15.5" x14ac:dyDescent="0.35">
      <c r="B4349" s="167"/>
    </row>
    <row r="4350" spans="2:2" ht="15.5" x14ac:dyDescent="0.35">
      <c r="B4350" s="167"/>
    </row>
    <row r="4351" spans="2:2" ht="15.5" x14ac:dyDescent="0.35">
      <c r="B4351" s="167"/>
    </row>
    <row r="4352" spans="2:2" ht="15.5" x14ac:dyDescent="0.35">
      <c r="B4352" s="167"/>
    </row>
    <row r="4353" spans="2:2" ht="15.5" x14ac:dyDescent="0.35">
      <c r="B4353" s="167"/>
    </row>
    <row r="4354" spans="2:2" ht="15.5" x14ac:dyDescent="0.35">
      <c r="B4354" s="167"/>
    </row>
    <row r="4355" spans="2:2" ht="15.5" x14ac:dyDescent="0.35">
      <c r="B4355" s="167"/>
    </row>
    <row r="4356" spans="2:2" ht="15.5" x14ac:dyDescent="0.35">
      <c r="B4356" s="167"/>
    </row>
    <row r="4357" spans="2:2" ht="15.5" x14ac:dyDescent="0.35">
      <c r="B4357" s="167"/>
    </row>
    <row r="4358" spans="2:2" ht="15.5" x14ac:dyDescent="0.35">
      <c r="B4358" s="167"/>
    </row>
    <row r="4359" spans="2:2" ht="15.5" x14ac:dyDescent="0.35">
      <c r="B4359" s="167"/>
    </row>
    <row r="4360" spans="2:2" ht="15.5" x14ac:dyDescent="0.35">
      <c r="B4360" s="167"/>
    </row>
    <row r="4361" spans="2:2" ht="15.5" x14ac:dyDescent="0.35">
      <c r="B4361" s="167"/>
    </row>
    <row r="4362" spans="2:2" ht="15.5" x14ac:dyDescent="0.35">
      <c r="B4362" s="167"/>
    </row>
    <row r="4363" spans="2:2" ht="15.5" x14ac:dyDescent="0.35">
      <c r="B4363" s="167"/>
    </row>
    <row r="4364" spans="2:2" ht="15.5" x14ac:dyDescent="0.35">
      <c r="B4364" s="167"/>
    </row>
    <row r="4365" spans="2:2" ht="15.5" x14ac:dyDescent="0.35">
      <c r="B4365" s="167"/>
    </row>
    <row r="4366" spans="2:2" ht="15.5" x14ac:dyDescent="0.35">
      <c r="B4366" s="167"/>
    </row>
    <row r="4367" spans="2:2" ht="15.5" x14ac:dyDescent="0.35">
      <c r="B4367" s="167"/>
    </row>
    <row r="4368" spans="2:2" ht="15.5" x14ac:dyDescent="0.35">
      <c r="B4368" s="167"/>
    </row>
    <row r="4369" spans="2:2" ht="15.5" x14ac:dyDescent="0.35">
      <c r="B4369" s="167"/>
    </row>
    <row r="4370" spans="2:2" ht="15.5" x14ac:dyDescent="0.35">
      <c r="B4370" s="167"/>
    </row>
    <row r="4371" spans="2:2" ht="15.5" x14ac:dyDescent="0.35">
      <c r="B4371" s="167"/>
    </row>
    <row r="4372" spans="2:2" ht="15.5" x14ac:dyDescent="0.35">
      <c r="B4372" s="167"/>
    </row>
    <row r="4373" spans="2:2" ht="15.5" x14ac:dyDescent="0.35">
      <c r="B4373" s="167"/>
    </row>
    <row r="4374" spans="2:2" ht="15.5" x14ac:dyDescent="0.35">
      <c r="B4374" s="167"/>
    </row>
    <row r="4375" spans="2:2" ht="15.5" x14ac:dyDescent="0.35">
      <c r="B4375" s="167"/>
    </row>
    <row r="4376" spans="2:2" ht="15.5" x14ac:dyDescent="0.35">
      <c r="B4376" s="167"/>
    </row>
    <row r="4377" spans="2:2" ht="15.5" x14ac:dyDescent="0.35">
      <c r="B4377" s="167"/>
    </row>
    <row r="4378" spans="2:2" ht="15.5" x14ac:dyDescent="0.35">
      <c r="B4378" s="167"/>
    </row>
    <row r="4379" spans="2:2" ht="15.5" x14ac:dyDescent="0.35">
      <c r="B4379" s="167"/>
    </row>
    <row r="4380" spans="2:2" ht="15.5" x14ac:dyDescent="0.35">
      <c r="B4380" s="167"/>
    </row>
    <row r="4381" spans="2:2" ht="15.5" x14ac:dyDescent="0.35">
      <c r="B4381" s="167"/>
    </row>
    <row r="4382" spans="2:2" ht="15.5" x14ac:dyDescent="0.35">
      <c r="B4382" s="167"/>
    </row>
    <row r="4383" spans="2:2" ht="15.5" x14ac:dyDescent="0.35">
      <c r="B4383" s="167"/>
    </row>
    <row r="4384" spans="2:2" ht="15.5" x14ac:dyDescent="0.35">
      <c r="B4384" s="167"/>
    </row>
    <row r="4385" spans="2:2" ht="15.5" x14ac:dyDescent="0.35">
      <c r="B4385" s="167"/>
    </row>
    <row r="4386" spans="2:2" ht="15.5" x14ac:dyDescent="0.35">
      <c r="B4386" s="167"/>
    </row>
    <row r="4387" spans="2:2" ht="15.5" x14ac:dyDescent="0.35">
      <c r="B4387" s="167"/>
    </row>
    <row r="4388" spans="2:2" ht="15.5" x14ac:dyDescent="0.35">
      <c r="B4388" s="167"/>
    </row>
    <row r="4389" spans="2:2" ht="15.5" x14ac:dyDescent="0.35">
      <c r="B4389" s="167"/>
    </row>
    <row r="4390" spans="2:2" ht="15.5" x14ac:dyDescent="0.35">
      <c r="B4390" s="167"/>
    </row>
    <row r="4391" spans="2:2" ht="15.5" x14ac:dyDescent="0.35">
      <c r="B4391" s="167"/>
    </row>
    <row r="4392" spans="2:2" ht="15.5" x14ac:dyDescent="0.35">
      <c r="B4392" s="167"/>
    </row>
    <row r="4393" spans="2:2" ht="15.5" x14ac:dyDescent="0.35">
      <c r="B4393" s="167"/>
    </row>
    <row r="4394" spans="2:2" ht="15.5" x14ac:dyDescent="0.35">
      <c r="B4394" s="167"/>
    </row>
    <row r="4395" spans="2:2" ht="15.5" x14ac:dyDescent="0.35">
      <c r="B4395" s="167"/>
    </row>
    <row r="4396" spans="2:2" ht="15.5" x14ac:dyDescent="0.35">
      <c r="B4396" s="167"/>
    </row>
    <row r="4397" spans="2:2" ht="15.5" x14ac:dyDescent="0.35">
      <c r="B4397" s="167"/>
    </row>
    <row r="4398" spans="2:2" ht="15.5" x14ac:dyDescent="0.35">
      <c r="B4398" s="167"/>
    </row>
    <row r="4399" spans="2:2" ht="15.5" x14ac:dyDescent="0.35">
      <c r="B4399" s="167"/>
    </row>
    <row r="4400" spans="2:2" ht="15.5" x14ac:dyDescent="0.35">
      <c r="B4400" s="167"/>
    </row>
    <row r="4401" spans="2:2" ht="15.5" x14ac:dyDescent="0.35">
      <c r="B4401" s="167"/>
    </row>
    <row r="4402" spans="2:2" ht="15.5" x14ac:dyDescent="0.35">
      <c r="B4402" s="167"/>
    </row>
    <row r="4403" spans="2:2" ht="15.5" x14ac:dyDescent="0.35">
      <c r="B4403" s="167"/>
    </row>
    <row r="4404" spans="2:2" ht="15.5" x14ac:dyDescent="0.35">
      <c r="B4404" s="167"/>
    </row>
    <row r="4405" spans="2:2" ht="15.5" x14ac:dyDescent="0.35">
      <c r="B4405" s="167"/>
    </row>
    <row r="4406" spans="2:2" ht="15.5" x14ac:dyDescent="0.35">
      <c r="B4406" s="167"/>
    </row>
    <row r="4407" spans="2:2" ht="15.5" x14ac:dyDescent="0.35">
      <c r="B4407" s="167"/>
    </row>
    <row r="4408" spans="2:2" ht="15.5" x14ac:dyDescent="0.35">
      <c r="B4408" s="167"/>
    </row>
    <row r="4409" spans="2:2" ht="15.5" x14ac:dyDescent="0.35">
      <c r="B4409" s="167"/>
    </row>
    <row r="4410" spans="2:2" ht="15.5" x14ac:dyDescent="0.35">
      <c r="B4410" s="167"/>
    </row>
    <row r="4411" spans="2:2" ht="15.5" x14ac:dyDescent="0.35">
      <c r="B4411" s="167"/>
    </row>
    <row r="4412" spans="2:2" ht="15.5" x14ac:dyDescent="0.35">
      <c r="B4412" s="167"/>
    </row>
    <row r="4413" spans="2:2" ht="15.5" x14ac:dyDescent="0.35">
      <c r="B4413" s="167"/>
    </row>
    <row r="4414" spans="2:2" ht="15.5" x14ac:dyDescent="0.35">
      <c r="B4414" s="167"/>
    </row>
    <row r="4415" spans="2:2" ht="15.5" x14ac:dyDescent="0.35">
      <c r="B4415" s="167"/>
    </row>
    <row r="4416" spans="2:2" ht="15.5" x14ac:dyDescent="0.35">
      <c r="B4416" s="167"/>
    </row>
    <row r="4417" spans="2:2" ht="15.5" x14ac:dyDescent="0.35">
      <c r="B4417" s="167"/>
    </row>
    <row r="4418" spans="2:2" ht="15.5" x14ac:dyDescent="0.35">
      <c r="B4418" s="167"/>
    </row>
    <row r="4419" spans="2:2" ht="15.5" x14ac:dyDescent="0.35">
      <c r="B4419" s="167"/>
    </row>
    <row r="4420" spans="2:2" ht="15.5" x14ac:dyDescent="0.35">
      <c r="B4420" s="167"/>
    </row>
    <row r="4421" spans="2:2" ht="15.5" x14ac:dyDescent="0.35">
      <c r="B4421" s="167"/>
    </row>
    <row r="4422" spans="2:2" ht="15.5" x14ac:dyDescent="0.35">
      <c r="B4422" s="167"/>
    </row>
    <row r="4423" spans="2:2" ht="15.5" x14ac:dyDescent="0.35">
      <c r="B4423" s="167"/>
    </row>
    <row r="4424" spans="2:2" ht="15.5" x14ac:dyDescent="0.35">
      <c r="B4424" s="167"/>
    </row>
    <row r="4425" spans="2:2" ht="15.5" x14ac:dyDescent="0.35">
      <c r="B4425" s="167"/>
    </row>
    <row r="4426" spans="2:2" ht="15.5" x14ac:dyDescent="0.35">
      <c r="B4426" s="167"/>
    </row>
    <row r="4427" spans="2:2" ht="15.5" x14ac:dyDescent="0.35">
      <c r="B4427" s="167"/>
    </row>
    <row r="4428" spans="2:2" ht="15.5" x14ac:dyDescent="0.35">
      <c r="B4428" s="167"/>
    </row>
    <row r="4429" spans="2:2" ht="15.5" x14ac:dyDescent="0.35">
      <c r="B4429" s="167"/>
    </row>
    <row r="4430" spans="2:2" ht="15.5" x14ac:dyDescent="0.35">
      <c r="B4430" s="167"/>
    </row>
    <row r="4431" spans="2:2" ht="15.5" x14ac:dyDescent="0.35">
      <c r="B4431" s="167"/>
    </row>
    <row r="4432" spans="2:2" ht="15.5" x14ac:dyDescent="0.35">
      <c r="B4432" s="167"/>
    </row>
    <row r="4433" spans="2:2" ht="15.5" x14ac:dyDescent="0.35">
      <c r="B4433" s="167"/>
    </row>
    <row r="4434" spans="2:2" ht="15.5" x14ac:dyDescent="0.35">
      <c r="B4434" s="167"/>
    </row>
    <row r="4435" spans="2:2" ht="15.5" x14ac:dyDescent="0.35">
      <c r="B4435" s="167"/>
    </row>
    <row r="4436" spans="2:2" ht="15.5" x14ac:dyDescent="0.35">
      <c r="B4436" s="167"/>
    </row>
    <row r="4437" spans="2:2" ht="15.5" x14ac:dyDescent="0.35">
      <c r="B4437" s="167"/>
    </row>
    <row r="4438" spans="2:2" ht="15.5" x14ac:dyDescent="0.35">
      <c r="B4438" s="167"/>
    </row>
    <row r="4439" spans="2:2" ht="15.5" x14ac:dyDescent="0.35">
      <c r="B4439" s="167"/>
    </row>
    <row r="4440" spans="2:2" ht="15.5" x14ac:dyDescent="0.35">
      <c r="B4440" s="167"/>
    </row>
    <row r="4441" spans="2:2" ht="15.5" x14ac:dyDescent="0.35">
      <c r="B4441" s="167"/>
    </row>
    <row r="4442" spans="2:2" ht="15.5" x14ac:dyDescent="0.35">
      <c r="B4442" s="167"/>
    </row>
    <row r="4443" spans="2:2" ht="15.5" x14ac:dyDescent="0.35">
      <c r="B4443" s="167"/>
    </row>
    <row r="4444" spans="2:2" ht="15.5" x14ac:dyDescent="0.35">
      <c r="B4444" s="167"/>
    </row>
    <row r="4445" spans="2:2" ht="15.5" x14ac:dyDescent="0.35">
      <c r="B4445" s="167"/>
    </row>
    <row r="4446" spans="2:2" ht="15.5" x14ac:dyDescent="0.35">
      <c r="B4446" s="167"/>
    </row>
    <row r="4447" spans="2:2" ht="15.5" x14ac:dyDescent="0.35">
      <c r="B4447" s="167"/>
    </row>
    <row r="4448" spans="2:2" ht="15.5" x14ac:dyDescent="0.35">
      <c r="B4448" s="167"/>
    </row>
    <row r="4449" spans="2:2" ht="15.5" x14ac:dyDescent="0.35">
      <c r="B4449" s="167"/>
    </row>
    <row r="4450" spans="2:2" ht="15.5" x14ac:dyDescent="0.35">
      <c r="B4450" s="167"/>
    </row>
    <row r="4451" spans="2:2" ht="15.5" x14ac:dyDescent="0.35">
      <c r="B4451" s="167"/>
    </row>
    <row r="4452" spans="2:2" ht="15.5" x14ac:dyDescent="0.35">
      <c r="B4452" s="167"/>
    </row>
    <row r="4453" spans="2:2" ht="15.5" x14ac:dyDescent="0.35">
      <c r="B4453" s="167"/>
    </row>
    <row r="4454" spans="2:2" ht="15.5" x14ac:dyDescent="0.35">
      <c r="B4454" s="167"/>
    </row>
    <row r="4455" spans="2:2" ht="15.5" x14ac:dyDescent="0.35">
      <c r="B4455" s="167"/>
    </row>
    <row r="4456" spans="2:2" ht="15.5" x14ac:dyDescent="0.35">
      <c r="B4456" s="167"/>
    </row>
    <row r="4457" spans="2:2" ht="15.5" x14ac:dyDescent="0.35">
      <c r="B4457" s="167"/>
    </row>
    <row r="4458" spans="2:2" ht="15.5" x14ac:dyDescent="0.35">
      <c r="B4458" s="167"/>
    </row>
    <row r="4459" spans="2:2" ht="15.5" x14ac:dyDescent="0.35">
      <c r="B4459" s="167"/>
    </row>
    <row r="4460" spans="2:2" ht="15.5" x14ac:dyDescent="0.35">
      <c r="B4460" s="167"/>
    </row>
    <row r="4461" spans="2:2" ht="15.5" x14ac:dyDescent="0.35">
      <c r="B4461" s="167"/>
    </row>
    <row r="4462" spans="2:2" ht="15.5" x14ac:dyDescent="0.35">
      <c r="B4462" s="167"/>
    </row>
    <row r="4463" spans="2:2" ht="15.5" x14ac:dyDescent="0.35">
      <c r="B4463" s="167"/>
    </row>
    <row r="4464" spans="2:2" ht="15.5" x14ac:dyDescent="0.35">
      <c r="B4464" s="167"/>
    </row>
    <row r="4465" spans="2:2" ht="15.5" x14ac:dyDescent="0.35">
      <c r="B4465" s="167"/>
    </row>
    <row r="4466" spans="2:2" ht="15.5" x14ac:dyDescent="0.35">
      <c r="B4466" s="167"/>
    </row>
    <row r="4467" spans="2:2" ht="15.5" x14ac:dyDescent="0.35">
      <c r="B4467" s="167"/>
    </row>
    <row r="4468" spans="2:2" ht="15.5" x14ac:dyDescent="0.35">
      <c r="B4468" s="167"/>
    </row>
    <row r="4469" spans="2:2" ht="15.5" x14ac:dyDescent="0.35">
      <c r="B4469" s="167"/>
    </row>
    <row r="4470" spans="2:2" ht="15.5" x14ac:dyDescent="0.35">
      <c r="B4470" s="167"/>
    </row>
    <row r="4471" spans="2:2" ht="15.5" x14ac:dyDescent="0.35">
      <c r="B4471" s="167"/>
    </row>
    <row r="4472" spans="2:2" ht="15.5" x14ac:dyDescent="0.35">
      <c r="B4472" s="167"/>
    </row>
    <row r="4473" spans="2:2" ht="15.5" x14ac:dyDescent="0.35">
      <c r="B4473" s="167"/>
    </row>
    <row r="4474" spans="2:2" ht="15.5" x14ac:dyDescent="0.35">
      <c r="B4474" s="167"/>
    </row>
    <row r="4475" spans="2:2" ht="15.5" x14ac:dyDescent="0.35">
      <c r="B4475" s="167"/>
    </row>
    <row r="4476" spans="2:2" ht="15.5" x14ac:dyDescent="0.35">
      <c r="B4476" s="167"/>
    </row>
    <row r="4477" spans="2:2" ht="15.5" x14ac:dyDescent="0.35">
      <c r="B4477" s="167"/>
    </row>
    <row r="4478" spans="2:2" ht="15.5" x14ac:dyDescent="0.35">
      <c r="B4478" s="167"/>
    </row>
    <row r="4479" spans="2:2" ht="15.5" x14ac:dyDescent="0.35">
      <c r="B4479" s="167"/>
    </row>
    <row r="4480" spans="2:2" ht="15.5" x14ac:dyDescent="0.35">
      <c r="B4480" s="167"/>
    </row>
    <row r="4481" spans="2:2" ht="15.5" x14ac:dyDescent="0.35">
      <c r="B4481" s="167"/>
    </row>
    <row r="4482" spans="2:2" ht="15.5" x14ac:dyDescent="0.35">
      <c r="B4482" s="167"/>
    </row>
    <row r="4483" spans="2:2" ht="15.5" x14ac:dyDescent="0.35">
      <c r="B4483" s="167"/>
    </row>
    <row r="4484" spans="2:2" ht="15.5" x14ac:dyDescent="0.35">
      <c r="B4484" s="167"/>
    </row>
    <row r="4485" spans="2:2" ht="15.5" x14ac:dyDescent="0.35">
      <c r="B4485" s="167"/>
    </row>
    <row r="4486" spans="2:2" ht="15.5" x14ac:dyDescent="0.35">
      <c r="B4486" s="167"/>
    </row>
    <row r="4487" spans="2:2" ht="15.5" x14ac:dyDescent="0.35">
      <c r="B4487" s="167"/>
    </row>
    <row r="4488" spans="2:2" ht="15.5" x14ac:dyDescent="0.35">
      <c r="B4488" s="167"/>
    </row>
    <row r="4489" spans="2:2" ht="15.5" x14ac:dyDescent="0.35">
      <c r="B4489" s="167"/>
    </row>
    <row r="4490" spans="2:2" ht="15.5" x14ac:dyDescent="0.35">
      <c r="B4490" s="167"/>
    </row>
    <row r="4491" spans="2:2" ht="15.5" x14ac:dyDescent="0.35">
      <c r="B4491" s="167"/>
    </row>
    <row r="4492" spans="2:2" ht="15.5" x14ac:dyDescent="0.35">
      <c r="B4492" s="167"/>
    </row>
    <row r="4493" spans="2:2" ht="15.5" x14ac:dyDescent="0.35">
      <c r="B4493" s="167"/>
    </row>
    <row r="4494" spans="2:2" ht="15.5" x14ac:dyDescent="0.35">
      <c r="B4494" s="167"/>
    </row>
    <row r="4495" spans="2:2" ht="15.5" x14ac:dyDescent="0.35">
      <c r="B4495" s="167"/>
    </row>
    <row r="4496" spans="2:2" ht="15.5" x14ac:dyDescent="0.35">
      <c r="B4496" s="167"/>
    </row>
    <row r="4497" spans="2:2" ht="15.5" x14ac:dyDescent="0.35">
      <c r="B4497" s="167"/>
    </row>
    <row r="4498" spans="2:2" ht="15.5" x14ac:dyDescent="0.35">
      <c r="B4498" s="167"/>
    </row>
    <row r="4499" spans="2:2" ht="15.5" x14ac:dyDescent="0.35">
      <c r="B4499" s="167"/>
    </row>
    <row r="4500" spans="2:2" ht="15.5" x14ac:dyDescent="0.35">
      <c r="B4500" s="167"/>
    </row>
    <row r="4501" spans="2:2" ht="15.5" x14ac:dyDescent="0.35">
      <c r="B4501" s="167"/>
    </row>
    <row r="4502" spans="2:2" ht="15.5" x14ac:dyDescent="0.35">
      <c r="B4502" s="167"/>
    </row>
    <row r="4503" spans="2:2" ht="15.5" x14ac:dyDescent="0.35">
      <c r="B4503" s="167"/>
    </row>
    <row r="4504" spans="2:2" ht="15.5" x14ac:dyDescent="0.35">
      <c r="B4504" s="167"/>
    </row>
    <row r="4505" spans="2:2" ht="15.5" x14ac:dyDescent="0.35">
      <c r="B4505" s="167"/>
    </row>
    <row r="4506" spans="2:2" ht="15.5" x14ac:dyDescent="0.35">
      <c r="B4506" s="167"/>
    </row>
    <row r="4507" spans="2:2" ht="15.5" x14ac:dyDescent="0.35">
      <c r="B4507" s="167"/>
    </row>
    <row r="4508" spans="2:2" ht="15.5" x14ac:dyDescent="0.35">
      <c r="B4508" s="167"/>
    </row>
    <row r="4509" spans="2:2" ht="15.5" x14ac:dyDescent="0.35">
      <c r="B4509" s="167"/>
    </row>
    <row r="4510" spans="2:2" ht="15.5" x14ac:dyDescent="0.35">
      <c r="B4510" s="167"/>
    </row>
    <row r="4511" spans="2:2" ht="15.5" x14ac:dyDescent="0.35">
      <c r="B4511" s="167"/>
    </row>
    <row r="4512" spans="2:2" ht="15.5" x14ac:dyDescent="0.35">
      <c r="B4512" s="167"/>
    </row>
    <row r="4513" spans="2:2" ht="15.5" x14ac:dyDescent="0.35">
      <c r="B4513" s="167"/>
    </row>
    <row r="4514" spans="2:2" ht="15.5" x14ac:dyDescent="0.35">
      <c r="B4514" s="167"/>
    </row>
    <row r="4515" spans="2:2" ht="15.5" x14ac:dyDescent="0.35">
      <c r="B4515" s="167"/>
    </row>
    <row r="4516" spans="2:2" ht="15.5" x14ac:dyDescent="0.35">
      <c r="B4516" s="167"/>
    </row>
    <row r="4517" spans="2:2" ht="15.5" x14ac:dyDescent="0.35">
      <c r="B4517" s="167"/>
    </row>
    <row r="4518" spans="2:2" ht="15.5" x14ac:dyDescent="0.35">
      <c r="B4518" s="167"/>
    </row>
    <row r="4519" spans="2:2" ht="15.5" x14ac:dyDescent="0.35">
      <c r="B4519" s="167"/>
    </row>
    <row r="4520" spans="2:2" ht="15.5" x14ac:dyDescent="0.35">
      <c r="B4520" s="167"/>
    </row>
    <row r="4521" spans="2:2" ht="15.5" x14ac:dyDescent="0.35">
      <c r="B4521" s="167"/>
    </row>
    <row r="4522" spans="2:2" ht="15.5" x14ac:dyDescent="0.35">
      <c r="B4522" s="167"/>
    </row>
    <row r="4523" spans="2:2" ht="15.5" x14ac:dyDescent="0.35">
      <c r="B4523" s="167"/>
    </row>
    <row r="4524" spans="2:2" ht="15.5" x14ac:dyDescent="0.35">
      <c r="B4524" s="167"/>
    </row>
    <row r="4525" spans="2:2" ht="15.5" x14ac:dyDescent="0.35">
      <c r="B4525" s="167"/>
    </row>
    <row r="4526" spans="2:2" ht="15.5" x14ac:dyDescent="0.35">
      <c r="B4526" s="167"/>
    </row>
    <row r="4527" spans="2:2" ht="15.5" x14ac:dyDescent="0.35">
      <c r="B4527" s="167"/>
    </row>
    <row r="4528" spans="2:2" ht="15.5" x14ac:dyDescent="0.35">
      <c r="B4528" s="167"/>
    </row>
    <row r="4529" spans="2:2" ht="15.5" x14ac:dyDescent="0.35">
      <c r="B4529" s="167"/>
    </row>
    <row r="4530" spans="2:2" ht="15.5" x14ac:dyDescent="0.35">
      <c r="B4530" s="167"/>
    </row>
    <row r="4531" spans="2:2" ht="15.5" x14ac:dyDescent="0.35">
      <c r="B4531" s="167"/>
    </row>
    <row r="4532" spans="2:2" ht="15.5" x14ac:dyDescent="0.35">
      <c r="B4532" s="167"/>
    </row>
    <row r="4533" spans="2:2" ht="15.5" x14ac:dyDescent="0.35">
      <c r="B4533" s="167"/>
    </row>
    <row r="4534" spans="2:2" ht="15.5" x14ac:dyDescent="0.35">
      <c r="B4534" s="167"/>
    </row>
    <row r="4535" spans="2:2" ht="15.5" x14ac:dyDescent="0.35">
      <c r="B4535" s="167"/>
    </row>
    <row r="4536" spans="2:2" ht="15.5" x14ac:dyDescent="0.35">
      <c r="B4536" s="167"/>
    </row>
    <row r="4537" spans="2:2" ht="15.5" x14ac:dyDescent="0.35">
      <c r="B4537" s="167"/>
    </row>
    <row r="4538" spans="2:2" ht="15.5" x14ac:dyDescent="0.35">
      <c r="B4538" s="167"/>
    </row>
    <row r="4539" spans="2:2" ht="15.5" x14ac:dyDescent="0.35">
      <c r="B4539" s="167"/>
    </row>
    <row r="4540" spans="2:2" ht="15.5" x14ac:dyDescent="0.35">
      <c r="B4540" s="167"/>
    </row>
    <row r="4541" spans="2:2" ht="15.5" x14ac:dyDescent="0.35">
      <c r="B4541" s="167"/>
    </row>
    <row r="4542" spans="2:2" ht="15.5" x14ac:dyDescent="0.35">
      <c r="B4542" s="167"/>
    </row>
    <row r="4543" spans="2:2" ht="15.5" x14ac:dyDescent="0.35">
      <c r="B4543" s="167"/>
    </row>
    <row r="4544" spans="2:2" ht="15.5" x14ac:dyDescent="0.35">
      <c r="B4544" s="167"/>
    </row>
    <row r="4545" spans="2:2" ht="15.5" x14ac:dyDescent="0.35">
      <c r="B4545" s="167"/>
    </row>
    <row r="4546" spans="2:2" ht="15.5" x14ac:dyDescent="0.35">
      <c r="B4546" s="167"/>
    </row>
    <row r="4547" spans="2:2" ht="15.5" x14ac:dyDescent="0.35">
      <c r="B4547" s="167"/>
    </row>
    <row r="4548" spans="2:2" ht="15.5" x14ac:dyDescent="0.35">
      <c r="B4548" s="167"/>
    </row>
    <row r="4549" spans="2:2" ht="15.5" x14ac:dyDescent="0.35">
      <c r="B4549" s="167"/>
    </row>
    <row r="4550" spans="2:2" ht="15.5" x14ac:dyDescent="0.35">
      <c r="B4550" s="167"/>
    </row>
    <row r="4551" spans="2:2" ht="15.5" x14ac:dyDescent="0.35">
      <c r="B4551" s="167"/>
    </row>
    <row r="4552" spans="2:2" ht="15.5" x14ac:dyDescent="0.35">
      <c r="B4552" s="167"/>
    </row>
    <row r="4553" spans="2:2" ht="15.5" x14ac:dyDescent="0.35">
      <c r="B4553" s="167"/>
    </row>
    <row r="4554" spans="2:2" ht="15.5" x14ac:dyDescent="0.35">
      <c r="B4554" s="167"/>
    </row>
    <row r="4555" spans="2:2" ht="15.5" x14ac:dyDescent="0.35">
      <c r="B4555" s="167"/>
    </row>
    <row r="4556" spans="2:2" ht="15.5" x14ac:dyDescent="0.35">
      <c r="B4556" s="167"/>
    </row>
    <row r="4557" spans="2:2" ht="15.5" x14ac:dyDescent="0.35">
      <c r="B4557" s="167"/>
    </row>
    <row r="4558" spans="2:2" ht="15.5" x14ac:dyDescent="0.35">
      <c r="B4558" s="167"/>
    </row>
    <row r="4559" spans="2:2" ht="15.5" x14ac:dyDescent="0.35">
      <c r="B4559" s="167"/>
    </row>
    <row r="4560" spans="2:2" ht="15.5" x14ac:dyDescent="0.35">
      <c r="B4560" s="167"/>
    </row>
    <row r="4561" spans="2:2" ht="15.5" x14ac:dyDescent="0.35">
      <c r="B4561" s="167"/>
    </row>
    <row r="4562" spans="2:2" ht="15.5" x14ac:dyDescent="0.35">
      <c r="B4562" s="167"/>
    </row>
    <row r="4563" spans="2:2" ht="15.5" x14ac:dyDescent="0.35">
      <c r="B4563" s="167"/>
    </row>
    <row r="4564" spans="2:2" ht="15.5" x14ac:dyDescent="0.35">
      <c r="B4564" s="167"/>
    </row>
    <row r="4565" spans="2:2" ht="15.5" x14ac:dyDescent="0.35">
      <c r="B4565" s="167"/>
    </row>
    <row r="4566" spans="2:2" ht="15.5" x14ac:dyDescent="0.35">
      <c r="B4566" s="167"/>
    </row>
    <row r="4567" spans="2:2" ht="15.5" x14ac:dyDescent="0.35">
      <c r="B4567" s="167"/>
    </row>
    <row r="4568" spans="2:2" ht="15.5" x14ac:dyDescent="0.35">
      <c r="B4568" s="167"/>
    </row>
    <row r="4569" spans="2:2" ht="15.5" x14ac:dyDescent="0.35">
      <c r="B4569" s="167"/>
    </row>
    <row r="4570" spans="2:2" ht="15.5" x14ac:dyDescent="0.35">
      <c r="B4570" s="167"/>
    </row>
    <row r="4571" spans="2:2" ht="15.5" x14ac:dyDescent="0.35">
      <c r="B4571" s="167"/>
    </row>
    <row r="4572" spans="2:2" ht="15.5" x14ac:dyDescent="0.35">
      <c r="B4572" s="167"/>
    </row>
    <row r="4573" spans="2:2" ht="15.5" x14ac:dyDescent="0.35">
      <c r="B4573" s="167"/>
    </row>
    <row r="4574" spans="2:2" ht="15.5" x14ac:dyDescent="0.35">
      <c r="B4574" s="167"/>
    </row>
    <row r="4575" spans="2:2" ht="15.5" x14ac:dyDescent="0.35">
      <c r="B4575" s="167"/>
    </row>
    <row r="4576" spans="2:2" ht="15.5" x14ac:dyDescent="0.35">
      <c r="B4576" s="167"/>
    </row>
    <row r="4577" spans="2:2" ht="15.5" x14ac:dyDescent="0.35">
      <c r="B4577" s="167"/>
    </row>
    <row r="4578" spans="2:2" ht="15.5" x14ac:dyDescent="0.35">
      <c r="B4578" s="167"/>
    </row>
    <row r="4579" spans="2:2" ht="15.5" x14ac:dyDescent="0.35">
      <c r="B4579" s="167"/>
    </row>
    <row r="4580" spans="2:2" ht="15.5" x14ac:dyDescent="0.35">
      <c r="B4580" s="167"/>
    </row>
    <row r="4581" spans="2:2" ht="15.5" x14ac:dyDescent="0.35">
      <c r="B4581" s="167"/>
    </row>
    <row r="4582" spans="2:2" ht="15.5" x14ac:dyDescent="0.35">
      <c r="B4582" s="167"/>
    </row>
    <row r="4583" spans="2:2" ht="15.5" x14ac:dyDescent="0.35">
      <c r="B4583" s="167"/>
    </row>
    <row r="4584" spans="2:2" ht="15.5" x14ac:dyDescent="0.35">
      <c r="B4584" s="167"/>
    </row>
    <row r="4585" spans="2:2" ht="15.5" x14ac:dyDescent="0.35">
      <c r="B4585" s="167"/>
    </row>
    <row r="4586" spans="2:2" ht="15.5" x14ac:dyDescent="0.35">
      <c r="B4586" s="167"/>
    </row>
    <row r="4587" spans="2:2" ht="15.5" x14ac:dyDescent="0.35">
      <c r="B4587" s="167"/>
    </row>
    <row r="4588" spans="2:2" ht="15.5" x14ac:dyDescent="0.35">
      <c r="B4588" s="167"/>
    </row>
    <row r="4589" spans="2:2" ht="15.5" x14ac:dyDescent="0.35">
      <c r="B4589" s="167"/>
    </row>
    <row r="4590" spans="2:2" ht="15.5" x14ac:dyDescent="0.35">
      <c r="B4590" s="167"/>
    </row>
    <row r="4591" spans="2:2" ht="15.5" x14ac:dyDescent="0.35">
      <c r="B4591" s="167"/>
    </row>
    <row r="4592" spans="2:2" ht="15.5" x14ac:dyDescent="0.35">
      <c r="B4592" s="167"/>
    </row>
    <row r="4593" spans="2:2" ht="15.5" x14ac:dyDescent="0.35">
      <c r="B4593" s="167"/>
    </row>
    <row r="4594" spans="2:2" ht="15.5" x14ac:dyDescent="0.35">
      <c r="B4594" s="167"/>
    </row>
    <row r="4595" spans="2:2" ht="15.5" x14ac:dyDescent="0.35">
      <c r="B4595" s="167"/>
    </row>
    <row r="4596" spans="2:2" ht="15.5" x14ac:dyDescent="0.35">
      <c r="B4596" s="167"/>
    </row>
    <row r="4597" spans="2:2" ht="15.5" x14ac:dyDescent="0.35">
      <c r="B4597" s="167"/>
    </row>
    <row r="4598" spans="2:2" ht="15.5" x14ac:dyDescent="0.35">
      <c r="B4598" s="167"/>
    </row>
    <row r="4599" spans="2:2" ht="15.5" x14ac:dyDescent="0.35">
      <c r="B4599" s="167"/>
    </row>
    <row r="4600" spans="2:2" ht="15.5" x14ac:dyDescent="0.35">
      <c r="B4600" s="167"/>
    </row>
    <row r="4601" spans="2:2" ht="15.5" x14ac:dyDescent="0.35">
      <c r="B4601" s="167"/>
    </row>
    <row r="4602" spans="2:2" ht="15.5" x14ac:dyDescent="0.35">
      <c r="B4602" s="167"/>
    </row>
    <row r="4603" spans="2:2" ht="15.5" x14ac:dyDescent="0.35">
      <c r="B4603" s="167"/>
    </row>
    <row r="4604" spans="2:2" ht="15.5" x14ac:dyDescent="0.35">
      <c r="B4604" s="167"/>
    </row>
    <row r="4605" spans="2:2" ht="15.5" x14ac:dyDescent="0.35">
      <c r="B4605" s="167"/>
    </row>
    <row r="4606" spans="2:2" ht="15.5" x14ac:dyDescent="0.35">
      <c r="B4606" s="167"/>
    </row>
    <row r="4607" spans="2:2" ht="15.5" x14ac:dyDescent="0.35">
      <c r="B4607" s="167"/>
    </row>
    <row r="4608" spans="2:2" ht="15.5" x14ac:dyDescent="0.35">
      <c r="B4608" s="167"/>
    </row>
    <row r="4609" spans="2:2" ht="15.5" x14ac:dyDescent="0.35">
      <c r="B4609" s="167"/>
    </row>
    <row r="4610" spans="2:2" ht="15.5" x14ac:dyDescent="0.35">
      <c r="B4610" s="167"/>
    </row>
    <row r="4611" spans="2:2" ht="15.5" x14ac:dyDescent="0.35">
      <c r="B4611" s="167"/>
    </row>
    <row r="4612" spans="2:2" ht="15.5" x14ac:dyDescent="0.35">
      <c r="B4612" s="167"/>
    </row>
    <row r="4613" spans="2:2" ht="15.5" x14ac:dyDescent="0.35">
      <c r="B4613" s="167"/>
    </row>
    <row r="4614" spans="2:2" ht="15.5" x14ac:dyDescent="0.35">
      <c r="B4614" s="167"/>
    </row>
    <row r="4615" spans="2:2" ht="15.5" x14ac:dyDescent="0.35">
      <c r="B4615" s="167"/>
    </row>
    <row r="4616" spans="2:2" ht="15.5" x14ac:dyDescent="0.35">
      <c r="B4616" s="167"/>
    </row>
    <row r="4617" spans="2:2" ht="15.5" x14ac:dyDescent="0.35">
      <c r="B4617" s="167"/>
    </row>
    <row r="4618" spans="2:2" ht="15.5" x14ac:dyDescent="0.35">
      <c r="B4618" s="167"/>
    </row>
    <row r="4619" spans="2:2" ht="15.5" x14ac:dyDescent="0.35">
      <c r="B4619" s="167"/>
    </row>
    <row r="4620" spans="2:2" ht="15.5" x14ac:dyDescent="0.35">
      <c r="B4620" s="167"/>
    </row>
    <row r="4621" spans="2:2" ht="15.5" x14ac:dyDescent="0.35">
      <c r="B4621" s="167"/>
    </row>
    <row r="4622" spans="2:2" ht="15.5" x14ac:dyDescent="0.35">
      <c r="B4622" s="167"/>
    </row>
    <row r="4623" spans="2:2" ht="15.5" x14ac:dyDescent="0.35">
      <c r="B4623" s="167"/>
    </row>
    <row r="4624" spans="2:2" ht="15.5" x14ac:dyDescent="0.35">
      <c r="B4624" s="167"/>
    </row>
    <row r="4625" spans="2:2" ht="15.5" x14ac:dyDescent="0.35">
      <c r="B4625" s="167"/>
    </row>
    <row r="4626" spans="2:2" ht="15.5" x14ac:dyDescent="0.35">
      <c r="B4626" s="167"/>
    </row>
    <row r="4627" spans="2:2" ht="15.5" x14ac:dyDescent="0.35">
      <c r="B4627" s="167"/>
    </row>
    <row r="4628" spans="2:2" ht="15.5" x14ac:dyDescent="0.35">
      <c r="B4628" s="167"/>
    </row>
    <row r="4629" spans="2:2" ht="15.5" x14ac:dyDescent="0.35">
      <c r="B4629" s="167"/>
    </row>
    <row r="4630" spans="2:2" ht="15.5" x14ac:dyDescent="0.35">
      <c r="B4630" s="167"/>
    </row>
    <row r="4631" spans="2:2" ht="15.5" x14ac:dyDescent="0.35">
      <c r="B4631" s="167"/>
    </row>
    <row r="4632" spans="2:2" ht="15.5" x14ac:dyDescent="0.35">
      <c r="B4632" s="167"/>
    </row>
    <row r="4633" spans="2:2" ht="15.5" x14ac:dyDescent="0.35">
      <c r="B4633" s="167"/>
    </row>
    <row r="4634" spans="2:2" ht="15.5" x14ac:dyDescent="0.35">
      <c r="B4634" s="167"/>
    </row>
    <row r="4635" spans="2:2" ht="15.5" x14ac:dyDescent="0.35">
      <c r="B4635" s="167"/>
    </row>
    <row r="4636" spans="2:2" ht="15.5" x14ac:dyDescent="0.35">
      <c r="B4636" s="167"/>
    </row>
    <row r="4637" spans="2:2" ht="15.5" x14ac:dyDescent="0.35">
      <c r="B4637" s="167"/>
    </row>
    <row r="4638" spans="2:2" ht="15.5" x14ac:dyDescent="0.35">
      <c r="B4638" s="167"/>
    </row>
    <row r="4639" spans="2:2" ht="15.5" x14ac:dyDescent="0.35">
      <c r="B4639" s="167"/>
    </row>
    <row r="4640" spans="2:2" ht="15.5" x14ac:dyDescent="0.35">
      <c r="B4640" s="167"/>
    </row>
    <row r="4641" spans="2:2" ht="15.5" x14ac:dyDescent="0.35">
      <c r="B4641" s="167"/>
    </row>
    <row r="4642" spans="2:2" ht="15.5" x14ac:dyDescent="0.35">
      <c r="B4642" s="167"/>
    </row>
    <row r="4643" spans="2:2" ht="15.5" x14ac:dyDescent="0.35">
      <c r="B4643" s="167"/>
    </row>
    <row r="4644" spans="2:2" ht="15.5" x14ac:dyDescent="0.35">
      <c r="B4644" s="167"/>
    </row>
    <row r="4645" spans="2:2" ht="15.5" x14ac:dyDescent="0.35">
      <c r="B4645" s="167"/>
    </row>
    <row r="4646" spans="2:2" ht="15.5" x14ac:dyDescent="0.35">
      <c r="B4646" s="167"/>
    </row>
    <row r="4647" spans="2:2" ht="15.5" x14ac:dyDescent="0.35">
      <c r="B4647" s="167"/>
    </row>
    <row r="4648" spans="2:2" ht="15.5" x14ac:dyDescent="0.35">
      <c r="B4648" s="167"/>
    </row>
    <row r="4649" spans="2:2" ht="15.5" x14ac:dyDescent="0.35">
      <c r="B4649" s="167"/>
    </row>
    <row r="4650" spans="2:2" ht="15.5" x14ac:dyDescent="0.35">
      <c r="B4650" s="167"/>
    </row>
    <row r="4651" spans="2:2" ht="15.5" x14ac:dyDescent="0.35">
      <c r="B4651" s="167"/>
    </row>
    <row r="4652" spans="2:2" ht="15.5" x14ac:dyDescent="0.35">
      <c r="B4652" s="167"/>
    </row>
    <row r="4653" spans="2:2" ht="15.5" x14ac:dyDescent="0.35">
      <c r="B4653" s="167"/>
    </row>
    <row r="4654" spans="2:2" ht="15.5" x14ac:dyDescent="0.35">
      <c r="B4654" s="167"/>
    </row>
    <row r="4655" spans="2:2" ht="15.5" x14ac:dyDescent="0.35">
      <c r="B4655" s="167"/>
    </row>
    <row r="4656" spans="2:2" ht="15.5" x14ac:dyDescent="0.35">
      <c r="B4656" s="167"/>
    </row>
    <row r="4657" spans="2:2" ht="15.5" x14ac:dyDescent="0.35">
      <c r="B4657" s="167"/>
    </row>
    <row r="4658" spans="2:2" ht="15.5" x14ac:dyDescent="0.35">
      <c r="B4658" s="167"/>
    </row>
    <row r="4659" spans="2:2" ht="15.5" x14ac:dyDescent="0.35">
      <c r="B4659" s="167"/>
    </row>
    <row r="4660" spans="2:2" ht="15.5" x14ac:dyDescent="0.35">
      <c r="B4660" s="167"/>
    </row>
    <row r="4661" spans="2:2" ht="15.5" x14ac:dyDescent="0.35">
      <c r="B4661" s="167"/>
    </row>
    <row r="4662" spans="2:2" ht="15.5" x14ac:dyDescent="0.35">
      <c r="B4662" s="167"/>
    </row>
    <row r="4663" spans="2:2" ht="15.5" x14ac:dyDescent="0.35">
      <c r="B4663" s="167"/>
    </row>
    <row r="4664" spans="2:2" ht="15.5" x14ac:dyDescent="0.35">
      <c r="B4664" s="167"/>
    </row>
    <row r="4665" spans="2:2" ht="15.5" x14ac:dyDescent="0.35">
      <c r="B4665" s="167"/>
    </row>
    <row r="4666" spans="2:2" ht="15.5" x14ac:dyDescent="0.35">
      <c r="B4666" s="167"/>
    </row>
    <row r="4667" spans="2:2" ht="15.5" x14ac:dyDescent="0.35">
      <c r="B4667" s="167"/>
    </row>
    <row r="4668" spans="2:2" ht="15.5" x14ac:dyDescent="0.35">
      <c r="B4668" s="167"/>
    </row>
    <row r="4669" spans="2:2" ht="15.5" x14ac:dyDescent="0.35">
      <c r="B4669" s="167"/>
    </row>
    <row r="4670" spans="2:2" ht="15.5" x14ac:dyDescent="0.35">
      <c r="B4670" s="167"/>
    </row>
    <row r="4671" spans="2:2" ht="15.5" x14ac:dyDescent="0.35">
      <c r="B4671" s="167"/>
    </row>
    <row r="4672" spans="2:2" ht="15.5" x14ac:dyDescent="0.35">
      <c r="B4672" s="167"/>
    </row>
    <row r="4673" spans="2:2" ht="15.5" x14ac:dyDescent="0.35">
      <c r="B4673" s="167"/>
    </row>
    <row r="4674" spans="2:2" ht="15.5" x14ac:dyDescent="0.35">
      <c r="B4674" s="167"/>
    </row>
    <row r="4675" spans="2:2" ht="15.5" x14ac:dyDescent="0.35">
      <c r="B4675" s="167"/>
    </row>
    <row r="4676" spans="2:2" ht="15.5" x14ac:dyDescent="0.35">
      <c r="B4676" s="167"/>
    </row>
    <row r="4677" spans="2:2" ht="15.5" x14ac:dyDescent="0.35">
      <c r="B4677" s="167"/>
    </row>
    <row r="4678" spans="2:2" ht="15.5" x14ac:dyDescent="0.35">
      <c r="B4678" s="167"/>
    </row>
    <row r="4679" spans="2:2" ht="15.5" x14ac:dyDescent="0.35">
      <c r="B4679" s="167"/>
    </row>
    <row r="4680" spans="2:2" ht="15.5" x14ac:dyDescent="0.35">
      <c r="B4680" s="167"/>
    </row>
    <row r="4681" spans="2:2" ht="15.5" x14ac:dyDescent="0.35">
      <c r="B4681" s="167"/>
    </row>
    <row r="4682" spans="2:2" ht="15.5" x14ac:dyDescent="0.35">
      <c r="B4682" s="167"/>
    </row>
    <row r="4683" spans="2:2" ht="15.5" x14ac:dyDescent="0.35">
      <c r="B4683" s="167"/>
    </row>
    <row r="4684" spans="2:2" ht="15.5" x14ac:dyDescent="0.35">
      <c r="B4684" s="167"/>
    </row>
    <row r="4685" spans="2:2" ht="15.5" x14ac:dyDescent="0.35">
      <c r="B4685" s="167"/>
    </row>
    <row r="4686" spans="2:2" ht="15.5" x14ac:dyDescent="0.35">
      <c r="B4686" s="167"/>
    </row>
    <row r="4687" spans="2:2" ht="15.5" x14ac:dyDescent="0.35">
      <c r="B4687" s="167"/>
    </row>
    <row r="4688" spans="2:2" ht="15.5" x14ac:dyDescent="0.35">
      <c r="B4688" s="167"/>
    </row>
    <row r="4689" spans="2:2" ht="15.5" x14ac:dyDescent="0.35">
      <c r="B4689" s="167"/>
    </row>
    <row r="4690" spans="2:2" ht="15.5" x14ac:dyDescent="0.35">
      <c r="B4690" s="167"/>
    </row>
    <row r="4691" spans="2:2" ht="15.5" x14ac:dyDescent="0.35">
      <c r="B4691" s="167"/>
    </row>
    <row r="4692" spans="2:2" ht="15.5" x14ac:dyDescent="0.35">
      <c r="B4692" s="167"/>
    </row>
    <row r="4693" spans="2:2" ht="15.5" x14ac:dyDescent="0.35">
      <c r="B4693" s="167"/>
    </row>
    <row r="4694" spans="2:2" ht="15.5" x14ac:dyDescent="0.35">
      <c r="B4694" s="167"/>
    </row>
    <row r="4695" spans="2:2" ht="15.5" x14ac:dyDescent="0.35">
      <c r="B4695" s="167"/>
    </row>
    <row r="4696" spans="2:2" ht="15.5" x14ac:dyDescent="0.35">
      <c r="B4696" s="167"/>
    </row>
    <row r="4697" spans="2:2" ht="15.5" x14ac:dyDescent="0.35">
      <c r="B4697" s="167"/>
    </row>
    <row r="4698" spans="2:2" ht="15.5" x14ac:dyDescent="0.35">
      <c r="B4698" s="167"/>
    </row>
    <row r="4699" spans="2:2" ht="15.5" x14ac:dyDescent="0.35">
      <c r="B4699" s="167"/>
    </row>
    <row r="4700" spans="2:2" ht="15.5" x14ac:dyDescent="0.35">
      <c r="B4700" s="167"/>
    </row>
    <row r="4701" spans="2:2" ht="15.5" x14ac:dyDescent="0.35">
      <c r="B4701" s="167"/>
    </row>
    <row r="4702" spans="2:2" ht="15.5" x14ac:dyDescent="0.35">
      <c r="B4702" s="167"/>
    </row>
    <row r="4703" spans="2:2" ht="15.5" x14ac:dyDescent="0.35">
      <c r="B4703" s="167"/>
    </row>
    <row r="4704" spans="2:2" ht="15.5" x14ac:dyDescent="0.35">
      <c r="B4704" s="167"/>
    </row>
    <row r="4705" spans="2:2" ht="15.5" x14ac:dyDescent="0.35">
      <c r="B4705" s="167"/>
    </row>
    <row r="4706" spans="2:2" ht="15.5" x14ac:dyDescent="0.35">
      <c r="B4706" s="167"/>
    </row>
    <row r="4707" spans="2:2" ht="15.5" x14ac:dyDescent="0.35">
      <c r="B4707" s="167"/>
    </row>
    <row r="4708" spans="2:2" ht="15.5" x14ac:dyDescent="0.35">
      <c r="B4708" s="167"/>
    </row>
    <row r="4709" spans="2:2" ht="15.5" x14ac:dyDescent="0.35">
      <c r="B4709" s="167"/>
    </row>
    <row r="4710" spans="2:2" ht="15.5" x14ac:dyDescent="0.35">
      <c r="B4710" s="167"/>
    </row>
    <row r="4711" spans="2:2" ht="15.5" x14ac:dyDescent="0.35">
      <c r="B4711" s="167"/>
    </row>
    <row r="4712" spans="2:2" ht="15.5" x14ac:dyDescent="0.35">
      <c r="B4712" s="167"/>
    </row>
    <row r="4713" spans="2:2" ht="15.5" x14ac:dyDescent="0.35">
      <c r="B4713" s="167"/>
    </row>
    <row r="4714" spans="2:2" ht="15.5" x14ac:dyDescent="0.35">
      <c r="B4714" s="167"/>
    </row>
    <row r="4715" spans="2:2" ht="15.5" x14ac:dyDescent="0.35">
      <c r="B4715" s="167"/>
    </row>
    <row r="4716" spans="2:2" ht="15.5" x14ac:dyDescent="0.35">
      <c r="B4716" s="167"/>
    </row>
    <row r="4717" spans="2:2" ht="15.5" x14ac:dyDescent="0.35">
      <c r="B4717" s="167"/>
    </row>
    <row r="4718" spans="2:2" ht="15.5" x14ac:dyDescent="0.35">
      <c r="B4718" s="167"/>
    </row>
    <row r="4719" spans="2:2" ht="15.5" x14ac:dyDescent="0.35">
      <c r="B4719" s="167"/>
    </row>
    <row r="4720" spans="2:2" ht="15.5" x14ac:dyDescent="0.35">
      <c r="B4720" s="167"/>
    </row>
    <row r="4721" spans="2:2" ht="15.5" x14ac:dyDescent="0.35">
      <c r="B4721" s="167"/>
    </row>
    <row r="4722" spans="2:2" ht="15.5" x14ac:dyDescent="0.35">
      <c r="B4722" s="167"/>
    </row>
    <row r="4723" spans="2:2" ht="15.5" x14ac:dyDescent="0.35">
      <c r="B4723" s="167"/>
    </row>
    <row r="4724" spans="2:2" ht="15.5" x14ac:dyDescent="0.35">
      <c r="B4724" s="167"/>
    </row>
    <row r="4725" spans="2:2" ht="15.5" x14ac:dyDescent="0.35">
      <c r="B4725" s="167"/>
    </row>
    <row r="4726" spans="2:2" ht="15.5" x14ac:dyDescent="0.35">
      <c r="B4726" s="167"/>
    </row>
    <row r="4727" spans="2:2" ht="15.5" x14ac:dyDescent="0.35">
      <c r="B4727" s="167"/>
    </row>
    <row r="4728" spans="2:2" ht="15.5" x14ac:dyDescent="0.35">
      <c r="B4728" s="167"/>
    </row>
    <row r="4729" spans="2:2" ht="15.5" x14ac:dyDescent="0.35">
      <c r="B4729" s="167"/>
    </row>
    <row r="4730" spans="2:2" ht="15.5" x14ac:dyDescent="0.35">
      <c r="B4730" s="167"/>
    </row>
    <row r="4731" spans="2:2" ht="15.5" x14ac:dyDescent="0.35">
      <c r="B4731" s="167"/>
    </row>
    <row r="4732" spans="2:2" ht="15.5" x14ac:dyDescent="0.35">
      <c r="B4732" s="167"/>
    </row>
    <row r="4733" spans="2:2" ht="15.5" x14ac:dyDescent="0.35">
      <c r="B4733" s="167"/>
    </row>
    <row r="4734" spans="2:2" ht="15.5" x14ac:dyDescent="0.35">
      <c r="B4734" s="167"/>
    </row>
    <row r="4735" spans="2:2" ht="15.5" x14ac:dyDescent="0.35">
      <c r="B4735" s="167"/>
    </row>
    <row r="4736" spans="2:2" ht="15.5" x14ac:dyDescent="0.35">
      <c r="B4736" s="167"/>
    </row>
    <row r="4737" spans="2:2" ht="15.5" x14ac:dyDescent="0.35">
      <c r="B4737" s="167"/>
    </row>
    <row r="4738" spans="2:2" ht="15.5" x14ac:dyDescent="0.35">
      <c r="B4738" s="167"/>
    </row>
    <row r="4739" spans="2:2" ht="15.5" x14ac:dyDescent="0.35">
      <c r="B4739" s="167"/>
    </row>
    <row r="4740" spans="2:2" ht="15.5" x14ac:dyDescent="0.35">
      <c r="B4740" s="167"/>
    </row>
    <row r="4741" spans="2:2" ht="15.5" x14ac:dyDescent="0.35">
      <c r="B4741" s="167"/>
    </row>
    <row r="4742" spans="2:2" ht="15.5" x14ac:dyDescent="0.35">
      <c r="B4742" s="167"/>
    </row>
    <row r="4743" spans="2:2" ht="15.5" x14ac:dyDescent="0.35">
      <c r="B4743" s="167"/>
    </row>
    <row r="4744" spans="2:2" ht="15.5" x14ac:dyDescent="0.35">
      <c r="B4744" s="167"/>
    </row>
    <row r="4745" spans="2:2" ht="15.5" x14ac:dyDescent="0.35">
      <c r="B4745" s="167"/>
    </row>
    <row r="4746" spans="2:2" ht="15.5" x14ac:dyDescent="0.35">
      <c r="B4746" s="167"/>
    </row>
    <row r="4747" spans="2:2" ht="15.5" x14ac:dyDescent="0.35">
      <c r="B4747" s="167"/>
    </row>
    <row r="4748" spans="2:2" ht="15.5" x14ac:dyDescent="0.35">
      <c r="B4748" s="167"/>
    </row>
    <row r="4749" spans="2:2" ht="15.5" x14ac:dyDescent="0.35">
      <c r="B4749" s="167"/>
    </row>
    <row r="4750" spans="2:2" ht="15.5" x14ac:dyDescent="0.35">
      <c r="B4750" s="167"/>
    </row>
    <row r="4751" spans="2:2" ht="15.5" x14ac:dyDescent="0.35">
      <c r="B4751" s="167"/>
    </row>
    <row r="4752" spans="2:2" ht="15.5" x14ac:dyDescent="0.35">
      <c r="B4752" s="167"/>
    </row>
    <row r="4753" spans="2:2" ht="15.5" x14ac:dyDescent="0.35">
      <c r="B4753" s="167"/>
    </row>
    <row r="4754" spans="2:2" ht="15.5" x14ac:dyDescent="0.35">
      <c r="B4754" s="167"/>
    </row>
    <row r="4755" spans="2:2" ht="15.5" x14ac:dyDescent="0.35">
      <c r="B4755" s="167"/>
    </row>
    <row r="4756" spans="2:2" ht="15.5" x14ac:dyDescent="0.35">
      <c r="B4756" s="167"/>
    </row>
    <row r="4757" spans="2:2" ht="15.5" x14ac:dyDescent="0.35">
      <c r="B4757" s="167"/>
    </row>
    <row r="4758" spans="2:2" ht="15.5" x14ac:dyDescent="0.35">
      <c r="B4758" s="167"/>
    </row>
    <row r="4759" spans="2:2" ht="15.5" x14ac:dyDescent="0.35">
      <c r="B4759" s="167"/>
    </row>
    <row r="4760" spans="2:2" ht="15.5" x14ac:dyDescent="0.35">
      <c r="B4760" s="167"/>
    </row>
    <row r="4761" spans="2:2" ht="15.5" x14ac:dyDescent="0.35">
      <c r="B4761" s="167"/>
    </row>
    <row r="4762" spans="2:2" ht="15.5" x14ac:dyDescent="0.35">
      <c r="B4762" s="167"/>
    </row>
    <row r="4763" spans="2:2" ht="15.5" x14ac:dyDescent="0.35">
      <c r="B4763" s="167"/>
    </row>
    <row r="4764" spans="2:2" ht="15.5" x14ac:dyDescent="0.35">
      <c r="B4764" s="167"/>
    </row>
    <row r="4765" spans="2:2" ht="15.5" x14ac:dyDescent="0.35">
      <c r="B4765" s="167"/>
    </row>
    <row r="4766" spans="2:2" ht="15.5" x14ac:dyDescent="0.35">
      <c r="B4766" s="167"/>
    </row>
    <row r="4767" spans="2:2" ht="15.5" x14ac:dyDescent="0.35">
      <c r="B4767" s="167"/>
    </row>
    <row r="4768" spans="2:2" ht="15.5" x14ac:dyDescent="0.35">
      <c r="B4768" s="167"/>
    </row>
    <row r="4769" spans="2:2" ht="15.5" x14ac:dyDescent="0.35">
      <c r="B4769" s="167"/>
    </row>
    <row r="4770" spans="2:2" ht="15.5" x14ac:dyDescent="0.35">
      <c r="B4770" s="167"/>
    </row>
    <row r="4771" spans="2:2" ht="15.5" x14ac:dyDescent="0.35">
      <c r="B4771" s="167"/>
    </row>
    <row r="4772" spans="2:2" ht="15.5" x14ac:dyDescent="0.35">
      <c r="B4772" s="167"/>
    </row>
    <row r="4773" spans="2:2" ht="15.5" x14ac:dyDescent="0.35">
      <c r="B4773" s="167"/>
    </row>
    <row r="4774" spans="2:2" ht="15.5" x14ac:dyDescent="0.35">
      <c r="B4774" s="167"/>
    </row>
    <row r="4775" spans="2:2" ht="15.5" x14ac:dyDescent="0.35">
      <c r="B4775" s="167"/>
    </row>
    <row r="4776" spans="2:2" ht="15.5" x14ac:dyDescent="0.35">
      <c r="B4776" s="167"/>
    </row>
    <row r="4777" spans="2:2" ht="15.5" x14ac:dyDescent="0.35">
      <c r="B4777" s="167"/>
    </row>
    <row r="4778" spans="2:2" ht="15.5" x14ac:dyDescent="0.35">
      <c r="B4778" s="167"/>
    </row>
    <row r="4779" spans="2:2" ht="15.5" x14ac:dyDescent="0.35">
      <c r="B4779" s="167"/>
    </row>
    <row r="4780" spans="2:2" ht="15.5" x14ac:dyDescent="0.35">
      <c r="B4780" s="167"/>
    </row>
    <row r="4781" spans="2:2" ht="15.5" x14ac:dyDescent="0.35">
      <c r="B4781" s="167"/>
    </row>
    <row r="4782" spans="2:2" ht="15.5" x14ac:dyDescent="0.35">
      <c r="B4782" s="167"/>
    </row>
    <row r="4783" spans="2:2" ht="15.5" x14ac:dyDescent="0.35">
      <c r="B4783" s="167"/>
    </row>
    <row r="4784" spans="2:2" ht="15.5" x14ac:dyDescent="0.35">
      <c r="B4784" s="167"/>
    </row>
    <row r="4785" spans="2:2" ht="15.5" x14ac:dyDescent="0.35">
      <c r="B4785" s="167"/>
    </row>
    <row r="4786" spans="2:2" ht="15.5" x14ac:dyDescent="0.35">
      <c r="B4786" s="167"/>
    </row>
    <row r="4787" spans="2:2" ht="15.5" x14ac:dyDescent="0.35">
      <c r="B4787" s="167"/>
    </row>
    <row r="4788" spans="2:2" ht="15.5" x14ac:dyDescent="0.35">
      <c r="B4788" s="167"/>
    </row>
    <row r="4789" spans="2:2" ht="15.5" x14ac:dyDescent="0.35">
      <c r="B4789" s="167"/>
    </row>
    <row r="4790" spans="2:2" ht="15.5" x14ac:dyDescent="0.35">
      <c r="B4790" s="167"/>
    </row>
    <row r="4791" spans="2:2" ht="15.5" x14ac:dyDescent="0.35">
      <c r="B4791" s="167"/>
    </row>
    <row r="4792" spans="2:2" ht="15.5" x14ac:dyDescent="0.35">
      <c r="B4792" s="167"/>
    </row>
    <row r="4793" spans="2:2" ht="15.5" x14ac:dyDescent="0.35">
      <c r="B4793" s="167"/>
    </row>
    <row r="4794" spans="2:2" ht="15.5" x14ac:dyDescent="0.35">
      <c r="B4794" s="167"/>
    </row>
    <row r="4795" spans="2:2" ht="15.5" x14ac:dyDescent="0.35">
      <c r="B4795" s="167"/>
    </row>
    <row r="4796" spans="2:2" ht="15.5" x14ac:dyDescent="0.35">
      <c r="B4796" s="167"/>
    </row>
    <row r="4797" spans="2:2" ht="15.5" x14ac:dyDescent="0.35">
      <c r="B4797" s="167"/>
    </row>
    <row r="4798" spans="2:2" ht="15.5" x14ac:dyDescent="0.35">
      <c r="B4798" s="167"/>
    </row>
    <row r="4799" spans="2:2" ht="15.5" x14ac:dyDescent="0.35">
      <c r="B4799" s="167"/>
    </row>
    <row r="4800" spans="2:2" ht="15.5" x14ac:dyDescent="0.35">
      <c r="B4800" s="167"/>
    </row>
    <row r="4801" spans="2:2" ht="15.5" x14ac:dyDescent="0.35">
      <c r="B4801" s="167"/>
    </row>
    <row r="4802" spans="2:2" ht="15.5" x14ac:dyDescent="0.35">
      <c r="B4802" s="167"/>
    </row>
    <row r="4803" spans="2:2" ht="15.5" x14ac:dyDescent="0.35">
      <c r="B4803" s="167"/>
    </row>
    <row r="4804" spans="2:2" ht="15.5" x14ac:dyDescent="0.35">
      <c r="B4804" s="167"/>
    </row>
    <row r="4805" spans="2:2" ht="15.5" x14ac:dyDescent="0.35">
      <c r="B4805" s="167"/>
    </row>
    <row r="4806" spans="2:2" ht="15.5" x14ac:dyDescent="0.35">
      <c r="B4806" s="167"/>
    </row>
    <row r="4807" spans="2:2" ht="15.5" x14ac:dyDescent="0.35">
      <c r="B4807" s="167"/>
    </row>
    <row r="4808" spans="2:2" ht="15.5" x14ac:dyDescent="0.35">
      <c r="B4808" s="167"/>
    </row>
    <row r="4809" spans="2:2" ht="15.5" x14ac:dyDescent="0.35">
      <c r="B4809" s="167"/>
    </row>
    <row r="4810" spans="2:2" ht="15.5" x14ac:dyDescent="0.35">
      <c r="B4810" s="167"/>
    </row>
    <row r="4811" spans="2:2" ht="15.5" x14ac:dyDescent="0.35">
      <c r="B4811" s="167"/>
    </row>
    <row r="4812" spans="2:2" ht="15.5" x14ac:dyDescent="0.35">
      <c r="B4812" s="167"/>
    </row>
    <row r="4813" spans="2:2" ht="15.5" x14ac:dyDescent="0.35">
      <c r="B4813" s="167"/>
    </row>
    <row r="4814" spans="2:2" ht="15.5" x14ac:dyDescent="0.35">
      <c r="B4814" s="167"/>
    </row>
    <row r="4815" spans="2:2" ht="15.5" x14ac:dyDescent="0.35">
      <c r="B4815" s="167"/>
    </row>
    <row r="4816" spans="2:2" ht="15.5" x14ac:dyDescent="0.35">
      <c r="B4816" s="167"/>
    </row>
    <row r="4817" spans="2:2" ht="15.5" x14ac:dyDescent="0.35">
      <c r="B4817" s="167"/>
    </row>
    <row r="4818" spans="2:2" ht="15.5" x14ac:dyDescent="0.35">
      <c r="B4818" s="167"/>
    </row>
    <row r="4819" spans="2:2" ht="15.5" x14ac:dyDescent="0.35">
      <c r="B4819" s="167"/>
    </row>
    <row r="4820" spans="2:2" ht="15.5" x14ac:dyDescent="0.35">
      <c r="B4820" s="167"/>
    </row>
    <row r="4821" spans="2:2" ht="15.5" x14ac:dyDescent="0.35">
      <c r="B4821" s="167"/>
    </row>
    <row r="4822" spans="2:2" ht="15.5" x14ac:dyDescent="0.35">
      <c r="B4822" s="167"/>
    </row>
    <row r="4823" spans="2:2" ht="15.5" x14ac:dyDescent="0.35">
      <c r="B4823" s="167"/>
    </row>
    <row r="4824" spans="2:2" ht="15.5" x14ac:dyDescent="0.35">
      <c r="B4824" s="167"/>
    </row>
    <row r="4825" spans="2:2" ht="15.5" x14ac:dyDescent="0.35">
      <c r="B4825" s="167"/>
    </row>
    <row r="4826" spans="2:2" ht="15.5" x14ac:dyDescent="0.35">
      <c r="B4826" s="167"/>
    </row>
    <row r="4827" spans="2:2" ht="15.5" x14ac:dyDescent="0.35">
      <c r="B4827" s="167"/>
    </row>
    <row r="4828" spans="2:2" ht="15.5" x14ac:dyDescent="0.35">
      <c r="B4828" s="167"/>
    </row>
    <row r="4829" spans="2:2" ht="15.5" x14ac:dyDescent="0.35">
      <c r="B4829" s="167"/>
    </row>
    <row r="4830" spans="2:2" ht="15.5" x14ac:dyDescent="0.35">
      <c r="B4830" s="167"/>
    </row>
    <row r="4831" spans="2:2" ht="15.5" x14ac:dyDescent="0.35">
      <c r="B4831" s="167"/>
    </row>
    <row r="4832" spans="2:2" ht="15.5" x14ac:dyDescent="0.35">
      <c r="B4832" s="167"/>
    </row>
    <row r="4833" spans="2:2" ht="15.5" x14ac:dyDescent="0.35">
      <c r="B4833" s="167"/>
    </row>
    <row r="4834" spans="2:2" ht="15.5" x14ac:dyDescent="0.35">
      <c r="B4834" s="167"/>
    </row>
    <row r="4835" spans="2:2" ht="15.5" x14ac:dyDescent="0.35">
      <c r="B4835" s="167"/>
    </row>
    <row r="4836" spans="2:2" ht="15.5" x14ac:dyDescent="0.35">
      <c r="B4836" s="167"/>
    </row>
    <row r="4837" spans="2:2" ht="15.5" x14ac:dyDescent="0.35">
      <c r="B4837" s="167"/>
    </row>
    <row r="4838" spans="2:2" ht="15.5" x14ac:dyDescent="0.35">
      <c r="B4838" s="167"/>
    </row>
    <row r="4839" spans="2:2" ht="15.5" x14ac:dyDescent="0.35">
      <c r="B4839" s="167"/>
    </row>
    <row r="4840" spans="2:2" ht="15.5" x14ac:dyDescent="0.35">
      <c r="B4840" s="167"/>
    </row>
    <row r="4841" spans="2:2" ht="15.5" x14ac:dyDescent="0.35">
      <c r="B4841" s="167"/>
    </row>
    <row r="4842" spans="2:2" ht="15.5" x14ac:dyDescent="0.35">
      <c r="B4842" s="167"/>
    </row>
    <row r="4843" spans="2:2" ht="15.5" x14ac:dyDescent="0.35">
      <c r="B4843" s="167"/>
    </row>
    <row r="4844" spans="2:2" ht="15.5" x14ac:dyDescent="0.35">
      <c r="B4844" s="167"/>
    </row>
    <row r="4845" spans="2:2" ht="15.5" x14ac:dyDescent="0.35">
      <c r="B4845" s="167"/>
    </row>
    <row r="4846" spans="2:2" ht="15.5" x14ac:dyDescent="0.35">
      <c r="B4846" s="167"/>
    </row>
    <row r="4847" spans="2:2" ht="15.5" x14ac:dyDescent="0.35">
      <c r="B4847" s="167"/>
    </row>
    <row r="4848" spans="2:2" ht="15.5" x14ac:dyDescent="0.35">
      <c r="B4848" s="167"/>
    </row>
    <row r="4849" spans="2:2" ht="15.5" x14ac:dyDescent="0.35">
      <c r="B4849" s="167"/>
    </row>
    <row r="4850" spans="2:2" ht="15.5" x14ac:dyDescent="0.35">
      <c r="B4850" s="167"/>
    </row>
    <row r="4851" spans="2:2" ht="15.5" x14ac:dyDescent="0.35">
      <c r="B4851" s="167"/>
    </row>
    <row r="4852" spans="2:2" ht="15.5" x14ac:dyDescent="0.35">
      <c r="B4852" s="167"/>
    </row>
    <row r="4853" spans="2:2" ht="15.5" x14ac:dyDescent="0.35">
      <c r="B4853" s="167"/>
    </row>
    <row r="4854" spans="2:2" ht="15.5" x14ac:dyDescent="0.35">
      <c r="B4854" s="167"/>
    </row>
    <row r="4855" spans="2:2" ht="15.5" x14ac:dyDescent="0.35">
      <c r="B4855" s="167"/>
    </row>
    <row r="4856" spans="2:2" ht="15.5" x14ac:dyDescent="0.35">
      <c r="B4856" s="167"/>
    </row>
    <row r="4857" spans="2:2" ht="15.5" x14ac:dyDescent="0.35">
      <c r="B4857" s="167"/>
    </row>
    <row r="4858" spans="2:2" ht="15.5" x14ac:dyDescent="0.35">
      <c r="B4858" s="167"/>
    </row>
    <row r="4859" spans="2:2" ht="15.5" x14ac:dyDescent="0.35">
      <c r="B4859" s="167"/>
    </row>
    <row r="4860" spans="2:2" ht="15.5" x14ac:dyDescent="0.35">
      <c r="B4860" s="167"/>
    </row>
    <row r="4861" spans="2:2" ht="15.5" x14ac:dyDescent="0.35">
      <c r="B4861" s="167"/>
    </row>
    <row r="4862" spans="2:2" ht="15.5" x14ac:dyDescent="0.35">
      <c r="B4862" s="167"/>
    </row>
    <row r="4863" spans="2:2" ht="15.5" x14ac:dyDescent="0.35">
      <c r="B4863" s="167"/>
    </row>
    <row r="4864" spans="2:2" ht="15.5" x14ac:dyDescent="0.35">
      <c r="B4864" s="167"/>
    </row>
    <row r="4865" spans="2:2" ht="15.5" x14ac:dyDescent="0.35">
      <c r="B4865" s="167"/>
    </row>
    <row r="4866" spans="2:2" ht="15.5" x14ac:dyDescent="0.35">
      <c r="B4866" s="167"/>
    </row>
    <row r="4867" spans="2:2" ht="15.5" x14ac:dyDescent="0.35">
      <c r="B4867" s="167"/>
    </row>
    <row r="4868" spans="2:2" ht="15.5" x14ac:dyDescent="0.35">
      <c r="B4868" s="167"/>
    </row>
    <row r="4869" spans="2:2" ht="15.5" x14ac:dyDescent="0.35">
      <c r="B4869" s="167"/>
    </row>
    <row r="4870" spans="2:2" ht="15.5" x14ac:dyDescent="0.35">
      <c r="B4870" s="167"/>
    </row>
    <row r="4871" spans="2:2" ht="15.5" x14ac:dyDescent="0.35">
      <c r="B4871" s="167"/>
    </row>
    <row r="4872" spans="2:2" ht="15.5" x14ac:dyDescent="0.35">
      <c r="B4872" s="167"/>
    </row>
    <row r="4873" spans="2:2" ht="15.5" x14ac:dyDescent="0.35">
      <c r="B4873" s="167"/>
    </row>
    <row r="4874" spans="2:2" ht="15.5" x14ac:dyDescent="0.35">
      <c r="B4874" s="167"/>
    </row>
    <row r="4875" spans="2:2" ht="15.5" x14ac:dyDescent="0.35">
      <c r="B4875" s="167"/>
    </row>
    <row r="4876" spans="2:2" ht="15.5" x14ac:dyDescent="0.35">
      <c r="B4876" s="167"/>
    </row>
    <row r="4877" spans="2:2" ht="15.5" x14ac:dyDescent="0.35">
      <c r="B4877" s="167"/>
    </row>
    <row r="4878" spans="2:2" ht="15.5" x14ac:dyDescent="0.35">
      <c r="B4878" s="167"/>
    </row>
    <row r="4879" spans="2:2" ht="15.5" x14ac:dyDescent="0.35">
      <c r="B4879" s="167"/>
    </row>
    <row r="4880" spans="2:2" ht="15.5" x14ac:dyDescent="0.35">
      <c r="B4880" s="167"/>
    </row>
    <row r="4881" spans="2:2" ht="15.5" x14ac:dyDescent="0.35">
      <c r="B4881" s="167"/>
    </row>
    <row r="4882" spans="2:2" ht="15.5" x14ac:dyDescent="0.35">
      <c r="B4882" s="167"/>
    </row>
    <row r="4883" spans="2:2" ht="15.5" x14ac:dyDescent="0.35">
      <c r="B4883" s="167"/>
    </row>
    <row r="4884" spans="2:2" ht="15.5" x14ac:dyDescent="0.35">
      <c r="B4884" s="167"/>
    </row>
    <row r="4885" spans="2:2" ht="15.5" x14ac:dyDescent="0.35">
      <c r="B4885" s="167"/>
    </row>
    <row r="4886" spans="2:2" ht="15.5" x14ac:dyDescent="0.35">
      <c r="B4886" s="167"/>
    </row>
    <row r="4887" spans="2:2" ht="15.5" x14ac:dyDescent="0.35">
      <c r="B4887" s="167"/>
    </row>
    <row r="4888" spans="2:2" ht="15.5" x14ac:dyDescent="0.35">
      <c r="B4888" s="167"/>
    </row>
    <row r="4889" spans="2:2" ht="15.5" x14ac:dyDescent="0.35">
      <c r="B4889" s="167"/>
    </row>
    <row r="4890" spans="2:2" ht="15.5" x14ac:dyDescent="0.35">
      <c r="B4890" s="167"/>
    </row>
    <row r="4891" spans="2:2" ht="15.5" x14ac:dyDescent="0.35">
      <c r="B4891" s="167"/>
    </row>
    <row r="4892" spans="2:2" ht="15.5" x14ac:dyDescent="0.35">
      <c r="B4892" s="167"/>
    </row>
    <row r="4893" spans="2:2" ht="15.5" x14ac:dyDescent="0.35">
      <c r="B4893" s="167"/>
    </row>
    <row r="4894" spans="2:2" ht="15.5" x14ac:dyDescent="0.35">
      <c r="B4894" s="167"/>
    </row>
    <row r="4895" spans="2:2" ht="15.5" x14ac:dyDescent="0.35">
      <c r="B4895" s="167"/>
    </row>
    <row r="4896" spans="2:2" ht="15.5" x14ac:dyDescent="0.35">
      <c r="B4896" s="167"/>
    </row>
    <row r="4897" spans="2:2" ht="15.5" x14ac:dyDescent="0.35">
      <c r="B4897" s="167"/>
    </row>
    <row r="4898" spans="2:2" ht="15.5" x14ac:dyDescent="0.35">
      <c r="B4898" s="167"/>
    </row>
    <row r="4899" spans="2:2" ht="15.5" x14ac:dyDescent="0.35">
      <c r="B4899" s="167"/>
    </row>
    <row r="4900" spans="2:2" ht="15.5" x14ac:dyDescent="0.35">
      <c r="B4900" s="167"/>
    </row>
    <row r="4901" spans="2:2" ht="15.5" x14ac:dyDescent="0.35">
      <c r="B4901" s="167"/>
    </row>
    <row r="4902" spans="2:2" ht="15.5" x14ac:dyDescent="0.35">
      <c r="B4902" s="167"/>
    </row>
    <row r="4903" spans="2:2" ht="15.5" x14ac:dyDescent="0.35">
      <c r="B4903" s="167"/>
    </row>
    <row r="4904" spans="2:2" ht="15.5" x14ac:dyDescent="0.35">
      <c r="B4904" s="167"/>
    </row>
    <row r="4905" spans="2:2" ht="15.5" x14ac:dyDescent="0.35">
      <c r="B4905" s="167"/>
    </row>
    <row r="4906" spans="2:2" ht="15.5" x14ac:dyDescent="0.35">
      <c r="B4906" s="167"/>
    </row>
    <row r="4907" spans="2:2" ht="15.5" x14ac:dyDescent="0.35">
      <c r="B4907" s="167"/>
    </row>
    <row r="4908" spans="2:2" ht="15.5" x14ac:dyDescent="0.35">
      <c r="B4908" s="167"/>
    </row>
    <row r="4909" spans="2:2" ht="15.5" x14ac:dyDescent="0.35">
      <c r="B4909" s="167"/>
    </row>
    <row r="4910" spans="2:2" ht="15.5" x14ac:dyDescent="0.35">
      <c r="B4910" s="167"/>
    </row>
    <row r="4911" spans="2:2" ht="15.5" x14ac:dyDescent="0.35">
      <c r="B4911" s="167"/>
    </row>
    <row r="4912" spans="2:2" ht="15.5" x14ac:dyDescent="0.35">
      <c r="B4912" s="167"/>
    </row>
    <row r="4913" spans="2:2" ht="15.5" x14ac:dyDescent="0.35">
      <c r="B4913" s="167"/>
    </row>
    <row r="4914" spans="2:2" ht="15.5" x14ac:dyDescent="0.35">
      <c r="B4914" s="167"/>
    </row>
    <row r="4915" spans="2:2" ht="15.5" x14ac:dyDescent="0.35">
      <c r="B4915" s="167"/>
    </row>
    <row r="4916" spans="2:2" ht="15.5" x14ac:dyDescent="0.35">
      <c r="B4916" s="167"/>
    </row>
    <row r="4917" spans="2:2" ht="15.5" x14ac:dyDescent="0.35">
      <c r="B4917" s="167"/>
    </row>
    <row r="4918" spans="2:2" ht="15.5" x14ac:dyDescent="0.35">
      <c r="B4918" s="167"/>
    </row>
    <row r="4919" spans="2:2" ht="15.5" x14ac:dyDescent="0.35">
      <c r="B4919" s="167"/>
    </row>
    <row r="4920" spans="2:2" ht="15.5" x14ac:dyDescent="0.35">
      <c r="B4920" s="167"/>
    </row>
    <row r="4921" spans="2:2" ht="15.5" x14ac:dyDescent="0.35">
      <c r="B4921" s="167"/>
    </row>
    <row r="4922" spans="2:2" ht="15.5" x14ac:dyDescent="0.35">
      <c r="B4922" s="167"/>
    </row>
    <row r="4923" spans="2:2" ht="15.5" x14ac:dyDescent="0.35">
      <c r="B4923" s="167"/>
    </row>
    <row r="4924" spans="2:2" ht="15.5" x14ac:dyDescent="0.35">
      <c r="B4924" s="167"/>
    </row>
    <row r="4925" spans="2:2" ht="15.5" x14ac:dyDescent="0.35">
      <c r="B4925" s="167"/>
    </row>
    <row r="4926" spans="2:2" ht="15.5" x14ac:dyDescent="0.35">
      <c r="B4926" s="167"/>
    </row>
    <row r="4927" spans="2:2" ht="15.5" x14ac:dyDescent="0.35">
      <c r="B4927" s="167"/>
    </row>
    <row r="4928" spans="2:2" ht="15.5" x14ac:dyDescent="0.35">
      <c r="B4928" s="167"/>
    </row>
    <row r="4929" spans="2:2" ht="15.5" x14ac:dyDescent="0.35">
      <c r="B4929" s="167"/>
    </row>
    <row r="4930" spans="2:2" ht="15.5" x14ac:dyDescent="0.35">
      <c r="B4930" s="167"/>
    </row>
    <row r="4931" spans="2:2" ht="15.5" x14ac:dyDescent="0.35">
      <c r="B4931" s="167"/>
    </row>
    <row r="4932" spans="2:2" ht="15.5" x14ac:dyDescent="0.35">
      <c r="B4932" s="167"/>
    </row>
    <row r="4933" spans="2:2" ht="15.5" x14ac:dyDescent="0.35">
      <c r="B4933" s="167"/>
    </row>
    <row r="4934" spans="2:2" ht="15.5" x14ac:dyDescent="0.35">
      <c r="B4934" s="167"/>
    </row>
    <row r="4935" spans="2:2" ht="15.5" x14ac:dyDescent="0.35">
      <c r="B4935" s="167"/>
    </row>
    <row r="4936" spans="2:2" ht="15.5" x14ac:dyDescent="0.35">
      <c r="B4936" s="167"/>
    </row>
    <row r="4937" spans="2:2" ht="15.5" x14ac:dyDescent="0.35">
      <c r="B4937" s="167"/>
    </row>
    <row r="4938" spans="2:2" ht="15.5" x14ac:dyDescent="0.35">
      <c r="B4938" s="167"/>
    </row>
    <row r="4939" spans="2:2" ht="15.5" x14ac:dyDescent="0.35">
      <c r="B4939" s="167"/>
    </row>
    <row r="4940" spans="2:2" ht="15.5" x14ac:dyDescent="0.35">
      <c r="B4940" s="167"/>
    </row>
    <row r="4941" spans="2:2" ht="15.5" x14ac:dyDescent="0.35">
      <c r="B4941" s="167"/>
    </row>
    <row r="4942" spans="2:2" ht="15.5" x14ac:dyDescent="0.35">
      <c r="B4942" s="167"/>
    </row>
    <row r="4943" spans="2:2" ht="15.5" x14ac:dyDescent="0.35">
      <c r="B4943" s="167"/>
    </row>
    <row r="4944" spans="2:2" ht="15.5" x14ac:dyDescent="0.35">
      <c r="B4944" s="167"/>
    </row>
    <row r="4945" spans="2:2" ht="15.5" x14ac:dyDescent="0.35">
      <c r="B4945" s="167"/>
    </row>
    <row r="4946" spans="2:2" ht="15.5" x14ac:dyDescent="0.35">
      <c r="B4946" s="167"/>
    </row>
    <row r="4947" spans="2:2" ht="15.5" x14ac:dyDescent="0.35">
      <c r="B4947" s="167"/>
    </row>
    <row r="4948" spans="2:2" ht="15.5" x14ac:dyDescent="0.35">
      <c r="B4948" s="167"/>
    </row>
    <row r="4949" spans="2:2" ht="15.5" x14ac:dyDescent="0.35">
      <c r="B4949" s="167"/>
    </row>
    <row r="4950" spans="2:2" ht="15.5" x14ac:dyDescent="0.35">
      <c r="B4950" s="167"/>
    </row>
    <row r="4951" spans="2:2" ht="15.5" x14ac:dyDescent="0.35">
      <c r="B4951" s="167"/>
    </row>
    <row r="4952" spans="2:2" ht="15.5" x14ac:dyDescent="0.35">
      <c r="B4952" s="167"/>
    </row>
    <row r="4953" spans="2:2" ht="15.5" x14ac:dyDescent="0.35">
      <c r="B4953" s="167"/>
    </row>
    <row r="4954" spans="2:2" ht="15.5" x14ac:dyDescent="0.35">
      <c r="B4954" s="167"/>
    </row>
    <row r="4955" spans="2:2" ht="15.5" x14ac:dyDescent="0.35">
      <c r="B4955" s="167"/>
    </row>
    <row r="4956" spans="2:2" ht="15.5" x14ac:dyDescent="0.35">
      <c r="B4956" s="167"/>
    </row>
    <row r="4957" spans="2:2" ht="15.5" x14ac:dyDescent="0.35">
      <c r="B4957" s="167"/>
    </row>
    <row r="4958" spans="2:2" ht="15.5" x14ac:dyDescent="0.35">
      <c r="B4958" s="167"/>
    </row>
    <row r="4959" spans="2:2" ht="15.5" x14ac:dyDescent="0.35">
      <c r="B4959" s="167"/>
    </row>
    <row r="4960" spans="2:2" ht="15.5" x14ac:dyDescent="0.35">
      <c r="B4960" s="167"/>
    </row>
    <row r="4961" spans="2:2" ht="15.5" x14ac:dyDescent="0.35">
      <c r="B4961" s="167"/>
    </row>
    <row r="4962" spans="2:2" ht="15.5" x14ac:dyDescent="0.35">
      <c r="B4962" s="167"/>
    </row>
    <row r="4963" spans="2:2" ht="15.5" x14ac:dyDescent="0.35">
      <c r="B4963" s="167"/>
    </row>
    <row r="4964" spans="2:2" ht="15.5" x14ac:dyDescent="0.35">
      <c r="B4964" s="167"/>
    </row>
    <row r="4965" spans="2:2" ht="15.5" x14ac:dyDescent="0.35">
      <c r="B4965" s="167"/>
    </row>
    <row r="4966" spans="2:2" ht="15.5" x14ac:dyDescent="0.35">
      <c r="B4966" s="167"/>
    </row>
    <row r="4967" spans="2:2" ht="15.5" x14ac:dyDescent="0.35">
      <c r="B4967" s="167"/>
    </row>
    <row r="4968" spans="2:2" ht="15.5" x14ac:dyDescent="0.35">
      <c r="B4968" s="167"/>
    </row>
    <row r="4969" spans="2:2" ht="15.5" x14ac:dyDescent="0.35">
      <c r="B4969" s="167"/>
    </row>
    <row r="4970" spans="2:2" ht="15.5" x14ac:dyDescent="0.35">
      <c r="B4970" s="167"/>
    </row>
    <row r="4971" spans="2:2" ht="15.5" x14ac:dyDescent="0.35">
      <c r="B4971" s="167"/>
    </row>
    <row r="4972" spans="2:2" ht="15.5" x14ac:dyDescent="0.35">
      <c r="B4972" s="167"/>
    </row>
    <row r="4973" spans="2:2" ht="15.5" x14ac:dyDescent="0.35">
      <c r="B4973" s="167"/>
    </row>
    <row r="4974" spans="2:2" ht="15.5" x14ac:dyDescent="0.35">
      <c r="B4974" s="167"/>
    </row>
    <row r="4975" spans="2:2" ht="15.5" x14ac:dyDescent="0.35">
      <c r="B4975" s="167"/>
    </row>
    <row r="4976" spans="2:2" ht="15.5" x14ac:dyDescent="0.35">
      <c r="B4976" s="167"/>
    </row>
    <row r="4977" spans="2:2" ht="15.5" x14ac:dyDescent="0.35">
      <c r="B4977" s="167"/>
    </row>
    <row r="4978" spans="2:2" ht="15.5" x14ac:dyDescent="0.35">
      <c r="B4978" s="167"/>
    </row>
    <row r="4979" spans="2:2" ht="15.5" x14ac:dyDescent="0.35">
      <c r="B4979" s="167"/>
    </row>
    <row r="4980" spans="2:2" ht="15.5" x14ac:dyDescent="0.35">
      <c r="B4980" s="167"/>
    </row>
    <row r="4981" spans="2:2" ht="15.5" x14ac:dyDescent="0.35">
      <c r="B4981" s="167"/>
    </row>
    <row r="4982" spans="2:2" ht="15.5" x14ac:dyDescent="0.35">
      <c r="B4982" s="167"/>
    </row>
    <row r="4983" spans="2:2" ht="15.5" x14ac:dyDescent="0.35">
      <c r="B4983" s="167"/>
    </row>
    <row r="4984" spans="2:2" ht="15.5" x14ac:dyDescent="0.35">
      <c r="B4984" s="167"/>
    </row>
    <row r="4985" spans="2:2" ht="15.5" x14ac:dyDescent="0.35">
      <c r="B4985" s="167"/>
    </row>
    <row r="4986" spans="2:2" ht="15.5" x14ac:dyDescent="0.35">
      <c r="B4986" s="167"/>
    </row>
    <row r="4987" spans="2:2" ht="15.5" x14ac:dyDescent="0.35">
      <c r="B4987" s="167"/>
    </row>
    <row r="4988" spans="2:2" ht="15.5" x14ac:dyDescent="0.35">
      <c r="B4988" s="167"/>
    </row>
    <row r="4989" spans="2:2" ht="15.5" x14ac:dyDescent="0.35">
      <c r="B4989" s="167"/>
    </row>
    <row r="4990" spans="2:2" ht="15.5" x14ac:dyDescent="0.35">
      <c r="B4990" s="167"/>
    </row>
    <row r="4991" spans="2:2" ht="15.5" x14ac:dyDescent="0.35">
      <c r="B4991" s="167"/>
    </row>
    <row r="4992" spans="2:2" ht="15.5" x14ac:dyDescent="0.35">
      <c r="B4992" s="167"/>
    </row>
    <row r="4993" spans="2:2" ht="15.5" x14ac:dyDescent="0.35">
      <c r="B4993" s="167"/>
    </row>
    <row r="4994" spans="2:2" ht="15.5" x14ac:dyDescent="0.35">
      <c r="B4994" s="167"/>
    </row>
    <row r="4995" spans="2:2" ht="15.5" x14ac:dyDescent="0.35">
      <c r="B4995" s="167"/>
    </row>
    <row r="4996" spans="2:2" ht="15.5" x14ac:dyDescent="0.35">
      <c r="B4996" s="167"/>
    </row>
    <row r="4997" spans="2:2" ht="15.5" x14ac:dyDescent="0.35">
      <c r="B4997" s="167"/>
    </row>
    <row r="4998" spans="2:2" ht="15.5" x14ac:dyDescent="0.35">
      <c r="B4998" s="167"/>
    </row>
    <row r="4999" spans="2:2" ht="15.5" x14ac:dyDescent="0.35">
      <c r="B4999" s="167"/>
    </row>
    <row r="5000" spans="2:2" ht="15.5" x14ac:dyDescent="0.35">
      <c r="B5000" s="167"/>
    </row>
    <row r="5001" spans="2:2" ht="15.5" x14ac:dyDescent="0.35">
      <c r="B5001" s="167"/>
    </row>
    <row r="5002" spans="2:2" ht="15.5" x14ac:dyDescent="0.35">
      <c r="B5002" s="167"/>
    </row>
    <row r="5003" spans="2:2" ht="15.5" x14ac:dyDescent="0.35">
      <c r="B5003" s="167"/>
    </row>
    <row r="5004" spans="2:2" ht="15.5" x14ac:dyDescent="0.35">
      <c r="B5004" s="167"/>
    </row>
    <row r="5005" spans="2:2" ht="15.5" x14ac:dyDescent="0.35">
      <c r="B5005" s="167"/>
    </row>
    <row r="5006" spans="2:2" ht="15.5" x14ac:dyDescent="0.35">
      <c r="B5006" s="167"/>
    </row>
    <row r="5007" spans="2:2" ht="15.5" x14ac:dyDescent="0.35">
      <c r="B5007" s="167"/>
    </row>
    <row r="5008" spans="2:2" ht="15.5" x14ac:dyDescent="0.35">
      <c r="B5008" s="167"/>
    </row>
    <row r="5009" spans="2:2" ht="15.5" x14ac:dyDescent="0.35">
      <c r="B5009" s="167"/>
    </row>
    <row r="5010" spans="2:2" ht="15.5" x14ac:dyDescent="0.35">
      <c r="B5010" s="167"/>
    </row>
    <row r="5011" spans="2:2" ht="15.5" x14ac:dyDescent="0.35">
      <c r="B5011" s="167"/>
    </row>
    <row r="5012" spans="2:2" ht="15.5" x14ac:dyDescent="0.35">
      <c r="B5012" s="167"/>
    </row>
    <row r="5013" spans="2:2" ht="15.5" x14ac:dyDescent="0.35">
      <c r="B5013" s="167"/>
    </row>
    <row r="5014" spans="2:2" ht="15.5" x14ac:dyDescent="0.35">
      <c r="B5014" s="167"/>
    </row>
    <row r="5015" spans="2:2" ht="15.5" x14ac:dyDescent="0.35">
      <c r="B5015" s="167"/>
    </row>
    <row r="5016" spans="2:2" ht="15.5" x14ac:dyDescent="0.35">
      <c r="B5016" s="167"/>
    </row>
    <row r="5017" spans="2:2" ht="15.5" x14ac:dyDescent="0.35">
      <c r="B5017" s="167"/>
    </row>
    <row r="5018" spans="2:2" ht="15.5" x14ac:dyDescent="0.35">
      <c r="B5018" s="167"/>
    </row>
    <row r="5019" spans="2:2" ht="15.5" x14ac:dyDescent="0.35">
      <c r="B5019" s="167"/>
    </row>
    <row r="5020" spans="2:2" ht="15.5" x14ac:dyDescent="0.35">
      <c r="B5020" s="167"/>
    </row>
    <row r="5021" spans="2:2" ht="15.5" x14ac:dyDescent="0.35">
      <c r="B5021" s="167"/>
    </row>
    <row r="5022" spans="2:2" ht="15.5" x14ac:dyDescent="0.35">
      <c r="B5022" s="167"/>
    </row>
    <row r="5023" spans="2:2" ht="15.5" x14ac:dyDescent="0.35">
      <c r="B5023" s="167"/>
    </row>
    <row r="5024" spans="2:2" ht="15.5" x14ac:dyDescent="0.35">
      <c r="B5024" s="167"/>
    </row>
    <row r="5025" spans="2:2" ht="15.5" x14ac:dyDescent="0.35">
      <c r="B5025" s="167"/>
    </row>
    <row r="5026" spans="2:2" ht="15.5" x14ac:dyDescent="0.35">
      <c r="B5026" s="167"/>
    </row>
    <row r="5027" spans="2:2" ht="15.5" x14ac:dyDescent="0.35">
      <c r="B5027" s="167"/>
    </row>
    <row r="5028" spans="2:2" ht="15.5" x14ac:dyDescent="0.35">
      <c r="B5028" s="167"/>
    </row>
    <row r="5029" spans="2:2" ht="15.5" x14ac:dyDescent="0.35">
      <c r="B5029" s="167"/>
    </row>
    <row r="5030" spans="2:2" ht="15.5" x14ac:dyDescent="0.35">
      <c r="B5030" s="167"/>
    </row>
    <row r="5031" spans="2:2" ht="15.5" x14ac:dyDescent="0.35">
      <c r="B5031" s="167"/>
    </row>
    <row r="5032" spans="2:2" ht="15.5" x14ac:dyDescent="0.35">
      <c r="B5032" s="167"/>
    </row>
    <row r="5033" spans="2:2" ht="15.5" x14ac:dyDescent="0.35">
      <c r="B5033" s="167"/>
    </row>
    <row r="5034" spans="2:2" ht="15.5" x14ac:dyDescent="0.35">
      <c r="B5034" s="167"/>
    </row>
    <row r="5035" spans="2:2" ht="15.5" x14ac:dyDescent="0.35">
      <c r="B5035" s="167"/>
    </row>
    <row r="5036" spans="2:2" ht="15.5" x14ac:dyDescent="0.35">
      <c r="B5036" s="167"/>
    </row>
    <row r="5037" spans="2:2" ht="15.5" x14ac:dyDescent="0.35">
      <c r="B5037" s="167"/>
    </row>
    <row r="5038" spans="2:2" ht="15.5" x14ac:dyDescent="0.35">
      <c r="B5038" s="167"/>
    </row>
    <row r="5039" spans="2:2" ht="15.5" x14ac:dyDescent="0.35">
      <c r="B5039" s="167"/>
    </row>
    <row r="5040" spans="2:2" ht="15.5" x14ac:dyDescent="0.35">
      <c r="B5040" s="167"/>
    </row>
    <row r="5041" spans="2:2" ht="15.5" x14ac:dyDescent="0.35">
      <c r="B5041" s="167"/>
    </row>
    <row r="5042" spans="2:2" ht="15.5" x14ac:dyDescent="0.35">
      <c r="B5042" s="167"/>
    </row>
    <row r="5043" spans="2:2" ht="15.5" x14ac:dyDescent="0.35">
      <c r="B5043" s="167"/>
    </row>
    <row r="5044" spans="2:2" ht="15.5" x14ac:dyDescent="0.35">
      <c r="B5044" s="167"/>
    </row>
    <row r="5045" spans="2:2" ht="15.5" x14ac:dyDescent="0.35">
      <c r="B5045" s="167"/>
    </row>
    <row r="5046" spans="2:2" ht="15.5" x14ac:dyDescent="0.35">
      <c r="B5046" s="167"/>
    </row>
    <row r="5047" spans="2:2" ht="15.5" x14ac:dyDescent="0.35">
      <c r="B5047" s="167"/>
    </row>
    <row r="5048" spans="2:2" ht="15.5" x14ac:dyDescent="0.35">
      <c r="B5048" s="167"/>
    </row>
    <row r="5049" spans="2:2" ht="15.5" x14ac:dyDescent="0.35">
      <c r="B5049" s="167"/>
    </row>
    <row r="5050" spans="2:2" ht="15.5" x14ac:dyDescent="0.35">
      <c r="B5050" s="167"/>
    </row>
    <row r="5051" spans="2:2" ht="15.5" x14ac:dyDescent="0.35">
      <c r="B5051" s="167"/>
    </row>
    <row r="5052" spans="2:2" ht="15.5" x14ac:dyDescent="0.35">
      <c r="B5052" s="167"/>
    </row>
    <row r="5053" spans="2:2" ht="15.5" x14ac:dyDescent="0.35">
      <c r="B5053" s="167"/>
    </row>
    <row r="5054" spans="2:2" ht="15.5" x14ac:dyDescent="0.35">
      <c r="B5054" s="167"/>
    </row>
    <row r="5055" spans="2:2" ht="15.5" x14ac:dyDescent="0.35">
      <c r="B5055" s="167"/>
    </row>
    <row r="5056" spans="2:2" ht="15.5" x14ac:dyDescent="0.35">
      <c r="B5056" s="167"/>
    </row>
    <row r="5057" spans="2:2" ht="15.5" x14ac:dyDescent="0.35">
      <c r="B5057" s="167"/>
    </row>
    <row r="5058" spans="2:2" ht="15.5" x14ac:dyDescent="0.35">
      <c r="B5058" s="167"/>
    </row>
    <row r="5059" spans="2:2" ht="15.5" x14ac:dyDescent="0.35">
      <c r="B5059" s="167"/>
    </row>
    <row r="5060" spans="2:2" ht="15.5" x14ac:dyDescent="0.35">
      <c r="B5060" s="167"/>
    </row>
    <row r="5061" spans="2:2" ht="15.5" x14ac:dyDescent="0.35">
      <c r="B5061" s="167"/>
    </row>
    <row r="5062" spans="2:2" ht="15.5" x14ac:dyDescent="0.35">
      <c r="B5062" s="167"/>
    </row>
    <row r="5063" spans="2:2" ht="15.5" x14ac:dyDescent="0.35">
      <c r="B5063" s="167"/>
    </row>
    <row r="5064" spans="2:2" ht="15.5" x14ac:dyDescent="0.35">
      <c r="B5064" s="167"/>
    </row>
    <row r="5065" spans="2:2" ht="15.5" x14ac:dyDescent="0.35">
      <c r="B5065" s="167"/>
    </row>
    <row r="5066" spans="2:2" ht="15.5" x14ac:dyDescent="0.35">
      <c r="B5066" s="167"/>
    </row>
    <row r="5067" spans="2:2" ht="15.5" x14ac:dyDescent="0.35">
      <c r="B5067" s="167"/>
    </row>
    <row r="5068" spans="2:2" ht="15.5" x14ac:dyDescent="0.35">
      <c r="B5068" s="167"/>
    </row>
    <row r="5069" spans="2:2" ht="15.5" x14ac:dyDescent="0.35">
      <c r="B5069" s="167"/>
    </row>
    <row r="5070" spans="2:2" ht="15.5" x14ac:dyDescent="0.35">
      <c r="B5070" s="167"/>
    </row>
    <row r="5071" spans="2:2" ht="15.5" x14ac:dyDescent="0.35">
      <c r="B5071" s="167"/>
    </row>
    <row r="5072" spans="2:2" ht="15.5" x14ac:dyDescent="0.35">
      <c r="B5072" s="167"/>
    </row>
    <row r="5073" spans="2:2" ht="15.5" x14ac:dyDescent="0.35">
      <c r="B5073" s="167"/>
    </row>
    <row r="5074" spans="2:2" ht="15.5" x14ac:dyDescent="0.35">
      <c r="B5074" s="167"/>
    </row>
    <row r="5075" spans="2:2" ht="15.5" x14ac:dyDescent="0.35">
      <c r="B5075" s="167"/>
    </row>
    <row r="5076" spans="2:2" ht="15.5" x14ac:dyDescent="0.35">
      <c r="B5076" s="167"/>
    </row>
    <row r="5077" spans="2:2" ht="15.5" x14ac:dyDescent="0.35">
      <c r="B5077" s="167"/>
    </row>
    <row r="5078" spans="2:2" ht="15.5" x14ac:dyDescent="0.35">
      <c r="B5078" s="167"/>
    </row>
    <row r="5079" spans="2:2" ht="15.5" x14ac:dyDescent="0.35">
      <c r="B5079" s="167"/>
    </row>
    <row r="5080" spans="2:2" ht="15.5" x14ac:dyDescent="0.35">
      <c r="B5080" s="167"/>
    </row>
    <row r="5081" spans="2:2" ht="15.5" x14ac:dyDescent="0.35">
      <c r="B5081" s="167"/>
    </row>
    <row r="5082" spans="2:2" ht="15.5" x14ac:dyDescent="0.35">
      <c r="B5082" s="167"/>
    </row>
    <row r="5083" spans="2:2" ht="15.5" x14ac:dyDescent="0.35">
      <c r="B5083" s="167"/>
    </row>
    <row r="5084" spans="2:2" ht="15.5" x14ac:dyDescent="0.35">
      <c r="B5084" s="167"/>
    </row>
    <row r="5085" spans="2:2" ht="15.5" x14ac:dyDescent="0.35">
      <c r="B5085" s="167"/>
    </row>
    <row r="5086" spans="2:2" ht="15.5" x14ac:dyDescent="0.35">
      <c r="B5086" s="167"/>
    </row>
    <row r="5087" spans="2:2" ht="15.5" x14ac:dyDescent="0.35">
      <c r="B5087" s="167"/>
    </row>
    <row r="5088" spans="2:2" ht="15.5" x14ac:dyDescent="0.35">
      <c r="B5088" s="167"/>
    </row>
    <row r="5089" spans="2:2" ht="15.5" x14ac:dyDescent="0.35">
      <c r="B5089" s="167"/>
    </row>
    <row r="5090" spans="2:2" ht="15.5" x14ac:dyDescent="0.35">
      <c r="B5090" s="167"/>
    </row>
    <row r="5091" spans="2:2" ht="15.5" x14ac:dyDescent="0.35">
      <c r="B5091" s="167"/>
    </row>
    <row r="5092" spans="2:2" ht="15.5" x14ac:dyDescent="0.35">
      <c r="B5092" s="167"/>
    </row>
    <row r="5093" spans="2:2" ht="15.5" x14ac:dyDescent="0.35">
      <c r="B5093" s="167"/>
    </row>
    <row r="5094" spans="2:2" ht="15.5" x14ac:dyDescent="0.35">
      <c r="B5094" s="167"/>
    </row>
    <row r="5095" spans="2:2" ht="15.5" x14ac:dyDescent="0.35">
      <c r="B5095" s="167"/>
    </row>
    <row r="5096" spans="2:2" ht="15.5" x14ac:dyDescent="0.35">
      <c r="B5096" s="167"/>
    </row>
    <row r="5097" spans="2:2" ht="15.5" x14ac:dyDescent="0.35">
      <c r="B5097" s="167"/>
    </row>
    <row r="5098" spans="2:2" ht="15.5" x14ac:dyDescent="0.35">
      <c r="B5098" s="167"/>
    </row>
    <row r="5099" spans="2:2" ht="15.5" x14ac:dyDescent="0.35">
      <c r="B5099" s="167"/>
    </row>
    <row r="5100" spans="2:2" ht="15.5" x14ac:dyDescent="0.35">
      <c r="B5100" s="167"/>
    </row>
    <row r="5101" spans="2:2" ht="15.5" x14ac:dyDescent="0.35">
      <c r="B5101" s="167"/>
    </row>
    <row r="5102" spans="2:2" ht="15.5" x14ac:dyDescent="0.35">
      <c r="B5102" s="167"/>
    </row>
    <row r="5103" spans="2:2" ht="15.5" x14ac:dyDescent="0.35">
      <c r="B5103" s="167"/>
    </row>
    <row r="5104" spans="2:2" ht="15.5" x14ac:dyDescent="0.35">
      <c r="B5104" s="167"/>
    </row>
    <row r="5105" spans="2:2" ht="15.5" x14ac:dyDescent="0.35">
      <c r="B5105" s="167"/>
    </row>
    <row r="5106" spans="2:2" ht="15.5" x14ac:dyDescent="0.35">
      <c r="B5106" s="167"/>
    </row>
    <row r="5107" spans="2:2" ht="15.5" x14ac:dyDescent="0.35">
      <c r="B5107" s="167"/>
    </row>
    <row r="5108" spans="2:2" ht="15.5" x14ac:dyDescent="0.35">
      <c r="B5108" s="167"/>
    </row>
    <row r="5109" spans="2:2" ht="15.5" x14ac:dyDescent="0.35">
      <c r="B5109" s="167"/>
    </row>
    <row r="5110" spans="2:2" ht="15.5" x14ac:dyDescent="0.35">
      <c r="B5110" s="167"/>
    </row>
    <row r="5111" spans="2:2" ht="15.5" x14ac:dyDescent="0.35">
      <c r="B5111" s="167"/>
    </row>
    <row r="5112" spans="2:2" ht="15.5" x14ac:dyDescent="0.35">
      <c r="B5112" s="167"/>
    </row>
    <row r="5113" spans="2:2" ht="15.5" x14ac:dyDescent="0.35">
      <c r="B5113" s="167"/>
    </row>
    <row r="5114" spans="2:2" ht="15.5" x14ac:dyDescent="0.35">
      <c r="B5114" s="167"/>
    </row>
    <row r="5115" spans="2:2" ht="15.5" x14ac:dyDescent="0.35">
      <c r="B5115" s="167"/>
    </row>
    <row r="5116" spans="2:2" ht="15.5" x14ac:dyDescent="0.35">
      <c r="B5116" s="167"/>
    </row>
    <row r="5117" spans="2:2" ht="15.5" x14ac:dyDescent="0.35">
      <c r="B5117" s="167"/>
    </row>
    <row r="5118" spans="2:2" ht="15.5" x14ac:dyDescent="0.35">
      <c r="B5118" s="167"/>
    </row>
    <row r="5119" spans="2:2" ht="15.5" x14ac:dyDescent="0.35">
      <c r="B5119" s="167"/>
    </row>
    <row r="5120" spans="2:2" ht="15.5" x14ac:dyDescent="0.35">
      <c r="B5120" s="167"/>
    </row>
    <row r="5121" spans="2:2" ht="15.5" x14ac:dyDescent="0.35">
      <c r="B5121" s="167"/>
    </row>
    <row r="5122" spans="2:2" ht="15.5" x14ac:dyDescent="0.35">
      <c r="B5122" s="167"/>
    </row>
    <row r="5123" spans="2:2" ht="15.5" x14ac:dyDescent="0.35">
      <c r="B5123" s="167"/>
    </row>
    <row r="5124" spans="2:2" ht="15.5" x14ac:dyDescent="0.35">
      <c r="B5124" s="167"/>
    </row>
    <row r="5125" spans="2:2" ht="15.5" x14ac:dyDescent="0.35">
      <c r="B5125" s="167"/>
    </row>
    <row r="5126" spans="2:2" ht="15.5" x14ac:dyDescent="0.35">
      <c r="B5126" s="167"/>
    </row>
    <row r="5127" spans="2:2" ht="15.5" x14ac:dyDescent="0.35">
      <c r="B5127" s="167"/>
    </row>
    <row r="5128" spans="2:2" ht="15.5" x14ac:dyDescent="0.35">
      <c r="B5128" s="167"/>
    </row>
    <row r="5129" spans="2:2" ht="15.5" x14ac:dyDescent="0.35">
      <c r="B5129" s="167"/>
    </row>
    <row r="5130" spans="2:2" ht="15.5" x14ac:dyDescent="0.35">
      <c r="B5130" s="167"/>
    </row>
    <row r="5131" spans="2:2" ht="15.5" x14ac:dyDescent="0.35">
      <c r="B5131" s="167"/>
    </row>
    <row r="5132" spans="2:2" ht="15.5" x14ac:dyDescent="0.35">
      <c r="B5132" s="167"/>
    </row>
    <row r="5133" spans="2:2" ht="15.5" x14ac:dyDescent="0.35">
      <c r="B5133" s="167"/>
    </row>
    <row r="5134" spans="2:2" ht="15.5" x14ac:dyDescent="0.35">
      <c r="B5134" s="167"/>
    </row>
    <row r="5135" spans="2:2" ht="15.5" x14ac:dyDescent="0.35">
      <c r="B5135" s="167"/>
    </row>
    <row r="5136" spans="2:2" ht="15.5" x14ac:dyDescent="0.35">
      <c r="B5136" s="167"/>
    </row>
    <row r="5137" spans="2:2" ht="15.5" x14ac:dyDescent="0.35">
      <c r="B5137" s="167"/>
    </row>
    <row r="5138" spans="2:2" ht="15.5" x14ac:dyDescent="0.35">
      <c r="B5138" s="167"/>
    </row>
    <row r="5139" spans="2:2" ht="15.5" x14ac:dyDescent="0.35">
      <c r="B5139" s="167"/>
    </row>
    <row r="5140" spans="2:2" ht="15.5" x14ac:dyDescent="0.35">
      <c r="B5140" s="167"/>
    </row>
    <row r="5141" spans="2:2" ht="15.5" x14ac:dyDescent="0.35">
      <c r="B5141" s="167"/>
    </row>
    <row r="5142" spans="2:2" ht="15.5" x14ac:dyDescent="0.35">
      <c r="B5142" s="167"/>
    </row>
    <row r="5143" spans="2:2" ht="15.5" x14ac:dyDescent="0.35">
      <c r="B5143" s="167"/>
    </row>
    <row r="5144" spans="2:2" ht="15.5" x14ac:dyDescent="0.35">
      <c r="B5144" s="167"/>
    </row>
    <row r="5145" spans="2:2" ht="15.5" x14ac:dyDescent="0.35">
      <c r="B5145" s="167"/>
    </row>
    <row r="5146" spans="2:2" ht="15.5" x14ac:dyDescent="0.35">
      <c r="B5146" s="167"/>
    </row>
    <row r="5147" spans="2:2" ht="15.5" x14ac:dyDescent="0.35">
      <c r="B5147" s="167"/>
    </row>
    <row r="5148" spans="2:2" ht="15.5" x14ac:dyDescent="0.35">
      <c r="B5148" s="167"/>
    </row>
    <row r="5149" spans="2:2" ht="15.5" x14ac:dyDescent="0.35">
      <c r="B5149" s="167"/>
    </row>
    <row r="5150" spans="2:2" ht="15.5" x14ac:dyDescent="0.35">
      <c r="B5150" s="167"/>
    </row>
    <row r="5151" spans="2:2" ht="15.5" x14ac:dyDescent="0.35">
      <c r="B5151" s="167"/>
    </row>
    <row r="5152" spans="2:2" ht="15.5" x14ac:dyDescent="0.35">
      <c r="B5152" s="167"/>
    </row>
    <row r="5153" spans="2:2" ht="15.5" x14ac:dyDescent="0.35">
      <c r="B5153" s="167"/>
    </row>
    <row r="5154" spans="2:2" ht="15.5" x14ac:dyDescent="0.35">
      <c r="B5154" s="167"/>
    </row>
    <row r="5155" spans="2:2" ht="15.5" x14ac:dyDescent="0.35">
      <c r="B5155" s="167"/>
    </row>
    <row r="5156" spans="2:2" ht="15.5" x14ac:dyDescent="0.35">
      <c r="B5156" s="167"/>
    </row>
    <row r="5157" spans="2:2" ht="15.5" x14ac:dyDescent="0.35">
      <c r="B5157" s="167"/>
    </row>
    <row r="5158" spans="2:2" ht="15.5" x14ac:dyDescent="0.35">
      <c r="B5158" s="167"/>
    </row>
    <row r="5159" spans="2:2" ht="15.5" x14ac:dyDescent="0.35">
      <c r="B5159" s="167"/>
    </row>
    <row r="5160" spans="2:2" ht="15.5" x14ac:dyDescent="0.35">
      <c r="B5160" s="167"/>
    </row>
    <row r="5161" spans="2:2" ht="15.5" x14ac:dyDescent="0.35">
      <c r="B5161" s="167"/>
    </row>
    <row r="5162" spans="2:2" ht="15.5" x14ac:dyDescent="0.35">
      <c r="B5162" s="167"/>
    </row>
    <row r="5163" spans="2:2" ht="15.5" x14ac:dyDescent="0.35">
      <c r="B5163" s="167"/>
    </row>
    <row r="5164" spans="2:2" ht="15.5" x14ac:dyDescent="0.35">
      <c r="B5164" s="167"/>
    </row>
    <row r="5165" spans="2:2" ht="15.5" x14ac:dyDescent="0.35">
      <c r="B5165" s="167"/>
    </row>
    <row r="5166" spans="2:2" ht="15.5" x14ac:dyDescent="0.35">
      <c r="B5166" s="167"/>
    </row>
    <row r="5167" spans="2:2" ht="15.5" x14ac:dyDescent="0.35">
      <c r="B5167" s="167"/>
    </row>
    <row r="5168" spans="2:2" ht="15.5" x14ac:dyDescent="0.35">
      <c r="B5168" s="167"/>
    </row>
    <row r="5169" spans="2:2" ht="15.5" x14ac:dyDescent="0.35">
      <c r="B5169" s="167"/>
    </row>
    <row r="5170" spans="2:2" ht="15.5" x14ac:dyDescent="0.35">
      <c r="B5170" s="167"/>
    </row>
    <row r="5171" spans="2:2" ht="15.5" x14ac:dyDescent="0.35">
      <c r="B5171" s="167"/>
    </row>
    <row r="5172" spans="2:2" ht="15.5" x14ac:dyDescent="0.35">
      <c r="B5172" s="167"/>
    </row>
    <row r="5173" spans="2:2" ht="15.5" x14ac:dyDescent="0.35">
      <c r="B5173" s="167"/>
    </row>
    <row r="5174" spans="2:2" ht="15.5" x14ac:dyDescent="0.35">
      <c r="B5174" s="167"/>
    </row>
    <row r="5175" spans="2:2" ht="15.5" x14ac:dyDescent="0.35">
      <c r="B5175" s="167"/>
    </row>
    <row r="5176" spans="2:2" ht="15.5" x14ac:dyDescent="0.35">
      <c r="B5176" s="167"/>
    </row>
    <row r="5177" spans="2:2" ht="15.5" x14ac:dyDescent="0.35">
      <c r="B5177" s="167"/>
    </row>
    <row r="5178" spans="2:2" ht="15.5" x14ac:dyDescent="0.35">
      <c r="B5178" s="167"/>
    </row>
    <row r="5179" spans="2:2" ht="15.5" x14ac:dyDescent="0.35">
      <c r="B5179" s="167"/>
    </row>
    <row r="5180" spans="2:2" ht="15.5" x14ac:dyDescent="0.35">
      <c r="B5180" s="167"/>
    </row>
    <row r="5181" spans="2:2" ht="15.5" x14ac:dyDescent="0.35">
      <c r="B5181" s="167"/>
    </row>
    <row r="5182" spans="2:2" ht="15.5" x14ac:dyDescent="0.35">
      <c r="B5182" s="167"/>
    </row>
    <row r="5183" spans="2:2" ht="15.5" x14ac:dyDescent="0.35">
      <c r="B5183" s="167"/>
    </row>
    <row r="5184" spans="2:2" ht="15.5" x14ac:dyDescent="0.35">
      <c r="B5184" s="167"/>
    </row>
    <row r="5185" spans="2:2" ht="15.5" x14ac:dyDescent="0.35">
      <c r="B5185" s="167"/>
    </row>
    <row r="5186" spans="2:2" ht="15.5" x14ac:dyDescent="0.35">
      <c r="B5186" s="167"/>
    </row>
    <row r="5187" spans="2:2" ht="15.5" x14ac:dyDescent="0.35">
      <c r="B5187" s="167"/>
    </row>
    <row r="5188" spans="2:2" ht="15.5" x14ac:dyDescent="0.35">
      <c r="B5188" s="167"/>
    </row>
    <row r="5189" spans="2:2" ht="15.5" x14ac:dyDescent="0.35">
      <c r="B5189" s="167"/>
    </row>
    <row r="5190" spans="2:2" ht="15.5" x14ac:dyDescent="0.35">
      <c r="B5190" s="167"/>
    </row>
    <row r="5191" spans="2:2" ht="15.5" x14ac:dyDescent="0.35">
      <c r="B5191" s="167"/>
    </row>
    <row r="5192" spans="2:2" ht="15.5" x14ac:dyDescent="0.35">
      <c r="B5192" s="167"/>
    </row>
    <row r="5193" spans="2:2" ht="15.5" x14ac:dyDescent="0.35">
      <c r="B5193" s="167"/>
    </row>
    <row r="5194" spans="2:2" ht="15.5" x14ac:dyDescent="0.35">
      <c r="B5194" s="167"/>
    </row>
    <row r="5195" spans="2:2" ht="15.5" x14ac:dyDescent="0.35">
      <c r="B5195" s="167"/>
    </row>
    <row r="5196" spans="2:2" ht="15.5" x14ac:dyDescent="0.35">
      <c r="B5196" s="167"/>
    </row>
    <row r="5197" spans="2:2" ht="15.5" x14ac:dyDescent="0.35">
      <c r="B5197" s="167"/>
    </row>
    <row r="5198" spans="2:2" ht="15.5" x14ac:dyDescent="0.35">
      <c r="B5198" s="167"/>
    </row>
    <row r="5199" spans="2:2" ht="15.5" x14ac:dyDescent="0.35">
      <c r="B5199" s="167"/>
    </row>
    <row r="5200" spans="2:2" ht="15.5" x14ac:dyDescent="0.35">
      <c r="B5200" s="167"/>
    </row>
    <row r="5201" spans="2:2" ht="15.5" x14ac:dyDescent="0.35">
      <c r="B5201" s="167"/>
    </row>
    <row r="5202" spans="2:2" ht="15.5" x14ac:dyDescent="0.35">
      <c r="B5202" s="167"/>
    </row>
    <row r="5203" spans="2:2" ht="15.5" x14ac:dyDescent="0.35">
      <c r="B5203" s="167"/>
    </row>
    <row r="5204" spans="2:2" ht="15.5" x14ac:dyDescent="0.35">
      <c r="B5204" s="167"/>
    </row>
    <row r="5205" spans="2:2" ht="15.5" x14ac:dyDescent="0.35">
      <c r="B5205" s="167"/>
    </row>
    <row r="5206" spans="2:2" ht="15.5" x14ac:dyDescent="0.35">
      <c r="B5206" s="167"/>
    </row>
    <row r="5207" spans="2:2" ht="15.5" x14ac:dyDescent="0.35">
      <c r="B5207" s="167"/>
    </row>
    <row r="5208" spans="2:2" ht="15.5" x14ac:dyDescent="0.35">
      <c r="B5208" s="167"/>
    </row>
    <row r="5209" spans="2:2" ht="15.5" x14ac:dyDescent="0.35">
      <c r="B5209" s="167"/>
    </row>
    <row r="5210" spans="2:2" ht="15.5" x14ac:dyDescent="0.35">
      <c r="B5210" s="167"/>
    </row>
    <row r="5211" spans="2:2" ht="15.5" x14ac:dyDescent="0.35">
      <c r="B5211" s="167"/>
    </row>
    <row r="5212" spans="2:2" ht="15.5" x14ac:dyDescent="0.35">
      <c r="B5212" s="167"/>
    </row>
    <row r="5213" spans="2:2" ht="15.5" x14ac:dyDescent="0.35">
      <c r="B5213" s="167"/>
    </row>
    <row r="5214" spans="2:2" ht="15.5" x14ac:dyDescent="0.35">
      <c r="B5214" s="167"/>
    </row>
    <row r="5215" spans="2:2" ht="15.5" x14ac:dyDescent="0.35">
      <c r="B5215" s="167"/>
    </row>
    <row r="5216" spans="2:2" ht="15.5" x14ac:dyDescent="0.35">
      <c r="B5216" s="167"/>
    </row>
    <row r="5217" spans="2:2" ht="15.5" x14ac:dyDescent="0.35">
      <c r="B5217" s="167"/>
    </row>
    <row r="5218" spans="2:2" ht="15.5" x14ac:dyDescent="0.35">
      <c r="B5218" s="167"/>
    </row>
    <row r="5219" spans="2:2" ht="15.5" x14ac:dyDescent="0.35">
      <c r="B5219" s="167"/>
    </row>
    <row r="5220" spans="2:2" ht="15.5" x14ac:dyDescent="0.35">
      <c r="B5220" s="167"/>
    </row>
    <row r="5221" spans="2:2" ht="15.5" x14ac:dyDescent="0.35">
      <c r="B5221" s="167"/>
    </row>
    <row r="5222" spans="2:2" ht="15.5" x14ac:dyDescent="0.35">
      <c r="B5222" s="167"/>
    </row>
    <row r="5223" spans="2:2" ht="15.5" x14ac:dyDescent="0.35">
      <c r="B5223" s="167"/>
    </row>
    <row r="5224" spans="2:2" ht="15.5" x14ac:dyDescent="0.35">
      <c r="B5224" s="167"/>
    </row>
    <row r="5225" spans="2:2" ht="15.5" x14ac:dyDescent="0.35">
      <c r="B5225" s="167"/>
    </row>
    <row r="5226" spans="2:2" ht="15.5" x14ac:dyDescent="0.35">
      <c r="B5226" s="167"/>
    </row>
    <row r="5227" spans="2:2" ht="15.5" x14ac:dyDescent="0.35">
      <c r="B5227" s="167"/>
    </row>
    <row r="5228" spans="2:2" ht="15.5" x14ac:dyDescent="0.35">
      <c r="B5228" s="167"/>
    </row>
    <row r="5229" spans="2:2" ht="15.5" x14ac:dyDescent="0.35">
      <c r="B5229" s="167"/>
    </row>
    <row r="5230" spans="2:2" ht="15.5" x14ac:dyDescent="0.35">
      <c r="B5230" s="167"/>
    </row>
    <row r="5231" spans="2:2" ht="15.5" x14ac:dyDescent="0.35">
      <c r="B5231" s="167"/>
    </row>
    <row r="5232" spans="2:2" ht="15.5" x14ac:dyDescent="0.35">
      <c r="B5232" s="167"/>
    </row>
    <row r="5233" spans="2:2" ht="15.5" x14ac:dyDescent="0.35">
      <c r="B5233" s="167"/>
    </row>
    <row r="5234" spans="2:2" ht="15.5" x14ac:dyDescent="0.35">
      <c r="B5234" s="167"/>
    </row>
    <row r="5235" spans="2:2" ht="15.5" x14ac:dyDescent="0.35">
      <c r="B5235" s="167"/>
    </row>
    <row r="5236" spans="2:2" ht="15.5" x14ac:dyDescent="0.35">
      <c r="B5236" s="167"/>
    </row>
    <row r="5237" spans="2:2" ht="15.5" x14ac:dyDescent="0.35">
      <c r="B5237" s="167"/>
    </row>
    <row r="5238" spans="2:2" ht="15.5" x14ac:dyDescent="0.35">
      <c r="B5238" s="167"/>
    </row>
    <row r="5239" spans="2:2" ht="15.5" x14ac:dyDescent="0.35">
      <c r="B5239" s="167"/>
    </row>
    <row r="5240" spans="2:2" ht="15.5" x14ac:dyDescent="0.35">
      <c r="B5240" s="167"/>
    </row>
    <row r="5241" spans="2:2" ht="15.5" x14ac:dyDescent="0.35">
      <c r="B5241" s="167"/>
    </row>
    <row r="5242" spans="2:2" ht="15.5" x14ac:dyDescent="0.35">
      <c r="B5242" s="167"/>
    </row>
    <row r="5243" spans="2:2" ht="15.5" x14ac:dyDescent="0.35">
      <c r="B5243" s="167"/>
    </row>
    <row r="5244" spans="2:2" ht="15.5" x14ac:dyDescent="0.35">
      <c r="B5244" s="167"/>
    </row>
    <row r="5245" spans="2:2" ht="15.5" x14ac:dyDescent="0.35">
      <c r="B5245" s="167"/>
    </row>
    <row r="5246" spans="2:2" ht="15.5" x14ac:dyDescent="0.35">
      <c r="B5246" s="167"/>
    </row>
    <row r="5247" spans="2:2" ht="15.5" x14ac:dyDescent="0.35">
      <c r="B5247" s="167"/>
    </row>
    <row r="5248" spans="2:2" ht="15.5" x14ac:dyDescent="0.35">
      <c r="B5248" s="167"/>
    </row>
    <row r="5249" spans="2:2" ht="15.5" x14ac:dyDescent="0.35">
      <c r="B5249" s="167"/>
    </row>
    <row r="5250" spans="2:2" ht="15.5" x14ac:dyDescent="0.35">
      <c r="B5250" s="167"/>
    </row>
    <row r="5251" spans="2:2" ht="15.5" x14ac:dyDescent="0.35">
      <c r="B5251" s="167"/>
    </row>
    <row r="5252" spans="2:2" ht="15.5" x14ac:dyDescent="0.35">
      <c r="B5252" s="167"/>
    </row>
    <row r="5253" spans="2:2" ht="15.5" x14ac:dyDescent="0.35">
      <c r="B5253" s="167"/>
    </row>
    <row r="5254" spans="2:2" ht="15.5" x14ac:dyDescent="0.35">
      <c r="B5254" s="167"/>
    </row>
    <row r="5255" spans="2:2" ht="15.5" x14ac:dyDescent="0.35">
      <c r="B5255" s="167"/>
    </row>
    <row r="5256" spans="2:2" ht="15.5" x14ac:dyDescent="0.35">
      <c r="B5256" s="167"/>
    </row>
    <row r="5257" spans="2:2" ht="15.5" x14ac:dyDescent="0.35">
      <c r="B5257" s="167"/>
    </row>
    <row r="5258" spans="2:2" ht="15.5" x14ac:dyDescent="0.35">
      <c r="B5258" s="167"/>
    </row>
    <row r="5259" spans="2:2" ht="15.5" x14ac:dyDescent="0.35">
      <c r="B5259" s="167"/>
    </row>
    <row r="5260" spans="2:2" ht="15.5" x14ac:dyDescent="0.35">
      <c r="B5260" s="167"/>
    </row>
    <row r="5261" spans="2:2" ht="15.5" x14ac:dyDescent="0.35">
      <c r="B5261" s="167"/>
    </row>
    <row r="5262" spans="2:2" ht="15.5" x14ac:dyDescent="0.35">
      <c r="B5262" s="167"/>
    </row>
    <row r="5263" spans="2:2" ht="15.5" x14ac:dyDescent="0.35">
      <c r="B5263" s="167"/>
    </row>
    <row r="5264" spans="2:2" ht="15.5" x14ac:dyDescent="0.35">
      <c r="B5264" s="167"/>
    </row>
    <row r="5265" spans="2:2" ht="15.5" x14ac:dyDescent="0.35">
      <c r="B5265" s="167"/>
    </row>
    <row r="5266" spans="2:2" ht="15.5" x14ac:dyDescent="0.35">
      <c r="B5266" s="167"/>
    </row>
    <row r="5267" spans="2:2" ht="15.5" x14ac:dyDescent="0.35">
      <c r="B5267" s="167"/>
    </row>
    <row r="5268" spans="2:2" ht="15.5" x14ac:dyDescent="0.35">
      <c r="B5268" s="167"/>
    </row>
    <row r="5269" spans="2:2" ht="15.5" x14ac:dyDescent="0.35">
      <c r="B5269" s="167"/>
    </row>
    <row r="5270" spans="2:2" ht="15.5" x14ac:dyDescent="0.35">
      <c r="B5270" s="167"/>
    </row>
    <row r="5271" spans="2:2" ht="15.5" x14ac:dyDescent="0.35">
      <c r="B5271" s="167"/>
    </row>
    <row r="5272" spans="2:2" ht="15.5" x14ac:dyDescent="0.35">
      <c r="B5272" s="167"/>
    </row>
    <row r="5273" spans="2:2" ht="15.5" x14ac:dyDescent="0.35">
      <c r="B5273" s="167"/>
    </row>
    <row r="5274" spans="2:2" ht="15.5" x14ac:dyDescent="0.35">
      <c r="B5274" s="167"/>
    </row>
    <row r="5275" spans="2:2" ht="15.5" x14ac:dyDescent="0.35">
      <c r="B5275" s="167"/>
    </row>
    <row r="5276" spans="2:2" ht="15.5" x14ac:dyDescent="0.35">
      <c r="B5276" s="167"/>
    </row>
    <row r="5277" spans="2:2" ht="15.5" x14ac:dyDescent="0.35">
      <c r="B5277" s="167"/>
    </row>
    <row r="5278" spans="2:2" ht="15.5" x14ac:dyDescent="0.35">
      <c r="B5278" s="167"/>
    </row>
    <row r="5279" spans="2:2" ht="15.5" x14ac:dyDescent="0.35">
      <c r="B5279" s="167"/>
    </row>
    <row r="5280" spans="2:2" ht="15.5" x14ac:dyDescent="0.35">
      <c r="B5280" s="167"/>
    </row>
    <row r="5281" spans="2:2" ht="15.5" x14ac:dyDescent="0.35">
      <c r="B5281" s="167"/>
    </row>
    <row r="5282" spans="2:2" ht="15.5" x14ac:dyDescent="0.35">
      <c r="B5282" s="167"/>
    </row>
    <row r="5283" spans="2:2" ht="15.5" x14ac:dyDescent="0.35">
      <c r="B5283" s="167"/>
    </row>
    <row r="5284" spans="2:2" ht="15.5" x14ac:dyDescent="0.35">
      <c r="B5284" s="167"/>
    </row>
    <row r="5285" spans="2:2" ht="15.5" x14ac:dyDescent="0.35">
      <c r="B5285" s="167"/>
    </row>
    <row r="5286" spans="2:2" ht="15.5" x14ac:dyDescent="0.35">
      <c r="B5286" s="167"/>
    </row>
    <row r="5287" spans="2:2" ht="15.5" x14ac:dyDescent="0.35">
      <c r="B5287" s="167"/>
    </row>
    <row r="5288" spans="2:2" ht="15.5" x14ac:dyDescent="0.35">
      <c r="B5288" s="167"/>
    </row>
    <row r="5289" spans="2:2" ht="15.5" x14ac:dyDescent="0.35">
      <c r="B5289" s="167"/>
    </row>
    <row r="5290" spans="2:2" ht="15.5" x14ac:dyDescent="0.35">
      <c r="B5290" s="167"/>
    </row>
    <row r="5291" spans="2:2" ht="15.5" x14ac:dyDescent="0.35">
      <c r="B5291" s="167"/>
    </row>
    <row r="5292" spans="2:2" ht="15.5" x14ac:dyDescent="0.35">
      <c r="B5292" s="167"/>
    </row>
    <row r="5293" spans="2:2" ht="15.5" x14ac:dyDescent="0.35">
      <c r="B5293" s="167"/>
    </row>
    <row r="5294" spans="2:2" ht="15.5" x14ac:dyDescent="0.35">
      <c r="B5294" s="167"/>
    </row>
    <row r="5295" spans="2:2" ht="15.5" x14ac:dyDescent="0.35">
      <c r="B5295" s="167"/>
    </row>
    <row r="5296" spans="2:2" ht="15.5" x14ac:dyDescent="0.35">
      <c r="B5296" s="167"/>
    </row>
    <row r="5297" spans="2:2" ht="15.5" x14ac:dyDescent="0.35">
      <c r="B5297" s="167"/>
    </row>
    <row r="5298" spans="2:2" ht="15.5" x14ac:dyDescent="0.35">
      <c r="B5298" s="167"/>
    </row>
    <row r="5299" spans="2:2" ht="15.5" x14ac:dyDescent="0.35">
      <c r="B5299" s="167"/>
    </row>
    <row r="5300" spans="2:2" ht="15.5" x14ac:dyDescent="0.35">
      <c r="B5300" s="167"/>
    </row>
    <row r="5301" spans="2:2" ht="15.5" x14ac:dyDescent="0.35">
      <c r="B5301" s="167"/>
    </row>
    <row r="5302" spans="2:2" ht="15.5" x14ac:dyDescent="0.35">
      <c r="B5302" s="167"/>
    </row>
    <row r="5303" spans="2:2" ht="15.5" x14ac:dyDescent="0.35">
      <c r="B5303" s="167"/>
    </row>
    <row r="5304" spans="2:2" ht="15.5" x14ac:dyDescent="0.35">
      <c r="B5304" s="167"/>
    </row>
    <row r="5305" spans="2:2" ht="15.5" x14ac:dyDescent="0.35">
      <c r="B5305" s="167"/>
    </row>
    <row r="5306" spans="2:2" ht="15.5" x14ac:dyDescent="0.35">
      <c r="B5306" s="167"/>
    </row>
    <row r="5307" spans="2:2" ht="15.5" x14ac:dyDescent="0.35">
      <c r="B5307" s="167"/>
    </row>
    <row r="5308" spans="2:2" ht="15.5" x14ac:dyDescent="0.35">
      <c r="B5308" s="167"/>
    </row>
    <row r="5309" spans="2:2" ht="15.5" x14ac:dyDescent="0.35">
      <c r="B5309" s="167"/>
    </row>
    <row r="5310" spans="2:2" ht="15.5" x14ac:dyDescent="0.35">
      <c r="B5310" s="167"/>
    </row>
    <row r="5311" spans="2:2" ht="15.5" x14ac:dyDescent="0.35">
      <c r="B5311" s="167"/>
    </row>
    <row r="5312" spans="2:2" ht="15.5" x14ac:dyDescent="0.35">
      <c r="B5312" s="167"/>
    </row>
    <row r="5313" spans="2:2" ht="15.5" x14ac:dyDescent="0.35">
      <c r="B5313" s="167"/>
    </row>
    <row r="5314" spans="2:2" ht="15.5" x14ac:dyDescent="0.35">
      <c r="B5314" s="167"/>
    </row>
    <row r="5315" spans="2:2" ht="15.5" x14ac:dyDescent="0.35">
      <c r="B5315" s="167"/>
    </row>
    <row r="5316" spans="2:2" ht="15.5" x14ac:dyDescent="0.35">
      <c r="B5316" s="167"/>
    </row>
    <row r="5317" spans="2:2" ht="15.5" x14ac:dyDescent="0.35">
      <c r="B5317" s="167"/>
    </row>
    <row r="5318" spans="2:2" ht="15.5" x14ac:dyDescent="0.35">
      <c r="B5318" s="167"/>
    </row>
    <row r="5319" spans="2:2" ht="15.5" x14ac:dyDescent="0.35">
      <c r="B5319" s="167"/>
    </row>
    <row r="5320" spans="2:2" ht="15.5" x14ac:dyDescent="0.35">
      <c r="B5320" s="167"/>
    </row>
    <row r="5321" spans="2:2" ht="15.5" x14ac:dyDescent="0.35">
      <c r="B5321" s="167"/>
    </row>
    <row r="5322" spans="2:2" ht="15.5" x14ac:dyDescent="0.35">
      <c r="B5322" s="167"/>
    </row>
    <row r="5323" spans="2:2" ht="15.5" x14ac:dyDescent="0.35">
      <c r="B5323" s="167"/>
    </row>
    <row r="5324" spans="2:2" ht="15.5" x14ac:dyDescent="0.35">
      <c r="B5324" s="167"/>
    </row>
    <row r="5325" spans="2:2" ht="15.5" x14ac:dyDescent="0.35">
      <c r="B5325" s="167"/>
    </row>
    <row r="5326" spans="2:2" ht="15.5" x14ac:dyDescent="0.35">
      <c r="B5326" s="167"/>
    </row>
    <row r="5327" spans="2:2" ht="15.5" x14ac:dyDescent="0.35">
      <c r="B5327" s="167"/>
    </row>
    <row r="5328" spans="2:2" ht="15.5" x14ac:dyDescent="0.35">
      <c r="B5328" s="167"/>
    </row>
    <row r="5329" spans="2:2" ht="15.5" x14ac:dyDescent="0.35">
      <c r="B5329" s="167"/>
    </row>
    <row r="5330" spans="2:2" ht="15.5" x14ac:dyDescent="0.35">
      <c r="B5330" s="167"/>
    </row>
    <row r="5331" spans="2:2" ht="15.5" x14ac:dyDescent="0.35">
      <c r="B5331" s="167"/>
    </row>
    <row r="5332" spans="2:2" ht="15.5" x14ac:dyDescent="0.35">
      <c r="B5332" s="167"/>
    </row>
    <row r="5333" spans="2:2" ht="15.5" x14ac:dyDescent="0.35">
      <c r="B5333" s="167"/>
    </row>
    <row r="5334" spans="2:2" ht="15.5" x14ac:dyDescent="0.35">
      <c r="B5334" s="167"/>
    </row>
    <row r="5335" spans="2:2" ht="15.5" x14ac:dyDescent="0.35">
      <c r="B5335" s="167"/>
    </row>
    <row r="5336" spans="2:2" ht="15.5" x14ac:dyDescent="0.35">
      <c r="B5336" s="167"/>
    </row>
    <row r="5337" spans="2:2" ht="15.5" x14ac:dyDescent="0.35">
      <c r="B5337" s="167"/>
    </row>
    <row r="5338" spans="2:2" ht="15.5" x14ac:dyDescent="0.35">
      <c r="B5338" s="167"/>
    </row>
    <row r="5339" spans="2:2" ht="15.5" x14ac:dyDescent="0.35">
      <c r="B5339" s="167"/>
    </row>
    <row r="5340" spans="2:2" ht="15.5" x14ac:dyDescent="0.35">
      <c r="B5340" s="167"/>
    </row>
    <row r="5341" spans="2:2" ht="15.5" x14ac:dyDescent="0.35">
      <c r="B5341" s="167"/>
    </row>
    <row r="5342" spans="2:2" ht="15.5" x14ac:dyDescent="0.35">
      <c r="B5342" s="167"/>
    </row>
    <row r="5343" spans="2:2" ht="15.5" x14ac:dyDescent="0.35">
      <c r="B5343" s="167"/>
    </row>
    <row r="5344" spans="2:2" ht="15.5" x14ac:dyDescent="0.35">
      <c r="B5344" s="167"/>
    </row>
    <row r="5345" spans="2:2" ht="15.5" x14ac:dyDescent="0.35">
      <c r="B5345" s="167"/>
    </row>
    <row r="5346" spans="2:2" ht="15.5" x14ac:dyDescent="0.35">
      <c r="B5346" s="167"/>
    </row>
    <row r="5347" spans="2:2" ht="15.5" x14ac:dyDescent="0.35">
      <c r="B5347" s="167"/>
    </row>
    <row r="5348" spans="2:2" ht="15.5" x14ac:dyDescent="0.35">
      <c r="B5348" s="167"/>
    </row>
    <row r="5349" spans="2:2" ht="15.5" x14ac:dyDescent="0.35">
      <c r="B5349" s="167"/>
    </row>
    <row r="5350" spans="2:2" ht="15.5" x14ac:dyDescent="0.35">
      <c r="B5350" s="167"/>
    </row>
    <row r="5351" spans="2:2" ht="15.5" x14ac:dyDescent="0.35">
      <c r="B5351" s="167"/>
    </row>
    <row r="5352" spans="2:2" ht="15.5" x14ac:dyDescent="0.35">
      <c r="B5352" s="167"/>
    </row>
    <row r="5353" spans="2:2" ht="15.5" x14ac:dyDescent="0.35">
      <c r="B5353" s="167"/>
    </row>
    <row r="5354" spans="2:2" ht="15.5" x14ac:dyDescent="0.35">
      <c r="B5354" s="167"/>
    </row>
    <row r="5355" spans="2:2" ht="15.5" x14ac:dyDescent="0.35">
      <c r="B5355" s="167"/>
    </row>
    <row r="5356" spans="2:2" ht="15.5" x14ac:dyDescent="0.35">
      <c r="B5356" s="167"/>
    </row>
    <row r="5357" spans="2:2" ht="15.5" x14ac:dyDescent="0.35">
      <c r="B5357" s="167"/>
    </row>
    <row r="5358" spans="2:2" ht="15.5" x14ac:dyDescent="0.35">
      <c r="B5358" s="167"/>
    </row>
    <row r="5359" spans="2:2" ht="15.5" x14ac:dyDescent="0.35">
      <c r="B5359" s="167"/>
    </row>
    <row r="5360" spans="2:2" ht="15.5" x14ac:dyDescent="0.35">
      <c r="B5360" s="167"/>
    </row>
    <row r="5361" spans="2:2" ht="15.5" x14ac:dyDescent="0.35">
      <c r="B5361" s="167"/>
    </row>
    <row r="5362" spans="2:2" ht="15.5" x14ac:dyDescent="0.35">
      <c r="B5362" s="167"/>
    </row>
    <row r="5363" spans="2:2" ht="15.5" x14ac:dyDescent="0.35">
      <c r="B5363" s="167"/>
    </row>
    <row r="5364" spans="2:2" ht="15.5" x14ac:dyDescent="0.35">
      <c r="B5364" s="167"/>
    </row>
    <row r="5365" spans="2:2" ht="15.5" x14ac:dyDescent="0.35">
      <c r="B5365" s="167"/>
    </row>
    <row r="5366" spans="2:2" ht="15.5" x14ac:dyDescent="0.35">
      <c r="B5366" s="167"/>
    </row>
    <row r="5367" spans="2:2" ht="15.5" x14ac:dyDescent="0.35">
      <c r="B5367" s="167"/>
    </row>
    <row r="5368" spans="2:2" ht="15.5" x14ac:dyDescent="0.35">
      <c r="B5368" s="167"/>
    </row>
    <row r="5369" spans="2:2" ht="15.5" x14ac:dyDescent="0.35">
      <c r="B5369" s="167"/>
    </row>
    <row r="5370" spans="2:2" ht="15.5" x14ac:dyDescent="0.35">
      <c r="B5370" s="167"/>
    </row>
    <row r="5371" spans="2:2" ht="15.5" x14ac:dyDescent="0.35">
      <c r="B5371" s="167"/>
    </row>
    <row r="5372" spans="2:2" ht="15.5" x14ac:dyDescent="0.35">
      <c r="B5372" s="167"/>
    </row>
    <row r="5373" spans="2:2" ht="15.5" x14ac:dyDescent="0.35">
      <c r="B5373" s="167"/>
    </row>
    <row r="5374" spans="2:2" ht="15.5" x14ac:dyDescent="0.35">
      <c r="B5374" s="167"/>
    </row>
    <row r="5375" spans="2:2" ht="15.5" x14ac:dyDescent="0.35">
      <c r="B5375" s="167"/>
    </row>
    <row r="5376" spans="2:2" ht="15.5" x14ac:dyDescent="0.35">
      <c r="B5376" s="167"/>
    </row>
    <row r="5377" spans="2:2" ht="15.5" x14ac:dyDescent="0.35">
      <c r="B5377" s="167"/>
    </row>
    <row r="5378" spans="2:2" ht="15.5" x14ac:dyDescent="0.35">
      <c r="B5378" s="167"/>
    </row>
    <row r="5379" spans="2:2" ht="15.5" x14ac:dyDescent="0.35">
      <c r="B5379" s="167"/>
    </row>
    <row r="5380" spans="2:2" ht="15.5" x14ac:dyDescent="0.35">
      <c r="B5380" s="167"/>
    </row>
    <row r="5381" spans="2:2" ht="15.5" x14ac:dyDescent="0.35">
      <c r="B5381" s="167"/>
    </row>
    <row r="5382" spans="2:2" ht="15.5" x14ac:dyDescent="0.35">
      <c r="B5382" s="167"/>
    </row>
    <row r="5383" spans="2:2" ht="15.5" x14ac:dyDescent="0.35">
      <c r="B5383" s="167"/>
    </row>
    <row r="5384" spans="2:2" ht="15.5" x14ac:dyDescent="0.35">
      <c r="B5384" s="167"/>
    </row>
    <row r="5385" spans="2:2" ht="15.5" x14ac:dyDescent="0.35">
      <c r="B5385" s="167"/>
    </row>
    <row r="5386" spans="2:2" ht="15.5" x14ac:dyDescent="0.35">
      <c r="B5386" s="167"/>
    </row>
    <row r="5387" spans="2:2" ht="15.5" x14ac:dyDescent="0.35">
      <c r="B5387" s="167"/>
    </row>
    <row r="5388" spans="2:2" ht="15.5" x14ac:dyDescent="0.35">
      <c r="B5388" s="167"/>
    </row>
    <row r="5389" spans="2:2" ht="15.5" x14ac:dyDescent="0.35">
      <c r="B5389" s="167"/>
    </row>
    <row r="5390" spans="2:2" ht="15.5" x14ac:dyDescent="0.35">
      <c r="B5390" s="167"/>
    </row>
    <row r="5391" spans="2:2" ht="15.5" x14ac:dyDescent="0.35">
      <c r="B5391" s="167"/>
    </row>
    <row r="5392" spans="2:2" ht="15.5" x14ac:dyDescent="0.35">
      <c r="B5392" s="167"/>
    </row>
    <row r="5393" spans="2:2" ht="15.5" x14ac:dyDescent="0.35">
      <c r="B5393" s="167"/>
    </row>
    <row r="5394" spans="2:2" ht="15.5" x14ac:dyDescent="0.35">
      <c r="B5394" s="167"/>
    </row>
    <row r="5395" spans="2:2" ht="15.5" x14ac:dyDescent="0.35">
      <c r="B5395" s="167"/>
    </row>
    <row r="5396" spans="2:2" ht="15.5" x14ac:dyDescent="0.35">
      <c r="B5396" s="167"/>
    </row>
    <row r="5397" spans="2:2" ht="15.5" x14ac:dyDescent="0.35">
      <c r="B5397" s="167"/>
    </row>
    <row r="5398" spans="2:2" ht="15.5" x14ac:dyDescent="0.35">
      <c r="B5398" s="167"/>
    </row>
    <row r="5399" spans="2:2" ht="15.5" x14ac:dyDescent="0.35">
      <c r="B5399" s="167"/>
    </row>
    <row r="5400" spans="2:2" ht="15.5" x14ac:dyDescent="0.35">
      <c r="B5400" s="167"/>
    </row>
    <row r="5401" spans="2:2" ht="15.5" x14ac:dyDescent="0.35">
      <c r="B5401" s="167"/>
    </row>
    <row r="5402" spans="2:2" ht="15.5" x14ac:dyDescent="0.35">
      <c r="B5402" s="167"/>
    </row>
    <row r="5403" spans="2:2" ht="15.5" x14ac:dyDescent="0.35">
      <c r="B5403" s="167"/>
    </row>
    <row r="5404" spans="2:2" ht="15.5" x14ac:dyDescent="0.35">
      <c r="B5404" s="167"/>
    </row>
    <row r="5405" spans="2:2" ht="15.5" x14ac:dyDescent="0.35">
      <c r="B5405" s="167"/>
    </row>
    <row r="5406" spans="2:2" ht="15.5" x14ac:dyDescent="0.35">
      <c r="B5406" s="167"/>
    </row>
    <row r="5407" spans="2:2" ht="15.5" x14ac:dyDescent="0.35">
      <c r="B5407" s="167"/>
    </row>
    <row r="5408" spans="2:2" ht="15.5" x14ac:dyDescent="0.35">
      <c r="B5408" s="167"/>
    </row>
    <row r="5409" spans="2:2" ht="15.5" x14ac:dyDescent="0.35">
      <c r="B5409" s="167"/>
    </row>
    <row r="5410" spans="2:2" ht="15.5" x14ac:dyDescent="0.35">
      <c r="B5410" s="167"/>
    </row>
    <row r="5411" spans="2:2" ht="15.5" x14ac:dyDescent="0.35">
      <c r="B5411" s="167"/>
    </row>
    <row r="5412" spans="2:2" ht="15.5" x14ac:dyDescent="0.35">
      <c r="B5412" s="167"/>
    </row>
    <row r="5413" spans="2:2" ht="15.5" x14ac:dyDescent="0.35">
      <c r="B5413" s="167"/>
    </row>
    <row r="5414" spans="2:2" ht="15.5" x14ac:dyDescent="0.35">
      <c r="B5414" s="167"/>
    </row>
    <row r="5415" spans="2:2" ht="15.5" x14ac:dyDescent="0.35">
      <c r="B5415" s="167"/>
    </row>
    <row r="5416" spans="2:2" ht="15.5" x14ac:dyDescent="0.35">
      <c r="B5416" s="167"/>
    </row>
    <row r="5417" spans="2:2" ht="15.5" x14ac:dyDescent="0.35">
      <c r="B5417" s="167"/>
    </row>
    <row r="5418" spans="2:2" ht="15.5" x14ac:dyDescent="0.35">
      <c r="B5418" s="167"/>
    </row>
    <row r="5419" spans="2:2" ht="15.5" x14ac:dyDescent="0.35">
      <c r="B5419" s="167"/>
    </row>
    <row r="5420" spans="2:2" ht="15.5" x14ac:dyDescent="0.35">
      <c r="B5420" s="167"/>
    </row>
    <row r="5421" spans="2:2" ht="15.5" x14ac:dyDescent="0.35">
      <c r="B5421" s="167"/>
    </row>
    <row r="5422" spans="2:2" ht="15.5" x14ac:dyDescent="0.35">
      <c r="B5422" s="167"/>
    </row>
    <row r="5423" spans="2:2" ht="15.5" x14ac:dyDescent="0.35">
      <c r="B5423" s="167"/>
    </row>
    <row r="5424" spans="2:2" ht="15.5" x14ac:dyDescent="0.35">
      <c r="B5424" s="167"/>
    </row>
    <row r="5425" spans="2:2" ht="15.5" x14ac:dyDescent="0.35">
      <c r="B5425" s="167"/>
    </row>
    <row r="5426" spans="2:2" ht="15.5" x14ac:dyDescent="0.35">
      <c r="B5426" s="167"/>
    </row>
    <row r="5427" spans="2:2" ht="15.5" x14ac:dyDescent="0.35">
      <c r="B5427" s="167"/>
    </row>
    <row r="5428" spans="2:2" ht="15.5" x14ac:dyDescent="0.35">
      <c r="B5428" s="167"/>
    </row>
    <row r="5429" spans="2:2" ht="15.5" x14ac:dyDescent="0.35">
      <c r="B5429" s="167"/>
    </row>
    <row r="5430" spans="2:2" ht="15.5" x14ac:dyDescent="0.35">
      <c r="B5430" s="167"/>
    </row>
    <row r="5431" spans="2:2" ht="15.5" x14ac:dyDescent="0.35">
      <c r="B5431" s="167"/>
    </row>
    <row r="5432" spans="2:2" ht="15.5" x14ac:dyDescent="0.35">
      <c r="B5432" s="167"/>
    </row>
    <row r="5433" spans="2:2" ht="15.5" x14ac:dyDescent="0.35">
      <c r="B5433" s="167"/>
    </row>
    <row r="5434" spans="2:2" ht="15.5" x14ac:dyDescent="0.35">
      <c r="B5434" s="167"/>
    </row>
    <row r="5435" spans="2:2" ht="15.5" x14ac:dyDescent="0.35">
      <c r="B5435" s="167"/>
    </row>
    <row r="5436" spans="2:2" ht="15.5" x14ac:dyDescent="0.35">
      <c r="B5436" s="167"/>
    </row>
    <row r="5437" spans="2:2" ht="15.5" x14ac:dyDescent="0.35">
      <c r="B5437" s="167"/>
    </row>
    <row r="5438" spans="2:2" ht="15.5" x14ac:dyDescent="0.35">
      <c r="B5438" s="167"/>
    </row>
    <row r="5439" spans="2:2" ht="15.5" x14ac:dyDescent="0.35">
      <c r="B5439" s="167"/>
    </row>
    <row r="5440" spans="2:2" ht="15.5" x14ac:dyDescent="0.35">
      <c r="B5440" s="167"/>
    </row>
    <row r="5441" spans="2:2" ht="15.5" x14ac:dyDescent="0.35">
      <c r="B5441" s="167"/>
    </row>
    <row r="5442" spans="2:2" ht="15.5" x14ac:dyDescent="0.35">
      <c r="B5442" s="167"/>
    </row>
    <row r="5443" spans="2:2" ht="15.5" x14ac:dyDescent="0.35">
      <c r="B5443" s="167"/>
    </row>
    <row r="5444" spans="2:2" ht="15.5" x14ac:dyDescent="0.35">
      <c r="B5444" s="167"/>
    </row>
    <row r="5445" spans="2:2" ht="15.5" x14ac:dyDescent="0.35">
      <c r="B5445" s="167"/>
    </row>
    <row r="5446" spans="2:2" ht="15.5" x14ac:dyDescent="0.35">
      <c r="B5446" s="167"/>
    </row>
    <row r="5447" spans="2:2" ht="15.5" x14ac:dyDescent="0.35">
      <c r="B5447" s="167"/>
    </row>
    <row r="5448" spans="2:2" ht="15.5" x14ac:dyDescent="0.35">
      <c r="B5448" s="167"/>
    </row>
    <row r="5449" spans="2:2" ht="15.5" x14ac:dyDescent="0.35">
      <c r="B5449" s="167"/>
    </row>
    <row r="5450" spans="2:2" ht="15.5" x14ac:dyDescent="0.35">
      <c r="B5450" s="167"/>
    </row>
    <row r="5451" spans="2:2" ht="15.5" x14ac:dyDescent="0.35">
      <c r="B5451" s="167"/>
    </row>
    <row r="5452" spans="2:2" ht="15.5" x14ac:dyDescent="0.35">
      <c r="B5452" s="167"/>
    </row>
    <row r="5453" spans="2:2" ht="15.5" x14ac:dyDescent="0.35">
      <c r="B5453" s="167"/>
    </row>
    <row r="5454" spans="2:2" ht="15.5" x14ac:dyDescent="0.35">
      <c r="B5454" s="167"/>
    </row>
    <row r="5455" spans="2:2" ht="15.5" x14ac:dyDescent="0.35">
      <c r="B5455" s="167"/>
    </row>
    <row r="5456" spans="2:2" ht="15.5" x14ac:dyDescent="0.35">
      <c r="B5456" s="167"/>
    </row>
    <row r="5457" spans="2:2" ht="15.5" x14ac:dyDescent="0.35">
      <c r="B5457" s="167"/>
    </row>
    <row r="5458" spans="2:2" ht="15.5" x14ac:dyDescent="0.35">
      <c r="B5458" s="167"/>
    </row>
    <row r="5459" spans="2:2" ht="15.5" x14ac:dyDescent="0.35">
      <c r="B5459" s="167"/>
    </row>
    <row r="5460" spans="2:2" ht="15.5" x14ac:dyDescent="0.35">
      <c r="B5460" s="167"/>
    </row>
    <row r="5461" spans="2:2" ht="15.5" x14ac:dyDescent="0.35">
      <c r="B5461" s="167"/>
    </row>
    <row r="5462" spans="2:2" ht="15.5" x14ac:dyDescent="0.35">
      <c r="B5462" s="167"/>
    </row>
    <row r="5463" spans="2:2" ht="15.5" x14ac:dyDescent="0.35">
      <c r="B5463" s="167"/>
    </row>
    <row r="5464" spans="2:2" ht="15.5" x14ac:dyDescent="0.35">
      <c r="B5464" s="167"/>
    </row>
    <row r="5465" spans="2:2" ht="15.5" x14ac:dyDescent="0.35">
      <c r="B5465" s="167"/>
    </row>
    <row r="5466" spans="2:2" ht="15.5" x14ac:dyDescent="0.35">
      <c r="B5466" s="167"/>
    </row>
    <row r="5467" spans="2:2" ht="15.5" x14ac:dyDescent="0.35">
      <c r="B5467" s="167"/>
    </row>
    <row r="5468" spans="2:2" ht="15.5" x14ac:dyDescent="0.35">
      <c r="B5468" s="167"/>
    </row>
    <row r="5469" spans="2:2" ht="15.5" x14ac:dyDescent="0.35">
      <c r="B5469" s="167"/>
    </row>
    <row r="5470" spans="2:2" ht="15.5" x14ac:dyDescent="0.35">
      <c r="B5470" s="167"/>
    </row>
    <row r="5471" spans="2:2" ht="15.5" x14ac:dyDescent="0.35">
      <c r="B5471" s="167"/>
    </row>
    <row r="5472" spans="2:2" ht="15.5" x14ac:dyDescent="0.35">
      <c r="B5472" s="167"/>
    </row>
    <row r="5473" spans="2:2" ht="15.5" x14ac:dyDescent="0.35">
      <c r="B5473" s="167"/>
    </row>
    <row r="5474" spans="2:2" ht="15.5" x14ac:dyDescent="0.35">
      <c r="B5474" s="167"/>
    </row>
    <row r="5475" spans="2:2" ht="15.5" x14ac:dyDescent="0.35">
      <c r="B5475" s="167"/>
    </row>
    <row r="5476" spans="2:2" ht="15.5" x14ac:dyDescent="0.35">
      <c r="B5476" s="167"/>
    </row>
    <row r="5477" spans="2:2" ht="15.5" x14ac:dyDescent="0.35">
      <c r="B5477" s="167"/>
    </row>
    <row r="5478" spans="2:2" ht="15.5" x14ac:dyDescent="0.35">
      <c r="B5478" s="167"/>
    </row>
    <row r="5479" spans="2:2" ht="15.5" x14ac:dyDescent="0.35">
      <c r="B5479" s="167"/>
    </row>
    <row r="5480" spans="2:2" ht="15.5" x14ac:dyDescent="0.35">
      <c r="B5480" s="167"/>
    </row>
    <row r="5481" spans="2:2" ht="15.5" x14ac:dyDescent="0.35">
      <c r="B5481" s="167"/>
    </row>
    <row r="5482" spans="2:2" ht="15.5" x14ac:dyDescent="0.35">
      <c r="B5482" s="167"/>
    </row>
    <row r="5483" spans="2:2" ht="15.5" x14ac:dyDescent="0.35">
      <c r="B5483" s="167"/>
    </row>
    <row r="5484" spans="2:2" ht="15.5" x14ac:dyDescent="0.35">
      <c r="B5484" s="167"/>
    </row>
    <row r="5485" spans="2:2" ht="15.5" x14ac:dyDescent="0.35">
      <c r="B5485" s="167"/>
    </row>
    <row r="5486" spans="2:2" ht="15.5" x14ac:dyDescent="0.35">
      <c r="B5486" s="167"/>
    </row>
    <row r="5487" spans="2:2" ht="15.5" x14ac:dyDescent="0.35">
      <c r="B5487" s="167"/>
    </row>
    <row r="5488" spans="2:2" ht="15.5" x14ac:dyDescent="0.35">
      <c r="B5488" s="167"/>
    </row>
    <row r="5489" spans="2:2" ht="15.5" x14ac:dyDescent="0.35">
      <c r="B5489" s="167"/>
    </row>
    <row r="5490" spans="2:2" ht="15.5" x14ac:dyDescent="0.35">
      <c r="B5490" s="167"/>
    </row>
    <row r="5491" spans="2:2" ht="15.5" x14ac:dyDescent="0.35">
      <c r="B5491" s="167"/>
    </row>
    <row r="5492" spans="2:2" ht="15.5" x14ac:dyDescent="0.35">
      <c r="B5492" s="167"/>
    </row>
    <row r="5493" spans="2:2" ht="15.5" x14ac:dyDescent="0.35">
      <c r="B5493" s="167"/>
    </row>
    <row r="5494" spans="2:2" ht="15.5" x14ac:dyDescent="0.35">
      <c r="B5494" s="167"/>
    </row>
    <row r="5495" spans="2:2" ht="15.5" x14ac:dyDescent="0.35">
      <c r="B5495" s="167"/>
    </row>
    <row r="5496" spans="2:2" ht="15.5" x14ac:dyDescent="0.35">
      <c r="B5496" s="167"/>
    </row>
    <row r="5497" spans="2:2" ht="15.5" x14ac:dyDescent="0.35">
      <c r="B5497" s="167"/>
    </row>
    <row r="5498" spans="2:2" ht="15.5" x14ac:dyDescent="0.35">
      <c r="B5498" s="167"/>
    </row>
    <row r="5499" spans="2:2" ht="15.5" x14ac:dyDescent="0.35">
      <c r="B5499" s="167"/>
    </row>
    <row r="5500" spans="2:2" ht="15.5" x14ac:dyDescent="0.35">
      <c r="B5500" s="167"/>
    </row>
    <row r="5501" spans="2:2" ht="15.5" x14ac:dyDescent="0.35">
      <c r="B5501" s="167"/>
    </row>
    <row r="5502" spans="2:2" ht="15.5" x14ac:dyDescent="0.35">
      <c r="B5502" s="167"/>
    </row>
    <row r="5503" spans="2:2" ht="15.5" x14ac:dyDescent="0.35">
      <c r="B5503" s="167"/>
    </row>
    <row r="5504" spans="2:2" ht="15.5" x14ac:dyDescent="0.35">
      <c r="B5504" s="167"/>
    </row>
    <row r="5505" spans="2:2" ht="15.5" x14ac:dyDescent="0.35">
      <c r="B5505" s="167"/>
    </row>
    <row r="5506" spans="2:2" ht="15.5" x14ac:dyDescent="0.35">
      <c r="B5506" s="167"/>
    </row>
    <row r="5507" spans="2:2" ht="15.5" x14ac:dyDescent="0.35">
      <c r="B5507" s="167"/>
    </row>
    <row r="5508" spans="2:2" ht="15.5" x14ac:dyDescent="0.35">
      <c r="B5508" s="167"/>
    </row>
    <row r="5509" spans="2:2" ht="15.5" x14ac:dyDescent="0.35">
      <c r="B5509" s="167"/>
    </row>
    <row r="5510" spans="2:2" ht="15.5" x14ac:dyDescent="0.35">
      <c r="B5510" s="167"/>
    </row>
    <row r="5511" spans="2:2" ht="15.5" x14ac:dyDescent="0.35">
      <c r="B5511" s="167"/>
    </row>
    <row r="5512" spans="2:2" ht="15.5" x14ac:dyDescent="0.35">
      <c r="B5512" s="167"/>
    </row>
    <row r="5513" spans="2:2" ht="15.5" x14ac:dyDescent="0.35">
      <c r="B5513" s="167"/>
    </row>
    <row r="5514" spans="2:2" ht="15.5" x14ac:dyDescent="0.35">
      <c r="B5514" s="167"/>
    </row>
    <row r="5515" spans="2:2" ht="15.5" x14ac:dyDescent="0.35">
      <c r="B5515" s="167"/>
    </row>
    <row r="5516" spans="2:2" ht="15.5" x14ac:dyDescent="0.35">
      <c r="B5516" s="167"/>
    </row>
    <row r="5517" spans="2:2" ht="15.5" x14ac:dyDescent="0.35">
      <c r="B5517" s="167"/>
    </row>
    <row r="5518" spans="2:2" ht="15.5" x14ac:dyDescent="0.35">
      <c r="B5518" s="167"/>
    </row>
    <row r="5519" spans="2:2" ht="15.5" x14ac:dyDescent="0.35">
      <c r="B5519" s="167"/>
    </row>
    <row r="5520" spans="2:2" ht="15.5" x14ac:dyDescent="0.35">
      <c r="B5520" s="167"/>
    </row>
    <row r="5521" spans="2:2" ht="15.5" x14ac:dyDescent="0.35">
      <c r="B5521" s="167"/>
    </row>
    <row r="5522" spans="2:2" ht="15.5" x14ac:dyDescent="0.35">
      <c r="B5522" s="167"/>
    </row>
    <row r="5523" spans="2:2" ht="15.5" x14ac:dyDescent="0.35">
      <c r="B5523" s="167"/>
    </row>
    <row r="5524" spans="2:2" ht="15.5" x14ac:dyDescent="0.35">
      <c r="B5524" s="167"/>
    </row>
    <row r="5525" spans="2:2" ht="15.5" x14ac:dyDescent="0.35">
      <c r="B5525" s="167"/>
    </row>
    <row r="5526" spans="2:2" ht="15.5" x14ac:dyDescent="0.35">
      <c r="B5526" s="167"/>
    </row>
    <row r="5527" spans="2:2" ht="15.5" x14ac:dyDescent="0.35">
      <c r="B5527" s="167"/>
    </row>
    <row r="5528" spans="2:2" ht="15.5" x14ac:dyDescent="0.35">
      <c r="B5528" s="167"/>
    </row>
    <row r="5529" spans="2:2" ht="15.5" x14ac:dyDescent="0.35">
      <c r="B5529" s="167"/>
    </row>
    <row r="5530" spans="2:2" ht="15.5" x14ac:dyDescent="0.35">
      <c r="B5530" s="167"/>
    </row>
    <row r="5531" spans="2:2" ht="15.5" x14ac:dyDescent="0.35">
      <c r="B5531" s="167"/>
    </row>
    <row r="5532" spans="2:2" ht="15.5" x14ac:dyDescent="0.35">
      <c r="B5532" s="167"/>
    </row>
    <row r="5533" spans="2:2" ht="15.5" x14ac:dyDescent="0.35">
      <c r="B5533" s="167"/>
    </row>
    <row r="5534" spans="2:2" ht="15.5" x14ac:dyDescent="0.35">
      <c r="B5534" s="167"/>
    </row>
    <row r="5535" spans="2:2" ht="15.5" x14ac:dyDescent="0.35">
      <c r="B5535" s="167"/>
    </row>
    <row r="5536" spans="2:2" ht="15.5" x14ac:dyDescent="0.35">
      <c r="B5536" s="167"/>
    </row>
    <row r="5537" spans="2:2" ht="15.5" x14ac:dyDescent="0.35">
      <c r="B5537" s="167"/>
    </row>
    <row r="5538" spans="2:2" ht="15.5" x14ac:dyDescent="0.35">
      <c r="B5538" s="167"/>
    </row>
    <row r="5539" spans="2:2" ht="15.5" x14ac:dyDescent="0.35">
      <c r="B5539" s="167"/>
    </row>
    <row r="5540" spans="2:2" ht="15.5" x14ac:dyDescent="0.35">
      <c r="B5540" s="167"/>
    </row>
    <row r="5541" spans="2:2" ht="15.5" x14ac:dyDescent="0.35">
      <c r="B5541" s="167"/>
    </row>
    <row r="5542" spans="2:2" ht="15.5" x14ac:dyDescent="0.35">
      <c r="B5542" s="167"/>
    </row>
    <row r="5543" spans="2:2" ht="15.5" x14ac:dyDescent="0.35">
      <c r="B5543" s="167"/>
    </row>
    <row r="5544" spans="2:2" ht="15.5" x14ac:dyDescent="0.35">
      <c r="B5544" s="167"/>
    </row>
    <row r="5545" spans="2:2" ht="15.5" x14ac:dyDescent="0.35">
      <c r="B5545" s="167"/>
    </row>
    <row r="5546" spans="2:2" ht="15.5" x14ac:dyDescent="0.35">
      <c r="B5546" s="167"/>
    </row>
    <row r="5547" spans="2:2" ht="15.5" x14ac:dyDescent="0.35">
      <c r="B5547" s="167"/>
    </row>
    <row r="5548" spans="2:2" ht="15.5" x14ac:dyDescent="0.35">
      <c r="B5548" s="167"/>
    </row>
    <row r="5549" spans="2:2" ht="15.5" x14ac:dyDescent="0.35">
      <c r="B5549" s="167"/>
    </row>
    <row r="5550" spans="2:2" ht="15.5" x14ac:dyDescent="0.35">
      <c r="B5550" s="167"/>
    </row>
    <row r="5551" spans="2:2" ht="15.5" x14ac:dyDescent="0.35">
      <c r="B5551" s="167"/>
    </row>
    <row r="5552" spans="2:2" ht="15.5" x14ac:dyDescent="0.35">
      <c r="B5552" s="167"/>
    </row>
    <row r="5553" spans="2:2" ht="15.5" x14ac:dyDescent="0.35">
      <c r="B5553" s="167"/>
    </row>
    <row r="5554" spans="2:2" ht="15.5" x14ac:dyDescent="0.35">
      <c r="B5554" s="167"/>
    </row>
    <row r="5555" spans="2:2" ht="15.5" x14ac:dyDescent="0.35">
      <c r="B5555" s="167"/>
    </row>
    <row r="5556" spans="2:2" ht="15.5" x14ac:dyDescent="0.35">
      <c r="B5556" s="167"/>
    </row>
    <row r="5557" spans="2:2" ht="15.5" x14ac:dyDescent="0.35">
      <c r="B5557" s="167"/>
    </row>
    <row r="5558" spans="2:2" ht="15.5" x14ac:dyDescent="0.35">
      <c r="B5558" s="167"/>
    </row>
    <row r="5559" spans="2:2" ht="15.5" x14ac:dyDescent="0.35">
      <c r="B5559" s="167"/>
    </row>
    <row r="5560" spans="2:2" ht="15.5" x14ac:dyDescent="0.35">
      <c r="B5560" s="167"/>
    </row>
    <row r="5561" spans="2:2" ht="15.5" x14ac:dyDescent="0.35">
      <c r="B5561" s="167"/>
    </row>
    <row r="5562" spans="2:2" ht="15.5" x14ac:dyDescent="0.35">
      <c r="B5562" s="167"/>
    </row>
    <row r="5563" spans="2:2" ht="15.5" x14ac:dyDescent="0.35">
      <c r="B5563" s="167"/>
    </row>
    <row r="5564" spans="2:2" ht="15.5" x14ac:dyDescent="0.35">
      <c r="B5564" s="167"/>
    </row>
    <row r="5565" spans="2:2" ht="15.5" x14ac:dyDescent="0.35">
      <c r="B5565" s="167"/>
    </row>
    <row r="5566" spans="2:2" ht="15.5" x14ac:dyDescent="0.35">
      <c r="B5566" s="167"/>
    </row>
    <row r="5567" spans="2:2" ht="15.5" x14ac:dyDescent="0.35">
      <c r="B5567" s="167"/>
    </row>
    <row r="5568" spans="2:2" ht="15.5" x14ac:dyDescent="0.35">
      <c r="B5568" s="167"/>
    </row>
    <row r="5569" spans="2:2" ht="15.5" x14ac:dyDescent="0.35">
      <c r="B5569" s="167"/>
    </row>
    <row r="5570" spans="2:2" ht="15.5" x14ac:dyDescent="0.35">
      <c r="B5570" s="167"/>
    </row>
    <row r="5571" spans="2:2" ht="15.5" x14ac:dyDescent="0.35">
      <c r="B5571" s="167"/>
    </row>
    <row r="5572" spans="2:2" ht="15.5" x14ac:dyDescent="0.35">
      <c r="B5572" s="167"/>
    </row>
    <row r="5573" spans="2:2" ht="15.5" x14ac:dyDescent="0.35">
      <c r="B5573" s="167"/>
    </row>
    <row r="5574" spans="2:2" ht="15.5" x14ac:dyDescent="0.35">
      <c r="B5574" s="167"/>
    </row>
    <row r="5575" spans="2:2" ht="15.5" x14ac:dyDescent="0.35">
      <c r="B5575" s="167"/>
    </row>
    <row r="5576" spans="2:2" ht="15.5" x14ac:dyDescent="0.35">
      <c r="B5576" s="167"/>
    </row>
    <row r="5577" spans="2:2" ht="15.5" x14ac:dyDescent="0.35">
      <c r="B5577" s="167"/>
    </row>
    <row r="5578" spans="2:2" ht="15.5" x14ac:dyDescent="0.35">
      <c r="B5578" s="167"/>
    </row>
    <row r="5579" spans="2:2" ht="15.5" x14ac:dyDescent="0.35">
      <c r="B5579" s="167"/>
    </row>
    <row r="5580" spans="2:2" ht="15.5" x14ac:dyDescent="0.35">
      <c r="B5580" s="167"/>
    </row>
    <row r="5581" spans="2:2" ht="15.5" x14ac:dyDescent="0.35">
      <c r="B5581" s="167"/>
    </row>
    <row r="5582" spans="2:2" ht="15.5" x14ac:dyDescent="0.35">
      <c r="B5582" s="167"/>
    </row>
    <row r="5583" spans="2:2" ht="15.5" x14ac:dyDescent="0.35">
      <c r="B5583" s="167"/>
    </row>
    <row r="5584" spans="2:2" ht="15.5" x14ac:dyDescent="0.35">
      <c r="B5584" s="167"/>
    </row>
    <row r="5585" spans="2:2" ht="15.5" x14ac:dyDescent="0.35">
      <c r="B5585" s="167"/>
    </row>
    <row r="5586" spans="2:2" ht="15.5" x14ac:dyDescent="0.35">
      <c r="B5586" s="167"/>
    </row>
    <row r="5587" spans="2:2" ht="15.5" x14ac:dyDescent="0.35">
      <c r="B5587" s="167"/>
    </row>
    <row r="5588" spans="2:2" ht="15.5" x14ac:dyDescent="0.35">
      <c r="B5588" s="167"/>
    </row>
    <row r="5589" spans="2:2" ht="15.5" x14ac:dyDescent="0.35">
      <c r="B5589" s="167"/>
    </row>
    <row r="5590" spans="2:2" ht="15.5" x14ac:dyDescent="0.35">
      <c r="B5590" s="167"/>
    </row>
    <row r="5591" spans="2:2" ht="15.5" x14ac:dyDescent="0.35">
      <c r="B5591" s="167"/>
    </row>
    <row r="5592" spans="2:2" ht="15.5" x14ac:dyDescent="0.35">
      <c r="B5592" s="167"/>
    </row>
    <row r="5593" spans="2:2" ht="15.5" x14ac:dyDescent="0.35">
      <c r="B5593" s="167"/>
    </row>
    <row r="5594" spans="2:2" ht="15.5" x14ac:dyDescent="0.35">
      <c r="B5594" s="167"/>
    </row>
    <row r="5595" spans="2:2" ht="15.5" x14ac:dyDescent="0.35">
      <c r="B5595" s="167"/>
    </row>
    <row r="5596" spans="2:2" ht="15.5" x14ac:dyDescent="0.35">
      <c r="B5596" s="167"/>
    </row>
    <row r="5597" spans="2:2" ht="15.5" x14ac:dyDescent="0.35">
      <c r="B5597" s="167"/>
    </row>
    <row r="5598" spans="2:2" ht="15.5" x14ac:dyDescent="0.35">
      <c r="B5598" s="167"/>
    </row>
    <row r="5599" spans="2:2" ht="15.5" x14ac:dyDescent="0.35">
      <c r="B5599" s="167"/>
    </row>
    <row r="5600" spans="2:2" ht="15.5" x14ac:dyDescent="0.35">
      <c r="B5600" s="167"/>
    </row>
    <row r="5601" spans="2:2" ht="15.5" x14ac:dyDescent="0.35">
      <c r="B5601" s="167"/>
    </row>
    <row r="5602" spans="2:2" ht="15.5" x14ac:dyDescent="0.35">
      <c r="B5602" s="167"/>
    </row>
    <row r="5603" spans="2:2" ht="15.5" x14ac:dyDescent="0.35">
      <c r="B5603" s="167"/>
    </row>
    <row r="5604" spans="2:2" ht="15.5" x14ac:dyDescent="0.35">
      <c r="B5604" s="167"/>
    </row>
    <row r="5605" spans="2:2" ht="15.5" x14ac:dyDescent="0.35">
      <c r="B5605" s="167"/>
    </row>
    <row r="5606" spans="2:2" ht="15.5" x14ac:dyDescent="0.35">
      <c r="B5606" s="167"/>
    </row>
    <row r="5607" spans="2:2" ht="15.5" x14ac:dyDescent="0.35">
      <c r="B5607" s="167"/>
    </row>
    <row r="5608" spans="2:2" ht="15.5" x14ac:dyDescent="0.35">
      <c r="B5608" s="167"/>
    </row>
    <row r="5609" spans="2:2" ht="15.5" x14ac:dyDescent="0.35">
      <c r="B5609" s="167"/>
    </row>
    <row r="5610" spans="2:2" ht="15.5" x14ac:dyDescent="0.35">
      <c r="B5610" s="167"/>
    </row>
    <row r="5611" spans="2:2" ht="15.5" x14ac:dyDescent="0.35">
      <c r="B5611" s="167"/>
    </row>
    <row r="5612" spans="2:2" ht="15.5" x14ac:dyDescent="0.35">
      <c r="B5612" s="167"/>
    </row>
    <row r="5613" spans="2:2" ht="15.5" x14ac:dyDescent="0.35">
      <c r="B5613" s="167"/>
    </row>
    <row r="5614" spans="2:2" ht="15.5" x14ac:dyDescent="0.35">
      <c r="B5614" s="167"/>
    </row>
    <row r="5615" spans="2:2" ht="15.5" x14ac:dyDescent="0.35">
      <c r="B5615" s="167"/>
    </row>
    <row r="5616" spans="2:2" ht="15.5" x14ac:dyDescent="0.35">
      <c r="B5616" s="167"/>
    </row>
    <row r="5617" spans="2:2" ht="15.5" x14ac:dyDescent="0.35">
      <c r="B5617" s="167"/>
    </row>
    <row r="5618" spans="2:2" ht="15.5" x14ac:dyDescent="0.35">
      <c r="B5618" s="167"/>
    </row>
    <row r="5619" spans="2:2" ht="15.5" x14ac:dyDescent="0.35">
      <c r="B5619" s="167"/>
    </row>
    <row r="5620" spans="2:2" ht="15.5" x14ac:dyDescent="0.35">
      <c r="B5620" s="167"/>
    </row>
    <row r="5621" spans="2:2" ht="15.5" x14ac:dyDescent="0.35">
      <c r="B5621" s="167"/>
    </row>
    <row r="5622" spans="2:2" ht="15.5" x14ac:dyDescent="0.35">
      <c r="B5622" s="167"/>
    </row>
    <row r="5623" spans="2:2" ht="15.5" x14ac:dyDescent="0.35">
      <c r="B5623" s="167"/>
    </row>
    <row r="5624" spans="2:2" ht="15.5" x14ac:dyDescent="0.35">
      <c r="B5624" s="167"/>
    </row>
    <row r="5625" spans="2:2" ht="15.5" x14ac:dyDescent="0.35">
      <c r="B5625" s="167"/>
    </row>
    <row r="5626" spans="2:2" ht="15.5" x14ac:dyDescent="0.35">
      <c r="B5626" s="167"/>
    </row>
    <row r="5627" spans="2:2" ht="15.5" x14ac:dyDescent="0.35">
      <c r="B5627" s="167"/>
    </row>
    <row r="5628" spans="2:2" ht="15.5" x14ac:dyDescent="0.35">
      <c r="B5628" s="167"/>
    </row>
    <row r="5629" spans="2:2" ht="15.5" x14ac:dyDescent="0.35">
      <c r="B5629" s="167"/>
    </row>
    <row r="5630" spans="2:2" ht="15.5" x14ac:dyDescent="0.35">
      <c r="B5630" s="167"/>
    </row>
    <row r="5631" spans="2:2" ht="15.5" x14ac:dyDescent="0.35">
      <c r="B5631" s="167"/>
    </row>
    <row r="5632" spans="2:2" ht="15.5" x14ac:dyDescent="0.35">
      <c r="B5632" s="167"/>
    </row>
    <row r="5633" spans="2:2" ht="15.5" x14ac:dyDescent="0.35">
      <c r="B5633" s="167"/>
    </row>
    <row r="5634" spans="2:2" ht="15.5" x14ac:dyDescent="0.35">
      <c r="B5634" s="167"/>
    </row>
    <row r="5635" spans="2:2" ht="15.5" x14ac:dyDescent="0.35">
      <c r="B5635" s="167"/>
    </row>
    <row r="5636" spans="2:2" ht="15.5" x14ac:dyDescent="0.35">
      <c r="B5636" s="167"/>
    </row>
    <row r="5637" spans="2:2" ht="15.5" x14ac:dyDescent="0.35">
      <c r="B5637" s="167"/>
    </row>
    <row r="5638" spans="2:2" ht="15.5" x14ac:dyDescent="0.35">
      <c r="B5638" s="167"/>
    </row>
    <row r="5639" spans="2:2" ht="15.5" x14ac:dyDescent="0.35">
      <c r="B5639" s="167"/>
    </row>
    <row r="5640" spans="2:2" ht="15.5" x14ac:dyDescent="0.35">
      <c r="B5640" s="167"/>
    </row>
    <row r="5641" spans="2:2" ht="15.5" x14ac:dyDescent="0.35">
      <c r="B5641" s="167"/>
    </row>
    <row r="5642" spans="2:2" ht="15.5" x14ac:dyDescent="0.35">
      <c r="B5642" s="167"/>
    </row>
    <row r="5643" spans="2:2" ht="15.5" x14ac:dyDescent="0.35">
      <c r="B5643" s="167"/>
    </row>
    <row r="5644" spans="2:2" ht="15.5" x14ac:dyDescent="0.35">
      <c r="B5644" s="167"/>
    </row>
    <row r="5645" spans="2:2" ht="15.5" x14ac:dyDescent="0.35">
      <c r="B5645" s="167"/>
    </row>
    <row r="5646" spans="2:2" ht="15.5" x14ac:dyDescent="0.35">
      <c r="B5646" s="167"/>
    </row>
    <row r="5647" spans="2:2" ht="15.5" x14ac:dyDescent="0.35">
      <c r="B5647" s="167"/>
    </row>
    <row r="5648" spans="2:2" ht="15.5" x14ac:dyDescent="0.35">
      <c r="B5648" s="167"/>
    </row>
    <row r="5649" spans="2:2" ht="15.5" x14ac:dyDescent="0.35">
      <c r="B5649" s="167"/>
    </row>
    <row r="5650" spans="2:2" ht="15.5" x14ac:dyDescent="0.35">
      <c r="B5650" s="167"/>
    </row>
    <row r="5651" spans="2:2" ht="15.5" x14ac:dyDescent="0.35">
      <c r="B5651" s="167"/>
    </row>
    <row r="5652" spans="2:2" ht="15.5" x14ac:dyDescent="0.35">
      <c r="B5652" s="167"/>
    </row>
    <row r="5653" spans="2:2" ht="15.5" x14ac:dyDescent="0.35">
      <c r="B5653" s="167"/>
    </row>
    <row r="5654" spans="2:2" ht="15.5" x14ac:dyDescent="0.35">
      <c r="B5654" s="167"/>
    </row>
    <row r="5655" spans="2:2" ht="15.5" x14ac:dyDescent="0.35">
      <c r="B5655" s="167"/>
    </row>
    <row r="5656" spans="2:2" ht="15.5" x14ac:dyDescent="0.35">
      <c r="B5656" s="167"/>
    </row>
    <row r="5657" spans="2:2" ht="15.5" x14ac:dyDescent="0.35">
      <c r="B5657" s="167"/>
    </row>
    <row r="5658" spans="2:2" ht="15.5" x14ac:dyDescent="0.35">
      <c r="B5658" s="167"/>
    </row>
    <row r="5659" spans="2:2" ht="15.5" x14ac:dyDescent="0.35">
      <c r="B5659" s="167"/>
    </row>
    <row r="5660" spans="2:2" ht="15.5" x14ac:dyDescent="0.35">
      <c r="B5660" s="167"/>
    </row>
    <row r="5661" spans="2:2" ht="15.5" x14ac:dyDescent="0.35">
      <c r="B5661" s="167"/>
    </row>
    <row r="5662" spans="2:2" ht="15.5" x14ac:dyDescent="0.35">
      <c r="B5662" s="167"/>
    </row>
    <row r="5663" spans="2:2" ht="15.5" x14ac:dyDescent="0.35">
      <c r="B5663" s="167"/>
    </row>
    <row r="5664" spans="2:2" ht="15.5" x14ac:dyDescent="0.35">
      <c r="B5664" s="167"/>
    </row>
    <row r="5665" spans="2:2" ht="15.5" x14ac:dyDescent="0.35">
      <c r="B5665" s="167"/>
    </row>
    <row r="5666" spans="2:2" ht="15.5" x14ac:dyDescent="0.35">
      <c r="B5666" s="167"/>
    </row>
    <row r="5667" spans="2:2" ht="15.5" x14ac:dyDescent="0.35">
      <c r="B5667" s="167"/>
    </row>
    <row r="5668" spans="2:2" ht="15.5" x14ac:dyDescent="0.35">
      <c r="B5668" s="167"/>
    </row>
    <row r="5669" spans="2:2" ht="15.5" x14ac:dyDescent="0.35">
      <c r="B5669" s="167"/>
    </row>
    <row r="5670" spans="2:2" ht="15.5" x14ac:dyDescent="0.35">
      <c r="B5670" s="167"/>
    </row>
    <row r="5671" spans="2:2" ht="15.5" x14ac:dyDescent="0.35">
      <c r="B5671" s="167"/>
    </row>
    <row r="5672" spans="2:2" ht="15.5" x14ac:dyDescent="0.35">
      <c r="B5672" s="167"/>
    </row>
    <row r="5673" spans="2:2" ht="15.5" x14ac:dyDescent="0.35">
      <c r="B5673" s="167"/>
    </row>
    <row r="5674" spans="2:2" ht="15.5" x14ac:dyDescent="0.35">
      <c r="B5674" s="167"/>
    </row>
    <row r="5675" spans="2:2" ht="15.5" x14ac:dyDescent="0.35">
      <c r="B5675" s="167"/>
    </row>
    <row r="5676" spans="2:2" ht="15.5" x14ac:dyDescent="0.35">
      <c r="B5676" s="167"/>
    </row>
    <row r="5677" spans="2:2" ht="15.5" x14ac:dyDescent="0.35">
      <c r="B5677" s="167"/>
    </row>
    <row r="5678" spans="2:2" ht="15.5" x14ac:dyDescent="0.35">
      <c r="B5678" s="167"/>
    </row>
    <row r="5679" spans="2:2" ht="15.5" x14ac:dyDescent="0.35">
      <c r="B5679" s="167"/>
    </row>
    <row r="5680" spans="2:2" ht="15.5" x14ac:dyDescent="0.35">
      <c r="B5680" s="167"/>
    </row>
    <row r="5681" spans="2:2" ht="15.5" x14ac:dyDescent="0.35">
      <c r="B5681" s="167"/>
    </row>
    <row r="5682" spans="2:2" ht="15.5" x14ac:dyDescent="0.35">
      <c r="B5682" s="167"/>
    </row>
    <row r="5683" spans="2:2" ht="15.5" x14ac:dyDescent="0.35">
      <c r="B5683" s="167"/>
    </row>
    <row r="5684" spans="2:2" ht="15.5" x14ac:dyDescent="0.35">
      <c r="B5684" s="167"/>
    </row>
    <row r="5685" spans="2:2" ht="15.5" x14ac:dyDescent="0.35">
      <c r="B5685" s="167"/>
    </row>
    <row r="5686" spans="2:2" ht="15.5" x14ac:dyDescent="0.35">
      <c r="B5686" s="167"/>
    </row>
    <row r="5687" spans="2:2" ht="15.5" x14ac:dyDescent="0.35">
      <c r="B5687" s="167"/>
    </row>
    <row r="5688" spans="2:2" ht="15.5" x14ac:dyDescent="0.35">
      <c r="B5688" s="167"/>
    </row>
    <row r="5689" spans="2:2" ht="15.5" x14ac:dyDescent="0.35">
      <c r="B5689" s="167"/>
    </row>
    <row r="5690" spans="2:2" ht="15.5" x14ac:dyDescent="0.35">
      <c r="B5690" s="167"/>
    </row>
    <row r="5691" spans="2:2" ht="15.5" x14ac:dyDescent="0.35">
      <c r="B5691" s="167"/>
    </row>
    <row r="5692" spans="2:2" ht="15.5" x14ac:dyDescent="0.35">
      <c r="B5692" s="167"/>
    </row>
    <row r="5693" spans="2:2" ht="15.5" x14ac:dyDescent="0.35">
      <c r="B5693" s="167"/>
    </row>
    <row r="5694" spans="2:2" ht="15.5" x14ac:dyDescent="0.35">
      <c r="B5694" s="167"/>
    </row>
    <row r="5695" spans="2:2" ht="15.5" x14ac:dyDescent="0.35">
      <c r="B5695" s="167"/>
    </row>
    <row r="5696" spans="2:2" ht="15.5" x14ac:dyDescent="0.35">
      <c r="B5696" s="167"/>
    </row>
    <row r="5697" spans="2:2" ht="15.5" x14ac:dyDescent="0.35">
      <c r="B5697" s="167"/>
    </row>
    <row r="5698" spans="2:2" ht="15.5" x14ac:dyDescent="0.35">
      <c r="B5698" s="167"/>
    </row>
    <row r="5699" spans="2:2" ht="15.5" x14ac:dyDescent="0.35">
      <c r="B5699" s="167"/>
    </row>
    <row r="5700" spans="2:2" ht="15.5" x14ac:dyDescent="0.35">
      <c r="B5700" s="167"/>
    </row>
    <row r="5701" spans="2:2" ht="15.5" x14ac:dyDescent="0.35">
      <c r="B5701" s="167"/>
    </row>
    <row r="5702" spans="2:2" ht="15.5" x14ac:dyDescent="0.35">
      <c r="B5702" s="167"/>
    </row>
    <row r="5703" spans="2:2" ht="15.5" x14ac:dyDescent="0.35">
      <c r="B5703" s="167"/>
    </row>
    <row r="5704" spans="2:2" ht="15.5" x14ac:dyDescent="0.35">
      <c r="B5704" s="167"/>
    </row>
    <row r="5705" spans="2:2" ht="15.5" x14ac:dyDescent="0.35">
      <c r="B5705" s="167"/>
    </row>
    <row r="5706" spans="2:2" ht="15.5" x14ac:dyDescent="0.35">
      <c r="B5706" s="167"/>
    </row>
    <row r="5707" spans="2:2" ht="15.5" x14ac:dyDescent="0.35">
      <c r="B5707" s="167"/>
    </row>
    <row r="5708" spans="2:2" ht="15.5" x14ac:dyDescent="0.35">
      <c r="B5708" s="167"/>
    </row>
    <row r="5709" spans="2:2" ht="15.5" x14ac:dyDescent="0.35">
      <c r="B5709" s="167"/>
    </row>
    <row r="5710" spans="2:2" ht="15.5" x14ac:dyDescent="0.35">
      <c r="B5710" s="167"/>
    </row>
    <row r="5711" spans="2:2" ht="15.5" x14ac:dyDescent="0.35">
      <c r="B5711" s="167"/>
    </row>
    <row r="5712" spans="2:2" ht="15.5" x14ac:dyDescent="0.35">
      <c r="B5712" s="167"/>
    </row>
    <row r="5713" spans="2:2" ht="15.5" x14ac:dyDescent="0.35">
      <c r="B5713" s="167"/>
    </row>
    <row r="5714" spans="2:2" ht="15.5" x14ac:dyDescent="0.35">
      <c r="B5714" s="167"/>
    </row>
    <row r="5715" spans="2:2" ht="15.5" x14ac:dyDescent="0.35">
      <c r="B5715" s="167"/>
    </row>
    <row r="5716" spans="2:2" ht="15.5" x14ac:dyDescent="0.35">
      <c r="B5716" s="167"/>
    </row>
    <row r="5717" spans="2:2" ht="15.5" x14ac:dyDescent="0.35">
      <c r="B5717" s="167"/>
    </row>
    <row r="5718" spans="2:2" ht="15.5" x14ac:dyDescent="0.35">
      <c r="B5718" s="167"/>
    </row>
    <row r="5719" spans="2:2" ht="15.5" x14ac:dyDescent="0.35">
      <c r="B5719" s="167"/>
    </row>
    <row r="5720" spans="2:2" ht="15.5" x14ac:dyDescent="0.35">
      <c r="B5720" s="167"/>
    </row>
    <row r="5721" spans="2:2" ht="15.5" x14ac:dyDescent="0.35">
      <c r="B5721" s="167"/>
    </row>
    <row r="5722" spans="2:2" ht="15.5" x14ac:dyDescent="0.35">
      <c r="B5722" s="167"/>
    </row>
    <row r="5723" spans="2:2" ht="15.5" x14ac:dyDescent="0.35">
      <c r="B5723" s="167"/>
    </row>
    <row r="5724" spans="2:2" ht="15.5" x14ac:dyDescent="0.35">
      <c r="B5724" s="167"/>
    </row>
    <row r="5725" spans="2:2" ht="15.5" x14ac:dyDescent="0.35">
      <c r="B5725" s="167"/>
    </row>
    <row r="5726" spans="2:2" ht="15.5" x14ac:dyDescent="0.35">
      <c r="B5726" s="167"/>
    </row>
    <row r="5727" spans="2:2" ht="15.5" x14ac:dyDescent="0.35">
      <c r="B5727" s="167"/>
    </row>
    <row r="5728" spans="2:2" ht="15.5" x14ac:dyDescent="0.35">
      <c r="B5728" s="167"/>
    </row>
    <row r="5729" spans="2:2" ht="15.5" x14ac:dyDescent="0.35">
      <c r="B5729" s="167"/>
    </row>
    <row r="5730" spans="2:2" ht="15.5" x14ac:dyDescent="0.35">
      <c r="B5730" s="167"/>
    </row>
    <row r="5731" spans="2:2" ht="15.5" x14ac:dyDescent="0.35">
      <c r="B5731" s="167"/>
    </row>
    <row r="5732" spans="2:2" ht="15.5" x14ac:dyDescent="0.35">
      <c r="B5732" s="167"/>
    </row>
    <row r="5733" spans="2:2" ht="15.5" x14ac:dyDescent="0.35">
      <c r="B5733" s="167"/>
    </row>
    <row r="5734" spans="2:2" ht="15.5" x14ac:dyDescent="0.35">
      <c r="B5734" s="167"/>
    </row>
    <row r="5735" spans="2:2" ht="15.5" x14ac:dyDescent="0.35">
      <c r="B5735" s="167"/>
    </row>
    <row r="5736" spans="2:2" ht="15.5" x14ac:dyDescent="0.35">
      <c r="B5736" s="167"/>
    </row>
    <row r="5737" spans="2:2" ht="15.5" x14ac:dyDescent="0.35">
      <c r="B5737" s="167"/>
    </row>
    <row r="5738" spans="2:2" ht="15.5" x14ac:dyDescent="0.35">
      <c r="B5738" s="167"/>
    </row>
    <row r="5739" spans="2:2" ht="15.5" x14ac:dyDescent="0.35">
      <c r="B5739" s="167"/>
    </row>
    <row r="5740" spans="2:2" ht="15.5" x14ac:dyDescent="0.35">
      <c r="B5740" s="167"/>
    </row>
    <row r="5741" spans="2:2" ht="15.5" x14ac:dyDescent="0.35">
      <c r="B5741" s="167"/>
    </row>
    <row r="5742" spans="2:2" ht="15.5" x14ac:dyDescent="0.35">
      <c r="B5742" s="167"/>
    </row>
    <row r="5743" spans="2:2" ht="15.5" x14ac:dyDescent="0.35">
      <c r="B5743" s="167"/>
    </row>
    <row r="5744" spans="2:2" ht="15.5" x14ac:dyDescent="0.35">
      <c r="B5744" s="167"/>
    </row>
    <row r="5745" spans="2:2" ht="15.5" x14ac:dyDescent="0.35">
      <c r="B5745" s="167"/>
    </row>
    <row r="5746" spans="2:2" ht="15.5" x14ac:dyDescent="0.35">
      <c r="B5746" s="167"/>
    </row>
    <row r="5747" spans="2:2" ht="15.5" x14ac:dyDescent="0.35">
      <c r="B5747" s="167"/>
    </row>
    <row r="5748" spans="2:2" ht="15.5" x14ac:dyDescent="0.35">
      <c r="B5748" s="167"/>
    </row>
    <row r="5749" spans="2:2" ht="15.5" x14ac:dyDescent="0.35">
      <c r="B5749" s="167"/>
    </row>
    <row r="5750" spans="2:2" ht="15.5" x14ac:dyDescent="0.35">
      <c r="B5750" s="167"/>
    </row>
    <row r="5751" spans="2:2" ht="15.5" x14ac:dyDescent="0.35">
      <c r="B5751" s="167"/>
    </row>
    <row r="5752" spans="2:2" ht="15.5" x14ac:dyDescent="0.35">
      <c r="B5752" s="167"/>
    </row>
    <row r="5753" spans="2:2" ht="15.5" x14ac:dyDescent="0.35">
      <c r="B5753" s="167"/>
    </row>
    <row r="5754" spans="2:2" ht="15.5" x14ac:dyDescent="0.35">
      <c r="B5754" s="167"/>
    </row>
    <row r="5755" spans="2:2" ht="15.5" x14ac:dyDescent="0.35">
      <c r="B5755" s="167"/>
    </row>
    <row r="5756" spans="2:2" ht="15.5" x14ac:dyDescent="0.35">
      <c r="B5756" s="167"/>
    </row>
    <row r="5757" spans="2:2" ht="15.5" x14ac:dyDescent="0.35">
      <c r="B5757" s="167"/>
    </row>
    <row r="5758" spans="2:2" ht="15.5" x14ac:dyDescent="0.35">
      <c r="B5758" s="167"/>
    </row>
    <row r="5759" spans="2:2" ht="15.5" x14ac:dyDescent="0.35">
      <c r="B5759" s="167"/>
    </row>
    <row r="5760" spans="2:2" ht="15.5" x14ac:dyDescent="0.35">
      <c r="B5760" s="167"/>
    </row>
    <row r="5761" spans="2:2" ht="15.5" x14ac:dyDescent="0.35">
      <c r="B5761" s="167"/>
    </row>
    <row r="5762" spans="2:2" ht="15.5" x14ac:dyDescent="0.35">
      <c r="B5762" s="167"/>
    </row>
    <row r="5763" spans="2:2" ht="15.5" x14ac:dyDescent="0.35">
      <c r="B5763" s="167"/>
    </row>
    <row r="5764" spans="2:2" ht="15.5" x14ac:dyDescent="0.35">
      <c r="B5764" s="167"/>
    </row>
    <row r="5765" spans="2:2" ht="15.5" x14ac:dyDescent="0.35">
      <c r="B5765" s="167"/>
    </row>
    <row r="5766" spans="2:2" ht="15.5" x14ac:dyDescent="0.35">
      <c r="B5766" s="167"/>
    </row>
    <row r="5767" spans="2:2" ht="15.5" x14ac:dyDescent="0.35">
      <c r="B5767" s="167"/>
    </row>
    <row r="5768" spans="2:2" ht="15.5" x14ac:dyDescent="0.35">
      <c r="B5768" s="167"/>
    </row>
    <row r="5769" spans="2:2" ht="15.5" x14ac:dyDescent="0.35">
      <c r="B5769" s="167"/>
    </row>
    <row r="5770" spans="2:2" ht="15.5" x14ac:dyDescent="0.35">
      <c r="B5770" s="167"/>
    </row>
    <row r="5771" spans="2:2" ht="15.5" x14ac:dyDescent="0.35">
      <c r="B5771" s="167"/>
    </row>
    <row r="5772" spans="2:2" ht="15.5" x14ac:dyDescent="0.35">
      <c r="B5772" s="167"/>
    </row>
    <row r="5773" spans="2:2" ht="15.5" x14ac:dyDescent="0.35">
      <c r="B5773" s="167"/>
    </row>
    <row r="5774" spans="2:2" ht="15.5" x14ac:dyDescent="0.35">
      <c r="B5774" s="167"/>
    </row>
    <row r="5775" spans="2:2" ht="15.5" x14ac:dyDescent="0.35">
      <c r="B5775" s="167"/>
    </row>
    <row r="5776" spans="2:2" ht="15.5" x14ac:dyDescent="0.35">
      <c r="B5776" s="167"/>
    </row>
    <row r="5777" spans="2:2" ht="15.5" x14ac:dyDescent="0.35">
      <c r="B5777" s="167"/>
    </row>
    <row r="5778" spans="2:2" ht="15.5" x14ac:dyDescent="0.35">
      <c r="B5778" s="167"/>
    </row>
    <row r="5779" spans="2:2" ht="15.5" x14ac:dyDescent="0.35">
      <c r="B5779" s="167"/>
    </row>
    <row r="5780" spans="2:2" ht="15.5" x14ac:dyDescent="0.35">
      <c r="B5780" s="167"/>
    </row>
    <row r="5781" spans="2:2" ht="15.5" x14ac:dyDescent="0.35">
      <c r="B5781" s="167"/>
    </row>
    <row r="5782" spans="2:2" ht="15.5" x14ac:dyDescent="0.35">
      <c r="B5782" s="167"/>
    </row>
    <row r="5783" spans="2:2" ht="15.5" x14ac:dyDescent="0.35">
      <c r="B5783" s="167"/>
    </row>
    <row r="5784" spans="2:2" ht="15.5" x14ac:dyDescent="0.35">
      <c r="B5784" s="167"/>
    </row>
    <row r="5785" spans="2:2" ht="15.5" x14ac:dyDescent="0.35">
      <c r="B5785" s="167"/>
    </row>
    <row r="5786" spans="2:2" ht="15.5" x14ac:dyDescent="0.35">
      <c r="B5786" s="167"/>
    </row>
    <row r="5787" spans="2:2" ht="15.5" x14ac:dyDescent="0.35">
      <c r="B5787" s="167"/>
    </row>
    <row r="5788" spans="2:2" ht="15.5" x14ac:dyDescent="0.35">
      <c r="B5788" s="167"/>
    </row>
    <row r="5789" spans="2:2" ht="15.5" x14ac:dyDescent="0.35">
      <c r="B5789" s="167"/>
    </row>
    <row r="5790" spans="2:2" ht="15.5" x14ac:dyDescent="0.35">
      <c r="B5790" s="167"/>
    </row>
    <row r="5791" spans="2:2" ht="15.5" x14ac:dyDescent="0.35">
      <c r="B5791" s="167"/>
    </row>
    <row r="5792" spans="2:2" ht="15.5" x14ac:dyDescent="0.35">
      <c r="B5792" s="167"/>
    </row>
    <row r="5793" spans="2:2" ht="15.5" x14ac:dyDescent="0.35">
      <c r="B5793" s="167"/>
    </row>
    <row r="5794" spans="2:2" ht="15.5" x14ac:dyDescent="0.35">
      <c r="B5794" s="167"/>
    </row>
    <row r="5795" spans="2:2" ht="15.5" x14ac:dyDescent="0.35">
      <c r="B5795" s="167"/>
    </row>
    <row r="5796" spans="2:2" ht="15.5" x14ac:dyDescent="0.35">
      <c r="B5796" s="167"/>
    </row>
    <row r="5797" spans="2:2" ht="15.5" x14ac:dyDescent="0.35">
      <c r="B5797" s="167"/>
    </row>
    <row r="5798" spans="2:2" ht="15.5" x14ac:dyDescent="0.35">
      <c r="B5798" s="167"/>
    </row>
    <row r="5799" spans="2:2" ht="15.5" x14ac:dyDescent="0.35">
      <c r="B5799" s="167"/>
    </row>
    <row r="5800" spans="2:2" ht="15.5" x14ac:dyDescent="0.35">
      <c r="B5800" s="167"/>
    </row>
    <row r="5801" spans="2:2" ht="15.5" x14ac:dyDescent="0.35">
      <c r="B5801" s="167"/>
    </row>
    <row r="5802" spans="2:2" ht="15.5" x14ac:dyDescent="0.35">
      <c r="B5802" s="167"/>
    </row>
    <row r="5803" spans="2:2" ht="15.5" x14ac:dyDescent="0.35">
      <c r="B5803" s="167"/>
    </row>
    <row r="5804" spans="2:2" ht="15.5" x14ac:dyDescent="0.35">
      <c r="B5804" s="167"/>
    </row>
    <row r="5805" spans="2:2" ht="15.5" x14ac:dyDescent="0.35">
      <c r="B5805" s="167"/>
    </row>
    <row r="5806" spans="2:2" ht="15.5" x14ac:dyDescent="0.35">
      <c r="B5806" s="167"/>
    </row>
    <row r="5807" spans="2:2" ht="15.5" x14ac:dyDescent="0.35">
      <c r="B5807" s="167"/>
    </row>
    <row r="5808" spans="2:2" ht="15.5" x14ac:dyDescent="0.35">
      <c r="B5808" s="167"/>
    </row>
    <row r="5809" spans="2:2" ht="15.5" x14ac:dyDescent="0.35">
      <c r="B5809" s="167"/>
    </row>
    <row r="5810" spans="2:2" ht="15.5" x14ac:dyDescent="0.35">
      <c r="B5810" s="167"/>
    </row>
    <row r="5811" spans="2:2" ht="15.5" x14ac:dyDescent="0.35">
      <c r="B5811" s="167"/>
    </row>
    <row r="5812" spans="2:2" ht="15.5" x14ac:dyDescent="0.35">
      <c r="B5812" s="167"/>
    </row>
    <row r="5813" spans="2:2" ht="15.5" x14ac:dyDescent="0.35">
      <c r="B5813" s="167"/>
    </row>
    <row r="5814" spans="2:2" ht="15.5" x14ac:dyDescent="0.35">
      <c r="B5814" s="167"/>
    </row>
    <row r="5815" spans="2:2" ht="15.5" x14ac:dyDescent="0.35">
      <c r="B5815" s="167"/>
    </row>
    <row r="5816" spans="2:2" ht="15.5" x14ac:dyDescent="0.35">
      <c r="B5816" s="167"/>
    </row>
    <row r="5817" spans="2:2" ht="15.5" x14ac:dyDescent="0.35">
      <c r="B5817" s="167"/>
    </row>
    <row r="5818" spans="2:2" ht="15.5" x14ac:dyDescent="0.35">
      <c r="B5818" s="167"/>
    </row>
    <row r="5819" spans="2:2" ht="15.5" x14ac:dyDescent="0.35">
      <c r="B5819" s="167"/>
    </row>
    <row r="5820" spans="2:2" ht="15.5" x14ac:dyDescent="0.35">
      <c r="B5820" s="167"/>
    </row>
    <row r="5821" spans="2:2" ht="15.5" x14ac:dyDescent="0.35">
      <c r="B5821" s="167"/>
    </row>
    <row r="5822" spans="2:2" ht="15.5" x14ac:dyDescent="0.35">
      <c r="B5822" s="167"/>
    </row>
    <row r="5823" spans="2:2" ht="15.5" x14ac:dyDescent="0.35">
      <c r="B5823" s="167"/>
    </row>
    <row r="5824" spans="2:2" ht="15.5" x14ac:dyDescent="0.35">
      <c r="B5824" s="167"/>
    </row>
    <row r="5825" spans="2:2" ht="15.5" x14ac:dyDescent="0.35">
      <c r="B5825" s="167"/>
    </row>
    <row r="5826" spans="2:2" ht="15.5" x14ac:dyDescent="0.35">
      <c r="B5826" s="167"/>
    </row>
    <row r="5827" spans="2:2" ht="15.5" x14ac:dyDescent="0.35">
      <c r="B5827" s="167"/>
    </row>
    <row r="5828" spans="2:2" ht="15.5" x14ac:dyDescent="0.35">
      <c r="B5828" s="167"/>
    </row>
    <row r="5829" spans="2:2" ht="15.5" x14ac:dyDescent="0.35">
      <c r="B5829" s="167"/>
    </row>
    <row r="5830" spans="2:2" ht="15.5" x14ac:dyDescent="0.35">
      <c r="B5830" s="167"/>
    </row>
    <row r="5831" spans="2:2" ht="15.5" x14ac:dyDescent="0.35">
      <c r="B5831" s="167"/>
    </row>
    <row r="5832" spans="2:2" ht="15.5" x14ac:dyDescent="0.35">
      <c r="B5832" s="167"/>
    </row>
    <row r="5833" spans="2:2" ht="15.5" x14ac:dyDescent="0.35">
      <c r="B5833" s="167"/>
    </row>
    <row r="5834" spans="2:2" ht="15.5" x14ac:dyDescent="0.35">
      <c r="B5834" s="167"/>
    </row>
    <row r="5835" spans="2:2" ht="15.5" x14ac:dyDescent="0.35">
      <c r="B5835" s="167"/>
    </row>
    <row r="5836" spans="2:2" ht="15.5" x14ac:dyDescent="0.35">
      <c r="B5836" s="167"/>
    </row>
    <row r="5837" spans="2:2" ht="15.5" x14ac:dyDescent="0.35">
      <c r="B5837" s="167"/>
    </row>
    <row r="5838" spans="2:2" ht="15.5" x14ac:dyDescent="0.35">
      <c r="B5838" s="167"/>
    </row>
    <row r="5839" spans="2:2" ht="15.5" x14ac:dyDescent="0.35">
      <c r="B5839" s="167"/>
    </row>
    <row r="5840" spans="2:2" ht="15.5" x14ac:dyDescent="0.35">
      <c r="B5840" s="167"/>
    </row>
    <row r="5841" spans="2:2" ht="15.5" x14ac:dyDescent="0.35">
      <c r="B5841" s="167"/>
    </row>
    <row r="5842" spans="2:2" ht="15.5" x14ac:dyDescent="0.35">
      <c r="B5842" s="167"/>
    </row>
    <row r="5843" spans="2:2" ht="15.5" x14ac:dyDescent="0.35">
      <c r="B5843" s="167"/>
    </row>
    <row r="5844" spans="2:2" ht="15.5" x14ac:dyDescent="0.35">
      <c r="B5844" s="167"/>
    </row>
    <row r="5845" spans="2:2" ht="15.5" x14ac:dyDescent="0.35">
      <c r="B5845" s="167"/>
    </row>
    <row r="5846" spans="2:2" ht="15.5" x14ac:dyDescent="0.35">
      <c r="B5846" s="167"/>
    </row>
    <row r="5847" spans="2:2" ht="15.5" x14ac:dyDescent="0.35">
      <c r="B5847" s="167"/>
    </row>
    <row r="5848" spans="2:2" ht="15.5" x14ac:dyDescent="0.35">
      <c r="B5848" s="167"/>
    </row>
    <row r="5849" spans="2:2" ht="15.5" x14ac:dyDescent="0.35">
      <c r="B5849" s="167"/>
    </row>
    <row r="5850" spans="2:2" ht="15.5" x14ac:dyDescent="0.35">
      <c r="B5850" s="167"/>
    </row>
    <row r="5851" spans="2:2" ht="15.5" x14ac:dyDescent="0.35">
      <c r="B5851" s="167"/>
    </row>
    <row r="5852" spans="2:2" ht="15.5" x14ac:dyDescent="0.35">
      <c r="B5852" s="167"/>
    </row>
    <row r="5853" spans="2:2" ht="15.5" x14ac:dyDescent="0.35">
      <c r="B5853" s="167"/>
    </row>
    <row r="5854" spans="2:2" ht="15.5" x14ac:dyDescent="0.35">
      <c r="B5854" s="167"/>
    </row>
    <row r="5855" spans="2:2" ht="15.5" x14ac:dyDescent="0.35">
      <c r="B5855" s="167"/>
    </row>
    <row r="5856" spans="2:2" ht="15.5" x14ac:dyDescent="0.35">
      <c r="B5856" s="167"/>
    </row>
    <row r="5857" spans="2:2" ht="15.5" x14ac:dyDescent="0.35">
      <c r="B5857" s="167"/>
    </row>
    <row r="5858" spans="2:2" ht="15.5" x14ac:dyDescent="0.35">
      <c r="B5858" s="167"/>
    </row>
    <row r="5859" spans="2:2" ht="15.5" x14ac:dyDescent="0.35">
      <c r="B5859" s="167"/>
    </row>
    <row r="5860" spans="2:2" ht="15.5" x14ac:dyDescent="0.35">
      <c r="B5860" s="167"/>
    </row>
    <row r="5861" spans="2:2" ht="15.5" x14ac:dyDescent="0.35">
      <c r="B5861" s="167"/>
    </row>
    <row r="5862" spans="2:2" ht="15.5" x14ac:dyDescent="0.35">
      <c r="B5862" s="167"/>
    </row>
    <row r="5863" spans="2:2" ht="15.5" x14ac:dyDescent="0.35">
      <c r="B5863" s="167"/>
    </row>
    <row r="5864" spans="2:2" ht="15.5" x14ac:dyDescent="0.35">
      <c r="B5864" s="167"/>
    </row>
    <row r="5865" spans="2:2" ht="15.5" x14ac:dyDescent="0.35">
      <c r="B5865" s="167"/>
    </row>
    <row r="5866" spans="2:2" ht="15.5" x14ac:dyDescent="0.35">
      <c r="B5866" s="167"/>
    </row>
    <row r="5867" spans="2:2" ht="15.5" x14ac:dyDescent="0.35">
      <c r="B5867" s="167"/>
    </row>
    <row r="5868" spans="2:2" ht="15.5" x14ac:dyDescent="0.35">
      <c r="B5868" s="167"/>
    </row>
    <row r="5869" spans="2:2" ht="15.5" x14ac:dyDescent="0.35">
      <c r="B5869" s="167"/>
    </row>
    <row r="5870" spans="2:2" ht="15.5" x14ac:dyDescent="0.35">
      <c r="B5870" s="167"/>
    </row>
    <row r="5871" spans="2:2" ht="15.5" x14ac:dyDescent="0.35">
      <c r="B5871" s="167"/>
    </row>
    <row r="5872" spans="2:2" ht="15.5" x14ac:dyDescent="0.35">
      <c r="B5872" s="167"/>
    </row>
    <row r="5873" spans="2:2" ht="15.5" x14ac:dyDescent="0.35">
      <c r="B5873" s="167"/>
    </row>
    <row r="5874" spans="2:2" ht="15.5" x14ac:dyDescent="0.35">
      <c r="B5874" s="167"/>
    </row>
    <row r="5875" spans="2:2" ht="15.5" x14ac:dyDescent="0.35">
      <c r="B5875" s="167"/>
    </row>
    <row r="5876" spans="2:2" ht="15.5" x14ac:dyDescent="0.35">
      <c r="B5876" s="167"/>
    </row>
    <row r="5877" spans="2:2" ht="15.5" x14ac:dyDescent="0.35">
      <c r="B5877" s="167"/>
    </row>
    <row r="5878" spans="2:2" ht="15.5" x14ac:dyDescent="0.35">
      <c r="B5878" s="167"/>
    </row>
    <row r="5879" spans="2:2" ht="15.5" x14ac:dyDescent="0.35">
      <c r="B5879" s="167"/>
    </row>
    <row r="5880" spans="2:2" ht="15.5" x14ac:dyDescent="0.35">
      <c r="B5880" s="167"/>
    </row>
    <row r="5881" spans="2:2" ht="15.5" x14ac:dyDescent="0.35">
      <c r="B5881" s="167"/>
    </row>
    <row r="5882" spans="2:2" ht="15.5" x14ac:dyDescent="0.35">
      <c r="B5882" s="167"/>
    </row>
    <row r="5883" spans="2:2" ht="15.5" x14ac:dyDescent="0.35">
      <c r="B5883" s="167"/>
    </row>
    <row r="5884" spans="2:2" ht="15.5" x14ac:dyDescent="0.35">
      <c r="B5884" s="167"/>
    </row>
    <row r="5885" spans="2:2" ht="15.5" x14ac:dyDescent="0.35">
      <c r="B5885" s="167"/>
    </row>
    <row r="5886" spans="2:2" ht="15.5" x14ac:dyDescent="0.35">
      <c r="B5886" s="167"/>
    </row>
    <row r="5887" spans="2:2" ht="15.5" x14ac:dyDescent="0.35">
      <c r="B5887" s="167"/>
    </row>
    <row r="5888" spans="2:2" ht="15.5" x14ac:dyDescent="0.35">
      <c r="B5888" s="167"/>
    </row>
    <row r="5889" spans="2:2" ht="15.5" x14ac:dyDescent="0.35">
      <c r="B5889" s="167"/>
    </row>
    <row r="5890" spans="2:2" ht="15.5" x14ac:dyDescent="0.35">
      <c r="B5890" s="167"/>
    </row>
    <row r="5891" spans="2:2" ht="15.5" x14ac:dyDescent="0.35">
      <c r="B5891" s="167"/>
    </row>
    <row r="5892" spans="2:2" ht="15.5" x14ac:dyDescent="0.35">
      <c r="B5892" s="167"/>
    </row>
    <row r="5893" spans="2:2" ht="15.5" x14ac:dyDescent="0.35">
      <c r="B5893" s="167"/>
    </row>
    <row r="5894" spans="2:2" ht="15.5" x14ac:dyDescent="0.35">
      <c r="B5894" s="167"/>
    </row>
    <row r="5895" spans="2:2" ht="15.5" x14ac:dyDescent="0.35">
      <c r="B5895" s="167"/>
    </row>
    <row r="5896" spans="2:2" ht="15.5" x14ac:dyDescent="0.35">
      <c r="B5896" s="167"/>
    </row>
    <row r="5897" spans="2:2" ht="15.5" x14ac:dyDescent="0.35">
      <c r="B5897" s="167"/>
    </row>
    <row r="5898" spans="2:2" ht="15.5" x14ac:dyDescent="0.35">
      <c r="B5898" s="167"/>
    </row>
    <row r="5899" spans="2:2" ht="15.5" x14ac:dyDescent="0.35">
      <c r="B5899" s="167"/>
    </row>
    <row r="5900" spans="2:2" ht="15.5" x14ac:dyDescent="0.35">
      <c r="B5900" s="167"/>
    </row>
    <row r="5901" spans="2:2" ht="15.5" x14ac:dyDescent="0.35">
      <c r="B5901" s="167"/>
    </row>
    <row r="5902" spans="2:2" ht="15.5" x14ac:dyDescent="0.35">
      <c r="B5902" s="167"/>
    </row>
    <row r="5903" spans="2:2" ht="15.5" x14ac:dyDescent="0.35">
      <c r="B5903" s="167"/>
    </row>
    <row r="5904" spans="2:2" ht="15.5" x14ac:dyDescent="0.35">
      <c r="B5904" s="167"/>
    </row>
    <row r="5905" spans="2:2" ht="15.5" x14ac:dyDescent="0.35">
      <c r="B5905" s="167"/>
    </row>
    <row r="5906" spans="2:2" ht="15.5" x14ac:dyDescent="0.35">
      <c r="B5906" s="167"/>
    </row>
    <row r="5907" spans="2:2" ht="15.5" x14ac:dyDescent="0.35">
      <c r="B5907" s="167"/>
    </row>
    <row r="5908" spans="2:2" ht="15.5" x14ac:dyDescent="0.35">
      <c r="B5908" s="167"/>
    </row>
    <row r="5909" spans="2:2" ht="15.5" x14ac:dyDescent="0.35">
      <c r="B5909" s="167"/>
    </row>
    <row r="5910" spans="2:2" ht="15.5" x14ac:dyDescent="0.35">
      <c r="B5910" s="167"/>
    </row>
    <row r="5911" spans="2:2" ht="15.5" x14ac:dyDescent="0.35">
      <c r="B5911" s="167"/>
    </row>
    <row r="5912" spans="2:2" ht="15.5" x14ac:dyDescent="0.35">
      <c r="B5912" s="167"/>
    </row>
    <row r="5913" spans="2:2" ht="15.5" x14ac:dyDescent="0.35">
      <c r="B5913" s="167"/>
    </row>
    <row r="5914" spans="2:2" ht="15.5" x14ac:dyDescent="0.35">
      <c r="B5914" s="167"/>
    </row>
    <row r="5915" spans="2:2" ht="15.5" x14ac:dyDescent="0.35">
      <c r="B5915" s="167"/>
    </row>
    <row r="5916" spans="2:2" ht="15.5" x14ac:dyDescent="0.35">
      <c r="B5916" s="167"/>
    </row>
    <row r="5917" spans="2:2" ht="15.5" x14ac:dyDescent="0.35">
      <c r="B5917" s="167"/>
    </row>
    <row r="5918" spans="2:2" ht="15.5" x14ac:dyDescent="0.35">
      <c r="B5918" s="167"/>
    </row>
    <row r="5919" spans="2:2" ht="15.5" x14ac:dyDescent="0.35">
      <c r="B5919" s="167"/>
    </row>
    <row r="5920" spans="2:2" ht="15.5" x14ac:dyDescent="0.35">
      <c r="B5920" s="167"/>
    </row>
    <row r="5921" spans="2:2" ht="15.5" x14ac:dyDescent="0.35">
      <c r="B5921" s="167"/>
    </row>
    <row r="5922" spans="2:2" ht="15.5" x14ac:dyDescent="0.35">
      <c r="B5922" s="167"/>
    </row>
    <row r="5923" spans="2:2" ht="15.5" x14ac:dyDescent="0.35">
      <c r="B5923" s="167"/>
    </row>
    <row r="5924" spans="2:2" ht="15.5" x14ac:dyDescent="0.35">
      <c r="B5924" s="167"/>
    </row>
    <row r="5925" spans="2:2" ht="15.5" x14ac:dyDescent="0.35">
      <c r="B5925" s="167"/>
    </row>
    <row r="5926" spans="2:2" ht="15.5" x14ac:dyDescent="0.35">
      <c r="B5926" s="167"/>
    </row>
    <row r="5927" spans="2:2" ht="15.5" x14ac:dyDescent="0.35">
      <c r="B5927" s="167"/>
    </row>
    <row r="5928" spans="2:2" ht="15.5" x14ac:dyDescent="0.35">
      <c r="B5928" s="167"/>
    </row>
    <row r="5929" spans="2:2" ht="15.5" x14ac:dyDescent="0.35">
      <c r="B5929" s="167"/>
    </row>
    <row r="5930" spans="2:2" ht="15.5" x14ac:dyDescent="0.35">
      <c r="B5930" s="167"/>
    </row>
    <row r="5931" spans="2:2" ht="15.5" x14ac:dyDescent="0.35">
      <c r="B5931" s="167"/>
    </row>
    <row r="5932" spans="2:2" ht="15.5" x14ac:dyDescent="0.35">
      <c r="B5932" s="167"/>
    </row>
    <row r="5933" spans="2:2" ht="15.5" x14ac:dyDescent="0.35">
      <c r="B5933" s="167"/>
    </row>
    <row r="5934" spans="2:2" ht="15.5" x14ac:dyDescent="0.35">
      <c r="B5934" s="167"/>
    </row>
    <row r="5935" spans="2:2" ht="15.5" x14ac:dyDescent="0.35">
      <c r="B5935" s="167"/>
    </row>
    <row r="5936" spans="2:2" ht="15.5" x14ac:dyDescent="0.35">
      <c r="B5936" s="167"/>
    </row>
    <row r="5937" spans="2:2" ht="15.5" x14ac:dyDescent="0.35">
      <c r="B5937" s="167"/>
    </row>
    <row r="5938" spans="2:2" ht="15.5" x14ac:dyDescent="0.35">
      <c r="B5938" s="167"/>
    </row>
    <row r="5939" spans="2:2" ht="15.5" x14ac:dyDescent="0.35">
      <c r="B5939" s="167"/>
    </row>
    <row r="5940" spans="2:2" ht="15.5" x14ac:dyDescent="0.35">
      <c r="B5940" s="167"/>
    </row>
    <row r="5941" spans="2:2" ht="15.5" x14ac:dyDescent="0.35">
      <c r="B5941" s="167"/>
    </row>
    <row r="5942" spans="2:2" ht="15.5" x14ac:dyDescent="0.35">
      <c r="B5942" s="167"/>
    </row>
    <row r="5943" spans="2:2" ht="15.5" x14ac:dyDescent="0.35">
      <c r="B5943" s="167"/>
    </row>
    <row r="5944" spans="2:2" ht="15.5" x14ac:dyDescent="0.35">
      <c r="B5944" s="167"/>
    </row>
    <row r="5945" spans="2:2" ht="15.5" x14ac:dyDescent="0.35">
      <c r="B5945" s="167"/>
    </row>
    <row r="5946" spans="2:2" ht="15.5" x14ac:dyDescent="0.35">
      <c r="B5946" s="167"/>
    </row>
    <row r="5947" spans="2:2" ht="15.5" x14ac:dyDescent="0.35">
      <c r="B5947" s="167"/>
    </row>
    <row r="5948" spans="2:2" ht="15.5" x14ac:dyDescent="0.35">
      <c r="B5948" s="167"/>
    </row>
    <row r="5949" spans="2:2" ht="15.5" x14ac:dyDescent="0.35">
      <c r="B5949" s="167"/>
    </row>
    <row r="5950" spans="2:2" ht="15.5" x14ac:dyDescent="0.35">
      <c r="B5950" s="167"/>
    </row>
    <row r="5951" spans="2:2" ht="15.5" x14ac:dyDescent="0.35">
      <c r="B5951" s="167"/>
    </row>
    <row r="5952" spans="2:2" ht="15.5" x14ac:dyDescent="0.35">
      <c r="B5952" s="167"/>
    </row>
    <row r="5953" spans="2:2" ht="15.5" x14ac:dyDescent="0.35">
      <c r="B5953" s="167"/>
    </row>
    <row r="5954" spans="2:2" ht="15.5" x14ac:dyDescent="0.35">
      <c r="B5954" s="167"/>
    </row>
    <row r="5955" spans="2:2" ht="15.5" x14ac:dyDescent="0.35">
      <c r="B5955" s="167"/>
    </row>
    <row r="5956" spans="2:2" ht="15.5" x14ac:dyDescent="0.35">
      <c r="B5956" s="167"/>
    </row>
    <row r="5957" spans="2:2" ht="15.5" x14ac:dyDescent="0.35">
      <c r="B5957" s="167"/>
    </row>
    <row r="5958" spans="2:2" ht="15.5" x14ac:dyDescent="0.35">
      <c r="B5958" s="167"/>
    </row>
    <row r="5959" spans="2:2" ht="15.5" x14ac:dyDescent="0.35">
      <c r="B5959" s="167"/>
    </row>
    <row r="5960" spans="2:2" ht="15.5" x14ac:dyDescent="0.35">
      <c r="B5960" s="167"/>
    </row>
    <row r="5961" spans="2:2" ht="15.5" x14ac:dyDescent="0.35">
      <c r="B5961" s="167"/>
    </row>
    <row r="5962" spans="2:2" ht="15.5" x14ac:dyDescent="0.35">
      <c r="B5962" s="167"/>
    </row>
    <row r="5963" spans="2:2" ht="15.5" x14ac:dyDescent="0.35">
      <c r="B5963" s="167"/>
    </row>
    <row r="5964" spans="2:2" ht="15.5" x14ac:dyDescent="0.35">
      <c r="B5964" s="167"/>
    </row>
    <row r="5965" spans="2:2" ht="15.5" x14ac:dyDescent="0.35">
      <c r="B5965" s="167"/>
    </row>
    <row r="5966" spans="2:2" ht="15.5" x14ac:dyDescent="0.35">
      <c r="B5966" s="167"/>
    </row>
    <row r="5967" spans="2:2" ht="15.5" x14ac:dyDescent="0.35">
      <c r="B5967" s="167"/>
    </row>
    <row r="5968" spans="2:2" ht="15.5" x14ac:dyDescent="0.35">
      <c r="B5968" s="167"/>
    </row>
    <row r="5969" spans="2:2" ht="15.5" x14ac:dyDescent="0.35">
      <c r="B5969" s="167"/>
    </row>
    <row r="5970" spans="2:2" ht="15.5" x14ac:dyDescent="0.35">
      <c r="B5970" s="167"/>
    </row>
    <row r="5971" spans="2:2" ht="15.5" x14ac:dyDescent="0.35">
      <c r="B5971" s="167"/>
    </row>
    <row r="5972" spans="2:2" ht="15.5" x14ac:dyDescent="0.35">
      <c r="B5972" s="167"/>
    </row>
    <row r="5973" spans="2:2" ht="15.5" x14ac:dyDescent="0.35">
      <c r="B5973" s="167"/>
    </row>
    <row r="5974" spans="2:2" ht="15.5" x14ac:dyDescent="0.35">
      <c r="B5974" s="167"/>
    </row>
    <row r="5975" spans="2:2" ht="15.5" x14ac:dyDescent="0.35">
      <c r="B5975" s="167"/>
    </row>
    <row r="5976" spans="2:2" ht="15.5" x14ac:dyDescent="0.35">
      <c r="B5976" s="167"/>
    </row>
    <row r="5977" spans="2:2" ht="15.5" x14ac:dyDescent="0.35">
      <c r="B5977" s="167"/>
    </row>
    <row r="5978" spans="2:2" ht="15.5" x14ac:dyDescent="0.35">
      <c r="B5978" s="167"/>
    </row>
    <row r="5979" spans="2:2" ht="15.5" x14ac:dyDescent="0.35">
      <c r="B5979" s="167"/>
    </row>
    <row r="5980" spans="2:2" ht="15.5" x14ac:dyDescent="0.35">
      <c r="B5980" s="167"/>
    </row>
    <row r="5981" spans="2:2" ht="15.5" x14ac:dyDescent="0.35">
      <c r="B5981" s="167"/>
    </row>
    <row r="5982" spans="2:2" ht="15.5" x14ac:dyDescent="0.35">
      <c r="B5982" s="167"/>
    </row>
    <row r="5983" spans="2:2" ht="15.5" x14ac:dyDescent="0.35">
      <c r="B5983" s="167"/>
    </row>
    <row r="5984" spans="2:2" ht="15.5" x14ac:dyDescent="0.35">
      <c r="B5984" s="167"/>
    </row>
    <row r="5985" spans="2:2" ht="15.5" x14ac:dyDescent="0.35">
      <c r="B5985" s="167"/>
    </row>
    <row r="5986" spans="2:2" ht="15.5" x14ac:dyDescent="0.35">
      <c r="B5986" s="167"/>
    </row>
    <row r="5987" spans="2:2" ht="15.5" x14ac:dyDescent="0.35">
      <c r="B5987" s="167"/>
    </row>
    <row r="5988" spans="2:2" ht="15.5" x14ac:dyDescent="0.35">
      <c r="B5988" s="167"/>
    </row>
    <row r="5989" spans="2:2" ht="15.5" x14ac:dyDescent="0.35">
      <c r="B5989" s="167"/>
    </row>
    <row r="5990" spans="2:2" ht="15.5" x14ac:dyDescent="0.35">
      <c r="B5990" s="167"/>
    </row>
    <row r="5991" spans="2:2" ht="15.5" x14ac:dyDescent="0.35">
      <c r="B5991" s="167"/>
    </row>
    <row r="5992" spans="2:2" ht="15.5" x14ac:dyDescent="0.35">
      <c r="B5992" s="167"/>
    </row>
    <row r="5993" spans="2:2" ht="15.5" x14ac:dyDescent="0.35">
      <c r="B5993" s="167"/>
    </row>
    <row r="5994" spans="2:2" ht="15.5" x14ac:dyDescent="0.35">
      <c r="B5994" s="167"/>
    </row>
    <row r="5995" spans="2:2" ht="15.5" x14ac:dyDescent="0.35">
      <c r="B5995" s="167"/>
    </row>
    <row r="5996" spans="2:2" ht="15.5" x14ac:dyDescent="0.35">
      <c r="B5996" s="167"/>
    </row>
    <row r="5997" spans="2:2" ht="15.5" x14ac:dyDescent="0.35">
      <c r="B5997" s="167"/>
    </row>
    <row r="5998" spans="2:2" ht="15.5" x14ac:dyDescent="0.35">
      <c r="B5998" s="167"/>
    </row>
    <row r="5999" spans="2:2" ht="15.5" x14ac:dyDescent="0.35">
      <c r="B5999" s="167"/>
    </row>
    <row r="6000" spans="2:2" ht="15.5" x14ac:dyDescent="0.35">
      <c r="B6000" s="167"/>
    </row>
    <row r="6001" spans="2:2" ht="15.5" x14ac:dyDescent="0.35">
      <c r="B6001" s="167"/>
    </row>
    <row r="6002" spans="2:2" ht="15.5" x14ac:dyDescent="0.35">
      <c r="B6002" s="167"/>
    </row>
    <row r="6003" spans="2:2" ht="15.5" x14ac:dyDescent="0.35">
      <c r="B6003" s="167"/>
    </row>
    <row r="6004" spans="2:2" ht="15.5" x14ac:dyDescent="0.35">
      <c r="B6004" s="167"/>
    </row>
    <row r="6005" spans="2:2" ht="15.5" x14ac:dyDescent="0.35">
      <c r="B6005" s="167"/>
    </row>
    <row r="6006" spans="2:2" ht="15.5" x14ac:dyDescent="0.35">
      <c r="B6006" s="167"/>
    </row>
    <row r="6007" spans="2:2" ht="15.5" x14ac:dyDescent="0.35">
      <c r="B6007" s="167"/>
    </row>
    <row r="6008" spans="2:2" ht="15.5" x14ac:dyDescent="0.35">
      <c r="B6008" s="167"/>
    </row>
    <row r="6009" spans="2:2" ht="15.5" x14ac:dyDescent="0.35">
      <c r="B6009" s="167"/>
    </row>
    <row r="6010" spans="2:2" ht="15.5" x14ac:dyDescent="0.35">
      <c r="B6010" s="167"/>
    </row>
    <row r="6011" spans="2:2" ht="15.5" x14ac:dyDescent="0.35">
      <c r="B6011" s="167"/>
    </row>
    <row r="6012" spans="2:2" ht="15.5" x14ac:dyDescent="0.35">
      <c r="B6012" s="167"/>
    </row>
    <row r="6013" spans="2:2" ht="15.5" x14ac:dyDescent="0.35">
      <c r="B6013" s="167"/>
    </row>
    <row r="6014" spans="2:2" ht="15.5" x14ac:dyDescent="0.35">
      <c r="B6014" s="167"/>
    </row>
    <row r="6015" spans="2:2" ht="15.5" x14ac:dyDescent="0.35">
      <c r="B6015" s="167"/>
    </row>
    <row r="6016" spans="2:2" ht="15.5" x14ac:dyDescent="0.35">
      <c r="B6016" s="167"/>
    </row>
    <row r="6017" spans="2:2" ht="15.5" x14ac:dyDescent="0.35">
      <c r="B6017" s="167"/>
    </row>
    <row r="6018" spans="2:2" ht="15.5" x14ac:dyDescent="0.35">
      <c r="B6018" s="167"/>
    </row>
    <row r="6019" spans="2:2" ht="15.5" x14ac:dyDescent="0.35">
      <c r="B6019" s="167"/>
    </row>
    <row r="6020" spans="2:2" ht="15.5" x14ac:dyDescent="0.35">
      <c r="B6020" s="167"/>
    </row>
    <row r="6021" spans="2:2" ht="15.5" x14ac:dyDescent="0.35">
      <c r="B6021" s="167"/>
    </row>
    <row r="6022" spans="2:2" ht="15.5" x14ac:dyDescent="0.35">
      <c r="B6022" s="167"/>
    </row>
    <row r="6023" spans="2:2" ht="15.5" x14ac:dyDescent="0.35">
      <c r="B6023" s="167"/>
    </row>
    <row r="6024" spans="2:2" ht="15.5" x14ac:dyDescent="0.35">
      <c r="B6024" s="167"/>
    </row>
    <row r="6025" spans="2:2" ht="15.5" x14ac:dyDescent="0.35">
      <c r="B6025" s="167"/>
    </row>
    <row r="6026" spans="2:2" ht="15.5" x14ac:dyDescent="0.35">
      <c r="B6026" s="167"/>
    </row>
    <row r="6027" spans="2:2" ht="15.5" x14ac:dyDescent="0.35">
      <c r="B6027" s="167"/>
    </row>
    <row r="6028" spans="2:2" ht="15.5" x14ac:dyDescent="0.35">
      <c r="B6028" s="167"/>
    </row>
    <row r="6029" spans="2:2" ht="15.5" x14ac:dyDescent="0.35">
      <c r="B6029" s="167"/>
    </row>
    <row r="6030" spans="2:2" ht="15.5" x14ac:dyDescent="0.35">
      <c r="B6030" s="167"/>
    </row>
    <row r="6031" spans="2:2" ht="15.5" x14ac:dyDescent="0.35">
      <c r="B6031" s="167"/>
    </row>
    <row r="6032" spans="2:2" ht="15.5" x14ac:dyDescent="0.35">
      <c r="B6032" s="167"/>
    </row>
    <row r="6033" spans="2:2" ht="15.5" x14ac:dyDescent="0.35">
      <c r="B6033" s="167"/>
    </row>
    <row r="6034" spans="2:2" ht="15.5" x14ac:dyDescent="0.35">
      <c r="B6034" s="167"/>
    </row>
    <row r="6035" spans="2:2" ht="15.5" x14ac:dyDescent="0.35">
      <c r="B6035" s="167"/>
    </row>
    <row r="6036" spans="2:2" ht="15.5" x14ac:dyDescent="0.35">
      <c r="B6036" s="167"/>
    </row>
    <row r="6037" spans="2:2" ht="15.5" x14ac:dyDescent="0.35">
      <c r="B6037" s="167"/>
    </row>
    <row r="6038" spans="2:2" ht="15.5" x14ac:dyDescent="0.35">
      <c r="B6038" s="167"/>
    </row>
    <row r="6039" spans="2:2" ht="15.5" x14ac:dyDescent="0.35">
      <c r="B6039" s="167"/>
    </row>
    <row r="6040" spans="2:2" ht="15.5" x14ac:dyDescent="0.35">
      <c r="B6040" s="167"/>
    </row>
    <row r="6041" spans="2:2" ht="15.5" x14ac:dyDescent="0.35">
      <c r="B6041" s="167"/>
    </row>
    <row r="6042" spans="2:2" ht="15.5" x14ac:dyDescent="0.35">
      <c r="B6042" s="167"/>
    </row>
    <row r="6043" spans="2:2" ht="15.5" x14ac:dyDescent="0.35">
      <c r="B6043" s="167"/>
    </row>
    <row r="6044" spans="2:2" ht="15.5" x14ac:dyDescent="0.35">
      <c r="B6044" s="167"/>
    </row>
    <row r="6045" spans="2:2" ht="15.5" x14ac:dyDescent="0.35">
      <c r="B6045" s="167"/>
    </row>
    <row r="6046" spans="2:2" ht="15.5" x14ac:dyDescent="0.35">
      <c r="B6046" s="167"/>
    </row>
    <row r="6047" spans="2:2" ht="15.5" x14ac:dyDescent="0.35">
      <c r="B6047" s="167"/>
    </row>
    <row r="6048" spans="2:2" ht="15.5" x14ac:dyDescent="0.35">
      <c r="B6048" s="167"/>
    </row>
    <row r="6049" spans="2:2" ht="15.5" x14ac:dyDescent="0.35">
      <c r="B6049" s="167"/>
    </row>
    <row r="6050" spans="2:2" ht="15.5" x14ac:dyDescent="0.35">
      <c r="B6050" s="167"/>
    </row>
    <row r="6051" spans="2:2" ht="15.5" x14ac:dyDescent="0.35">
      <c r="B6051" s="167"/>
    </row>
    <row r="6052" spans="2:2" ht="15.5" x14ac:dyDescent="0.35">
      <c r="B6052" s="167"/>
    </row>
    <row r="6053" spans="2:2" ht="15.5" x14ac:dyDescent="0.35">
      <c r="B6053" s="167"/>
    </row>
    <row r="6054" spans="2:2" ht="15.5" x14ac:dyDescent="0.35">
      <c r="B6054" s="167"/>
    </row>
    <row r="6055" spans="2:2" ht="15.5" x14ac:dyDescent="0.35">
      <c r="B6055" s="167"/>
    </row>
    <row r="6056" spans="2:2" ht="15.5" x14ac:dyDescent="0.35">
      <c r="B6056" s="167"/>
    </row>
    <row r="6057" spans="2:2" ht="15.5" x14ac:dyDescent="0.35">
      <c r="B6057" s="167"/>
    </row>
    <row r="6058" spans="2:2" ht="15.5" x14ac:dyDescent="0.35">
      <c r="B6058" s="167"/>
    </row>
    <row r="6059" spans="2:2" ht="15.5" x14ac:dyDescent="0.35">
      <c r="B6059" s="167"/>
    </row>
    <row r="6060" spans="2:2" ht="15.5" x14ac:dyDescent="0.35">
      <c r="B6060" s="167"/>
    </row>
    <row r="6061" spans="2:2" ht="15.5" x14ac:dyDescent="0.35">
      <c r="B6061" s="167"/>
    </row>
    <row r="6062" spans="2:2" ht="15.5" x14ac:dyDescent="0.35">
      <c r="B6062" s="167"/>
    </row>
    <row r="6063" spans="2:2" ht="15.5" x14ac:dyDescent="0.35">
      <c r="B6063" s="167"/>
    </row>
    <row r="6064" spans="2:2" ht="15.5" x14ac:dyDescent="0.35">
      <c r="B6064" s="167"/>
    </row>
    <row r="6065" spans="2:2" ht="15.5" x14ac:dyDescent="0.35">
      <c r="B6065" s="167"/>
    </row>
    <row r="6066" spans="2:2" ht="15.5" x14ac:dyDescent="0.35">
      <c r="B6066" s="167"/>
    </row>
    <row r="6067" spans="2:2" ht="15.5" x14ac:dyDescent="0.35">
      <c r="B6067" s="167"/>
    </row>
    <row r="6068" spans="2:2" ht="15.5" x14ac:dyDescent="0.35">
      <c r="B6068" s="167"/>
    </row>
    <row r="6069" spans="2:2" ht="15.5" x14ac:dyDescent="0.35">
      <c r="B6069" s="167"/>
    </row>
    <row r="6070" spans="2:2" ht="15.5" x14ac:dyDescent="0.35">
      <c r="B6070" s="167"/>
    </row>
    <row r="6071" spans="2:2" ht="15.5" x14ac:dyDescent="0.35">
      <c r="B6071" s="167"/>
    </row>
    <row r="6072" spans="2:2" ht="15.5" x14ac:dyDescent="0.35">
      <c r="B6072" s="167"/>
    </row>
    <row r="6073" spans="2:2" ht="15.5" x14ac:dyDescent="0.35">
      <c r="B6073" s="167"/>
    </row>
    <row r="6074" spans="2:2" ht="15.5" x14ac:dyDescent="0.35">
      <c r="B6074" s="167"/>
    </row>
    <row r="6075" spans="2:2" ht="15.5" x14ac:dyDescent="0.35">
      <c r="B6075" s="167"/>
    </row>
    <row r="6076" spans="2:2" ht="15.5" x14ac:dyDescent="0.35">
      <c r="B6076" s="167"/>
    </row>
    <row r="6077" spans="2:2" ht="15.5" x14ac:dyDescent="0.35">
      <c r="B6077" s="167"/>
    </row>
    <row r="6078" spans="2:2" ht="15.5" x14ac:dyDescent="0.35">
      <c r="B6078" s="167"/>
    </row>
    <row r="6079" spans="2:2" ht="15.5" x14ac:dyDescent="0.35">
      <c r="B6079" s="167"/>
    </row>
    <row r="6080" spans="2:2" ht="15.5" x14ac:dyDescent="0.35">
      <c r="B6080" s="167"/>
    </row>
    <row r="6081" spans="2:2" ht="15.5" x14ac:dyDescent="0.35">
      <c r="B6081" s="167"/>
    </row>
    <row r="6082" spans="2:2" ht="15.5" x14ac:dyDescent="0.35">
      <c r="B6082" s="167"/>
    </row>
    <row r="6083" spans="2:2" ht="15.5" x14ac:dyDescent="0.35">
      <c r="B6083" s="167"/>
    </row>
    <row r="6084" spans="2:2" ht="15.5" x14ac:dyDescent="0.35">
      <c r="B6084" s="167"/>
    </row>
    <row r="6085" spans="2:2" ht="15.5" x14ac:dyDescent="0.35">
      <c r="B6085" s="167"/>
    </row>
    <row r="6086" spans="2:2" ht="15.5" x14ac:dyDescent="0.35">
      <c r="B6086" s="167"/>
    </row>
    <row r="6087" spans="2:2" ht="15.5" x14ac:dyDescent="0.35">
      <c r="B6087" s="167"/>
    </row>
    <row r="6088" spans="2:2" ht="15.5" x14ac:dyDescent="0.35">
      <c r="B6088" s="167"/>
    </row>
    <row r="6089" spans="2:2" ht="15.5" x14ac:dyDescent="0.35">
      <c r="B6089" s="167"/>
    </row>
    <row r="6090" spans="2:2" ht="15.5" x14ac:dyDescent="0.35">
      <c r="B6090" s="167"/>
    </row>
    <row r="6091" spans="2:2" ht="15.5" x14ac:dyDescent="0.35">
      <c r="B6091" s="167"/>
    </row>
    <row r="6092" spans="2:2" ht="15.5" x14ac:dyDescent="0.35">
      <c r="B6092" s="167"/>
    </row>
    <row r="6093" spans="2:2" ht="15.5" x14ac:dyDescent="0.35">
      <c r="B6093" s="167"/>
    </row>
    <row r="6094" spans="2:2" ht="15.5" x14ac:dyDescent="0.35">
      <c r="B6094" s="167"/>
    </row>
    <row r="6095" spans="2:2" ht="15.5" x14ac:dyDescent="0.35">
      <c r="B6095" s="167"/>
    </row>
    <row r="6096" spans="2:2" ht="15.5" x14ac:dyDescent="0.35">
      <c r="B6096" s="167"/>
    </row>
    <row r="6097" spans="2:2" ht="15.5" x14ac:dyDescent="0.35">
      <c r="B6097" s="167"/>
    </row>
    <row r="6098" spans="2:2" ht="15.5" x14ac:dyDescent="0.35">
      <c r="B6098" s="167"/>
    </row>
    <row r="6099" spans="2:2" ht="15.5" x14ac:dyDescent="0.35">
      <c r="B6099" s="167"/>
    </row>
    <row r="6100" spans="2:2" ht="15.5" x14ac:dyDescent="0.35">
      <c r="B6100" s="167"/>
    </row>
    <row r="6101" spans="2:2" ht="15.5" x14ac:dyDescent="0.35">
      <c r="B6101" s="167"/>
    </row>
    <row r="6102" spans="2:2" ht="15.5" x14ac:dyDescent="0.35">
      <c r="B6102" s="167"/>
    </row>
    <row r="6103" spans="2:2" ht="15.5" x14ac:dyDescent="0.35">
      <c r="B6103" s="167"/>
    </row>
    <row r="6104" spans="2:2" ht="15.5" x14ac:dyDescent="0.35">
      <c r="B6104" s="167"/>
    </row>
    <row r="6105" spans="2:2" ht="15.5" x14ac:dyDescent="0.35">
      <c r="B6105" s="167"/>
    </row>
    <row r="6106" spans="2:2" ht="15.5" x14ac:dyDescent="0.35">
      <c r="B6106" s="167"/>
    </row>
    <row r="6107" spans="2:2" ht="15.5" x14ac:dyDescent="0.35">
      <c r="B6107" s="167"/>
    </row>
    <row r="6108" spans="2:2" ht="15.5" x14ac:dyDescent="0.35">
      <c r="B6108" s="167"/>
    </row>
    <row r="6109" spans="2:2" ht="15.5" x14ac:dyDescent="0.35">
      <c r="B6109" s="167"/>
    </row>
    <row r="6110" spans="2:2" ht="15.5" x14ac:dyDescent="0.35">
      <c r="B6110" s="167"/>
    </row>
    <row r="6111" spans="2:2" ht="15.5" x14ac:dyDescent="0.35">
      <c r="B6111" s="167"/>
    </row>
    <row r="6112" spans="2:2" ht="15.5" x14ac:dyDescent="0.35">
      <c r="B6112" s="167"/>
    </row>
    <row r="6113" spans="2:2" ht="15.5" x14ac:dyDescent="0.35">
      <c r="B6113" s="167"/>
    </row>
    <row r="6114" spans="2:2" ht="15.5" x14ac:dyDescent="0.35">
      <c r="B6114" s="167"/>
    </row>
    <row r="6115" spans="2:2" ht="15.5" x14ac:dyDescent="0.35">
      <c r="B6115" s="167"/>
    </row>
    <row r="6116" spans="2:2" ht="15.5" x14ac:dyDescent="0.35">
      <c r="B6116" s="167"/>
    </row>
    <row r="6117" spans="2:2" ht="15.5" x14ac:dyDescent="0.35">
      <c r="B6117" s="167"/>
    </row>
    <row r="6118" spans="2:2" ht="15.5" x14ac:dyDescent="0.35">
      <c r="B6118" s="167"/>
    </row>
    <row r="6119" spans="2:2" ht="15.5" x14ac:dyDescent="0.35">
      <c r="B6119" s="167"/>
    </row>
    <row r="6120" spans="2:2" ht="15.5" x14ac:dyDescent="0.35">
      <c r="B6120" s="167"/>
    </row>
    <row r="6121" spans="2:2" ht="15.5" x14ac:dyDescent="0.35">
      <c r="B6121" s="167"/>
    </row>
    <row r="6122" spans="2:2" ht="15.5" x14ac:dyDescent="0.35">
      <c r="B6122" s="167"/>
    </row>
    <row r="6123" spans="2:2" ht="15.5" x14ac:dyDescent="0.35">
      <c r="B6123" s="167"/>
    </row>
    <row r="6124" spans="2:2" ht="15.5" x14ac:dyDescent="0.35">
      <c r="B6124" s="167"/>
    </row>
    <row r="6125" spans="2:2" ht="15.5" x14ac:dyDescent="0.35">
      <c r="B6125" s="167"/>
    </row>
    <row r="6126" spans="2:2" ht="15.5" x14ac:dyDescent="0.35">
      <c r="B6126" s="167"/>
    </row>
    <row r="6127" spans="2:2" ht="15.5" x14ac:dyDescent="0.35">
      <c r="B6127" s="167"/>
    </row>
    <row r="6128" spans="2:2" ht="15.5" x14ac:dyDescent="0.35">
      <c r="B6128" s="167"/>
    </row>
    <row r="6129" spans="2:2" ht="15.5" x14ac:dyDescent="0.35">
      <c r="B6129" s="167"/>
    </row>
    <row r="6130" spans="2:2" ht="15.5" x14ac:dyDescent="0.35">
      <c r="B6130" s="167"/>
    </row>
    <row r="6131" spans="2:2" ht="15.5" x14ac:dyDescent="0.35">
      <c r="B6131" s="167"/>
    </row>
    <row r="6132" spans="2:2" ht="15.5" x14ac:dyDescent="0.35">
      <c r="B6132" s="167"/>
    </row>
    <row r="6133" spans="2:2" ht="15.5" x14ac:dyDescent="0.35">
      <c r="B6133" s="167"/>
    </row>
    <row r="6134" spans="2:2" ht="15.5" x14ac:dyDescent="0.35">
      <c r="B6134" s="167"/>
    </row>
    <row r="6135" spans="2:2" ht="15.5" x14ac:dyDescent="0.35">
      <c r="B6135" s="167"/>
    </row>
    <row r="6136" spans="2:2" ht="15.5" x14ac:dyDescent="0.35">
      <c r="B6136" s="167"/>
    </row>
    <row r="6137" spans="2:2" ht="15.5" x14ac:dyDescent="0.35">
      <c r="B6137" s="167"/>
    </row>
    <row r="6138" spans="2:2" ht="15.5" x14ac:dyDescent="0.35">
      <c r="B6138" s="167"/>
    </row>
    <row r="6139" spans="2:2" ht="15.5" x14ac:dyDescent="0.35">
      <c r="B6139" s="167"/>
    </row>
    <row r="6140" spans="2:2" ht="15.5" x14ac:dyDescent="0.35">
      <c r="B6140" s="167"/>
    </row>
    <row r="6141" spans="2:2" ht="15.5" x14ac:dyDescent="0.35">
      <c r="B6141" s="167"/>
    </row>
    <row r="6142" spans="2:2" ht="15.5" x14ac:dyDescent="0.35">
      <c r="B6142" s="167"/>
    </row>
    <row r="6143" spans="2:2" ht="15.5" x14ac:dyDescent="0.35">
      <c r="B6143" s="167"/>
    </row>
    <row r="6144" spans="2:2" ht="15.5" x14ac:dyDescent="0.35">
      <c r="B6144" s="167"/>
    </row>
    <row r="6145" spans="2:2" ht="15.5" x14ac:dyDescent="0.35">
      <c r="B6145" s="167"/>
    </row>
    <row r="6146" spans="2:2" ht="15.5" x14ac:dyDescent="0.35">
      <c r="B6146" s="167"/>
    </row>
    <row r="6147" spans="2:2" ht="15.5" x14ac:dyDescent="0.35">
      <c r="B6147" s="167"/>
    </row>
    <row r="6148" spans="2:2" ht="15.5" x14ac:dyDescent="0.35">
      <c r="B6148" s="167"/>
    </row>
    <row r="6149" spans="2:2" ht="15.5" x14ac:dyDescent="0.35">
      <c r="B6149" s="167"/>
    </row>
    <row r="6150" spans="2:2" ht="15.5" x14ac:dyDescent="0.35">
      <c r="B6150" s="167"/>
    </row>
    <row r="6151" spans="2:2" ht="15.5" x14ac:dyDescent="0.35">
      <c r="B6151" s="167"/>
    </row>
    <row r="6152" spans="2:2" ht="15.5" x14ac:dyDescent="0.35">
      <c r="B6152" s="167"/>
    </row>
    <row r="6153" spans="2:2" ht="15.5" x14ac:dyDescent="0.35">
      <c r="B6153" s="167"/>
    </row>
    <row r="6154" spans="2:2" ht="15.5" x14ac:dyDescent="0.35">
      <c r="B6154" s="167"/>
    </row>
    <row r="6155" spans="2:2" ht="15.5" x14ac:dyDescent="0.35">
      <c r="B6155" s="167"/>
    </row>
    <row r="6156" spans="2:2" ht="15.5" x14ac:dyDescent="0.35">
      <c r="B6156" s="167"/>
    </row>
    <row r="6157" spans="2:2" ht="15.5" x14ac:dyDescent="0.35">
      <c r="B6157" s="167"/>
    </row>
    <row r="6158" spans="2:2" ht="15.5" x14ac:dyDescent="0.35">
      <c r="B6158" s="167"/>
    </row>
    <row r="6159" spans="2:2" ht="15.5" x14ac:dyDescent="0.35">
      <c r="B6159" s="167"/>
    </row>
    <row r="6160" spans="2:2" ht="15.5" x14ac:dyDescent="0.35">
      <c r="B6160" s="167"/>
    </row>
    <row r="6161" spans="2:2" ht="15.5" x14ac:dyDescent="0.35">
      <c r="B6161" s="167"/>
    </row>
    <row r="6162" spans="2:2" ht="15.5" x14ac:dyDescent="0.35">
      <c r="B6162" s="167"/>
    </row>
    <row r="6163" spans="2:2" ht="15.5" x14ac:dyDescent="0.35">
      <c r="B6163" s="167"/>
    </row>
    <row r="6164" spans="2:2" ht="15.5" x14ac:dyDescent="0.35">
      <c r="B6164" s="167"/>
    </row>
    <row r="6165" spans="2:2" ht="15.5" x14ac:dyDescent="0.35">
      <c r="B6165" s="167"/>
    </row>
    <row r="6166" spans="2:2" ht="15.5" x14ac:dyDescent="0.35">
      <c r="B6166" s="167"/>
    </row>
    <row r="6167" spans="2:2" ht="15.5" x14ac:dyDescent="0.35">
      <c r="B6167" s="167"/>
    </row>
    <row r="6168" spans="2:2" ht="15.5" x14ac:dyDescent="0.35">
      <c r="B6168" s="167"/>
    </row>
    <row r="6169" spans="2:2" ht="15.5" x14ac:dyDescent="0.35">
      <c r="B6169" s="167"/>
    </row>
    <row r="6170" spans="2:2" ht="15.5" x14ac:dyDescent="0.35">
      <c r="B6170" s="167"/>
    </row>
    <row r="6171" spans="2:2" ht="15.5" x14ac:dyDescent="0.35">
      <c r="B6171" s="167"/>
    </row>
    <row r="6172" spans="2:2" ht="15.5" x14ac:dyDescent="0.35">
      <c r="B6172" s="167"/>
    </row>
    <row r="6173" spans="2:2" ht="15.5" x14ac:dyDescent="0.35">
      <c r="B6173" s="167"/>
    </row>
    <row r="6174" spans="2:2" ht="15.5" x14ac:dyDescent="0.35">
      <c r="B6174" s="167"/>
    </row>
    <row r="6175" spans="2:2" ht="15.5" x14ac:dyDescent="0.35">
      <c r="B6175" s="167"/>
    </row>
    <row r="6176" spans="2:2" ht="15.5" x14ac:dyDescent="0.35">
      <c r="B6176" s="167"/>
    </row>
    <row r="6177" spans="2:2" ht="15.5" x14ac:dyDescent="0.35">
      <c r="B6177" s="167"/>
    </row>
    <row r="6178" spans="2:2" ht="15.5" x14ac:dyDescent="0.35">
      <c r="B6178" s="167"/>
    </row>
    <row r="6179" spans="2:2" ht="15.5" x14ac:dyDescent="0.35">
      <c r="B6179" s="167"/>
    </row>
    <row r="6180" spans="2:2" ht="15.5" x14ac:dyDescent="0.35">
      <c r="B6180" s="167"/>
    </row>
    <row r="6181" spans="2:2" ht="15.5" x14ac:dyDescent="0.35">
      <c r="B6181" s="167"/>
    </row>
    <row r="6182" spans="2:2" ht="15.5" x14ac:dyDescent="0.35">
      <c r="B6182" s="167"/>
    </row>
    <row r="6183" spans="2:2" ht="15.5" x14ac:dyDescent="0.35">
      <c r="B6183" s="167"/>
    </row>
    <row r="6184" spans="2:2" ht="15.5" x14ac:dyDescent="0.35">
      <c r="B6184" s="167"/>
    </row>
    <row r="6185" spans="2:2" ht="15.5" x14ac:dyDescent="0.35">
      <c r="B6185" s="167"/>
    </row>
    <row r="6186" spans="2:2" ht="15.5" x14ac:dyDescent="0.35">
      <c r="B6186" s="167"/>
    </row>
    <row r="6187" spans="2:2" ht="15.5" x14ac:dyDescent="0.35">
      <c r="B6187" s="167"/>
    </row>
    <row r="6188" spans="2:2" ht="15.5" x14ac:dyDescent="0.35">
      <c r="B6188" s="167"/>
    </row>
    <row r="6189" spans="2:2" ht="15.5" x14ac:dyDescent="0.35">
      <c r="B6189" s="167"/>
    </row>
    <row r="6190" spans="2:2" ht="15.5" x14ac:dyDescent="0.35">
      <c r="B6190" s="167"/>
    </row>
    <row r="6191" spans="2:2" ht="15.5" x14ac:dyDescent="0.35">
      <c r="B6191" s="167"/>
    </row>
    <row r="6192" spans="2:2" ht="15.5" x14ac:dyDescent="0.35">
      <c r="B6192" s="167"/>
    </row>
    <row r="6193" spans="2:2" ht="15.5" x14ac:dyDescent="0.35">
      <c r="B6193" s="167"/>
    </row>
    <row r="6194" spans="2:2" ht="15.5" x14ac:dyDescent="0.35">
      <c r="B6194" s="167"/>
    </row>
    <row r="6195" spans="2:2" ht="15.5" x14ac:dyDescent="0.35">
      <c r="B6195" s="167"/>
    </row>
    <row r="6196" spans="2:2" ht="15.5" x14ac:dyDescent="0.35">
      <c r="B6196" s="167"/>
    </row>
    <row r="6197" spans="2:2" ht="15.5" x14ac:dyDescent="0.35">
      <c r="B6197" s="167"/>
    </row>
    <row r="6198" spans="2:2" ht="15.5" x14ac:dyDescent="0.35">
      <c r="B6198" s="167"/>
    </row>
    <row r="6199" spans="2:2" ht="15.5" x14ac:dyDescent="0.35">
      <c r="B6199" s="167"/>
    </row>
    <row r="6200" spans="2:2" ht="15.5" x14ac:dyDescent="0.35">
      <c r="B6200" s="167"/>
    </row>
    <row r="6201" spans="2:2" ht="15.5" x14ac:dyDescent="0.35">
      <c r="B6201" s="167"/>
    </row>
    <row r="6202" spans="2:2" ht="15.5" x14ac:dyDescent="0.35">
      <c r="B6202" s="167"/>
    </row>
    <row r="6203" spans="2:2" ht="15.5" x14ac:dyDescent="0.35">
      <c r="B6203" s="167"/>
    </row>
    <row r="6204" spans="2:2" ht="15.5" x14ac:dyDescent="0.35">
      <c r="B6204" s="167"/>
    </row>
    <row r="6205" spans="2:2" ht="15.5" x14ac:dyDescent="0.35">
      <c r="B6205" s="167"/>
    </row>
    <row r="6206" spans="2:2" ht="15.5" x14ac:dyDescent="0.35">
      <c r="B6206" s="167"/>
    </row>
    <row r="6207" spans="2:2" ht="15.5" x14ac:dyDescent="0.35">
      <c r="B6207" s="167"/>
    </row>
    <row r="6208" spans="2:2" ht="15.5" x14ac:dyDescent="0.35">
      <c r="B6208" s="167"/>
    </row>
    <row r="6209" spans="2:2" ht="15.5" x14ac:dyDescent="0.35">
      <c r="B6209" s="167"/>
    </row>
    <row r="6210" spans="2:2" ht="15.5" x14ac:dyDescent="0.35">
      <c r="B6210" s="167"/>
    </row>
    <row r="6211" spans="2:2" ht="15.5" x14ac:dyDescent="0.35">
      <c r="B6211" s="167"/>
    </row>
    <row r="6212" spans="2:2" ht="15.5" x14ac:dyDescent="0.35">
      <c r="B6212" s="167"/>
    </row>
    <row r="6213" spans="2:2" ht="15.5" x14ac:dyDescent="0.35">
      <c r="B6213" s="167"/>
    </row>
    <row r="6214" spans="2:2" ht="15.5" x14ac:dyDescent="0.35">
      <c r="B6214" s="167"/>
    </row>
    <row r="6215" spans="2:2" ht="15.5" x14ac:dyDescent="0.35">
      <c r="B6215" s="167"/>
    </row>
    <row r="6216" spans="2:2" ht="15.5" x14ac:dyDescent="0.35">
      <c r="B6216" s="167"/>
    </row>
    <row r="6217" spans="2:2" ht="15.5" x14ac:dyDescent="0.35">
      <c r="B6217" s="167"/>
    </row>
    <row r="6218" spans="2:2" ht="15.5" x14ac:dyDescent="0.35">
      <c r="B6218" s="167"/>
    </row>
    <row r="6219" spans="2:2" ht="15.5" x14ac:dyDescent="0.35">
      <c r="B6219" s="167"/>
    </row>
    <row r="6220" spans="2:2" ht="15.5" x14ac:dyDescent="0.35">
      <c r="B6220" s="167"/>
    </row>
    <row r="6221" spans="2:2" ht="15.5" x14ac:dyDescent="0.35">
      <c r="B6221" s="167"/>
    </row>
    <row r="6222" spans="2:2" ht="15.5" x14ac:dyDescent="0.35">
      <c r="B6222" s="167"/>
    </row>
    <row r="6223" spans="2:2" ht="15.5" x14ac:dyDescent="0.35">
      <c r="B6223" s="167"/>
    </row>
    <row r="6224" spans="2:2" ht="15.5" x14ac:dyDescent="0.35">
      <c r="B6224" s="167"/>
    </row>
    <row r="6225" spans="2:2" ht="15.5" x14ac:dyDescent="0.35">
      <c r="B6225" s="167"/>
    </row>
    <row r="6226" spans="2:2" ht="15.5" x14ac:dyDescent="0.35">
      <c r="B6226" s="167"/>
    </row>
    <row r="6227" spans="2:2" ht="15.5" x14ac:dyDescent="0.35">
      <c r="B6227" s="167"/>
    </row>
    <row r="6228" spans="2:2" ht="15.5" x14ac:dyDescent="0.35">
      <c r="B6228" s="167"/>
    </row>
    <row r="6229" spans="2:2" ht="15.5" x14ac:dyDescent="0.35">
      <c r="B6229" s="167"/>
    </row>
    <row r="6230" spans="2:2" ht="15.5" x14ac:dyDescent="0.35">
      <c r="B6230" s="167"/>
    </row>
    <row r="6231" spans="2:2" ht="15.5" x14ac:dyDescent="0.35">
      <c r="B6231" s="167"/>
    </row>
    <row r="6232" spans="2:2" ht="15.5" x14ac:dyDescent="0.35">
      <c r="B6232" s="167"/>
    </row>
    <row r="6233" spans="2:2" ht="15.5" x14ac:dyDescent="0.35">
      <c r="B6233" s="167"/>
    </row>
    <row r="6234" spans="2:2" ht="15.5" x14ac:dyDescent="0.35">
      <c r="B6234" s="167"/>
    </row>
    <row r="6235" spans="2:2" ht="15.5" x14ac:dyDescent="0.35">
      <c r="B6235" s="167"/>
    </row>
    <row r="6236" spans="2:2" ht="15.5" x14ac:dyDescent="0.35">
      <c r="B6236" s="167"/>
    </row>
    <row r="6237" spans="2:2" ht="15.5" x14ac:dyDescent="0.35">
      <c r="B6237" s="167"/>
    </row>
    <row r="6238" spans="2:2" ht="15.5" x14ac:dyDescent="0.35">
      <c r="B6238" s="167"/>
    </row>
    <row r="6239" spans="2:2" ht="15.5" x14ac:dyDescent="0.35">
      <c r="B6239" s="167"/>
    </row>
    <row r="6240" spans="2:2" ht="15.5" x14ac:dyDescent="0.35">
      <c r="B6240" s="167"/>
    </row>
    <row r="6241" spans="2:2" ht="15.5" x14ac:dyDescent="0.35">
      <c r="B6241" s="167"/>
    </row>
    <row r="6242" spans="2:2" ht="15.5" x14ac:dyDescent="0.35">
      <c r="B6242" s="167"/>
    </row>
    <row r="6243" spans="2:2" ht="15.5" x14ac:dyDescent="0.35">
      <c r="B6243" s="167"/>
    </row>
    <row r="6244" spans="2:2" ht="15.5" x14ac:dyDescent="0.35">
      <c r="B6244" s="167"/>
    </row>
    <row r="6245" spans="2:2" ht="15.5" x14ac:dyDescent="0.35">
      <c r="B6245" s="167"/>
    </row>
    <row r="6246" spans="2:2" ht="15.5" x14ac:dyDescent="0.35">
      <c r="B6246" s="167"/>
    </row>
    <row r="6247" spans="2:2" ht="15.5" x14ac:dyDescent="0.35">
      <c r="B6247" s="167"/>
    </row>
    <row r="6248" spans="2:2" ht="15.5" x14ac:dyDescent="0.35">
      <c r="B6248" s="167"/>
    </row>
    <row r="6249" spans="2:2" ht="15.5" x14ac:dyDescent="0.35">
      <c r="B6249" s="167"/>
    </row>
    <row r="6250" spans="2:2" ht="15.5" x14ac:dyDescent="0.35">
      <c r="B6250" s="167"/>
    </row>
    <row r="6251" spans="2:2" ht="15.5" x14ac:dyDescent="0.35">
      <c r="B6251" s="167"/>
    </row>
    <row r="6252" spans="2:2" ht="15.5" x14ac:dyDescent="0.35">
      <c r="B6252" s="167"/>
    </row>
    <row r="6253" spans="2:2" ht="15.5" x14ac:dyDescent="0.35">
      <c r="B6253" s="167"/>
    </row>
    <row r="6254" spans="2:2" ht="15.5" x14ac:dyDescent="0.35">
      <c r="B6254" s="167"/>
    </row>
    <row r="6255" spans="2:2" ht="15.5" x14ac:dyDescent="0.35">
      <c r="B6255" s="167"/>
    </row>
    <row r="6256" spans="2:2" ht="15.5" x14ac:dyDescent="0.35">
      <c r="B6256" s="167"/>
    </row>
    <row r="6257" spans="2:2" ht="15.5" x14ac:dyDescent="0.35">
      <c r="B6257" s="167"/>
    </row>
    <row r="6258" spans="2:2" ht="15.5" x14ac:dyDescent="0.35">
      <c r="B6258" s="167"/>
    </row>
    <row r="6259" spans="2:2" ht="15.5" x14ac:dyDescent="0.35">
      <c r="B6259" s="167"/>
    </row>
    <row r="6260" spans="2:2" ht="15.5" x14ac:dyDescent="0.35">
      <c r="B6260" s="167"/>
    </row>
    <row r="6261" spans="2:2" ht="15.5" x14ac:dyDescent="0.35">
      <c r="B6261" s="167"/>
    </row>
    <row r="6262" spans="2:2" ht="15.5" x14ac:dyDescent="0.35">
      <c r="B6262" s="167"/>
    </row>
    <row r="6263" spans="2:2" ht="15.5" x14ac:dyDescent="0.35">
      <c r="B6263" s="167"/>
    </row>
    <row r="6264" spans="2:2" ht="15.5" x14ac:dyDescent="0.35">
      <c r="B6264" s="167"/>
    </row>
    <row r="6265" spans="2:2" ht="15.5" x14ac:dyDescent="0.35">
      <c r="B6265" s="167"/>
    </row>
    <row r="6266" spans="2:2" ht="15.5" x14ac:dyDescent="0.35">
      <c r="B6266" s="167"/>
    </row>
    <row r="6267" spans="2:2" ht="15.5" x14ac:dyDescent="0.35">
      <c r="B6267" s="167"/>
    </row>
    <row r="6268" spans="2:2" ht="15.5" x14ac:dyDescent="0.35">
      <c r="B6268" s="167"/>
    </row>
    <row r="6269" spans="2:2" ht="15.5" x14ac:dyDescent="0.35">
      <c r="B6269" s="167"/>
    </row>
    <row r="6270" spans="2:2" ht="15.5" x14ac:dyDescent="0.35">
      <c r="B6270" s="167"/>
    </row>
    <row r="6271" spans="2:2" ht="15.5" x14ac:dyDescent="0.35">
      <c r="B6271" s="167"/>
    </row>
    <row r="6272" spans="2:2" ht="15.5" x14ac:dyDescent="0.35">
      <c r="B6272" s="167"/>
    </row>
    <row r="6273" spans="2:2" ht="15.5" x14ac:dyDescent="0.35">
      <c r="B6273" s="167"/>
    </row>
    <row r="6274" spans="2:2" ht="15.5" x14ac:dyDescent="0.35">
      <c r="B6274" s="167"/>
    </row>
    <row r="6275" spans="2:2" ht="15.5" x14ac:dyDescent="0.35">
      <c r="B6275" s="167"/>
    </row>
    <row r="6276" spans="2:2" ht="15.5" x14ac:dyDescent="0.35">
      <c r="B6276" s="167"/>
    </row>
    <row r="6277" spans="2:2" ht="15.5" x14ac:dyDescent="0.35">
      <c r="B6277" s="167"/>
    </row>
    <row r="6278" spans="2:2" ht="15.5" x14ac:dyDescent="0.35">
      <c r="B6278" s="167"/>
    </row>
    <row r="6279" spans="2:2" ht="15.5" x14ac:dyDescent="0.35">
      <c r="B6279" s="167"/>
    </row>
    <row r="6280" spans="2:2" ht="15.5" x14ac:dyDescent="0.35">
      <c r="B6280" s="167"/>
    </row>
    <row r="6281" spans="2:2" ht="15.5" x14ac:dyDescent="0.35">
      <c r="B6281" s="167"/>
    </row>
    <row r="6282" spans="2:2" ht="15.5" x14ac:dyDescent="0.35">
      <c r="B6282" s="167"/>
    </row>
    <row r="6283" spans="2:2" ht="15.5" x14ac:dyDescent="0.35">
      <c r="B6283" s="167"/>
    </row>
    <row r="6284" spans="2:2" ht="15.5" x14ac:dyDescent="0.35">
      <c r="B6284" s="167"/>
    </row>
    <row r="6285" spans="2:2" ht="15.5" x14ac:dyDescent="0.35">
      <c r="B6285" s="167"/>
    </row>
    <row r="6286" spans="2:2" ht="15.5" x14ac:dyDescent="0.35">
      <c r="B6286" s="167"/>
    </row>
    <row r="6287" spans="2:2" ht="15.5" x14ac:dyDescent="0.35">
      <c r="B6287" s="167"/>
    </row>
    <row r="6288" spans="2:2" ht="15.5" x14ac:dyDescent="0.35">
      <c r="B6288" s="167"/>
    </row>
    <row r="6289" spans="2:2" ht="15.5" x14ac:dyDescent="0.35">
      <c r="B6289" s="167"/>
    </row>
    <row r="6290" spans="2:2" ht="15.5" x14ac:dyDescent="0.35">
      <c r="B6290" s="167"/>
    </row>
    <row r="6291" spans="2:2" ht="15.5" x14ac:dyDescent="0.35">
      <c r="B6291" s="167"/>
    </row>
    <row r="6292" spans="2:2" ht="15.5" x14ac:dyDescent="0.35">
      <c r="B6292" s="167"/>
    </row>
    <row r="6293" spans="2:2" ht="15.5" x14ac:dyDescent="0.35">
      <c r="B6293" s="167"/>
    </row>
    <row r="6294" spans="2:2" ht="15.5" x14ac:dyDescent="0.35">
      <c r="B6294" s="167"/>
    </row>
    <row r="6295" spans="2:2" ht="15.5" x14ac:dyDescent="0.35">
      <c r="B6295" s="167"/>
    </row>
    <row r="6296" spans="2:2" ht="15.5" x14ac:dyDescent="0.35">
      <c r="B6296" s="167"/>
    </row>
    <row r="6297" spans="2:2" ht="15.5" x14ac:dyDescent="0.35">
      <c r="B6297" s="167"/>
    </row>
    <row r="6298" spans="2:2" ht="15.5" x14ac:dyDescent="0.35">
      <c r="B6298" s="167"/>
    </row>
    <row r="6299" spans="2:2" ht="15.5" x14ac:dyDescent="0.35">
      <c r="B6299" s="167"/>
    </row>
    <row r="6300" spans="2:2" ht="15.5" x14ac:dyDescent="0.35">
      <c r="B6300" s="167"/>
    </row>
    <row r="6301" spans="2:2" ht="15.5" x14ac:dyDescent="0.35">
      <c r="B6301" s="167"/>
    </row>
    <row r="6302" spans="2:2" ht="15.5" x14ac:dyDescent="0.35">
      <c r="B6302" s="167"/>
    </row>
    <row r="6303" spans="2:2" ht="15.5" x14ac:dyDescent="0.35">
      <c r="B6303" s="167"/>
    </row>
    <row r="6304" spans="2:2" ht="15.5" x14ac:dyDescent="0.35">
      <c r="B6304" s="167"/>
    </row>
    <row r="6305" spans="2:2" ht="15.5" x14ac:dyDescent="0.35">
      <c r="B6305" s="167"/>
    </row>
    <row r="6306" spans="2:2" ht="15.5" x14ac:dyDescent="0.35">
      <c r="B6306" s="167"/>
    </row>
    <row r="6307" spans="2:2" ht="15.5" x14ac:dyDescent="0.35">
      <c r="B6307" s="167"/>
    </row>
    <row r="6308" spans="2:2" ht="15.5" x14ac:dyDescent="0.35">
      <c r="B6308" s="167"/>
    </row>
    <row r="6309" spans="2:2" ht="15.5" x14ac:dyDescent="0.35">
      <c r="B6309" s="167"/>
    </row>
    <row r="6310" spans="2:2" ht="15.5" x14ac:dyDescent="0.35">
      <c r="B6310" s="167"/>
    </row>
    <row r="6311" spans="2:2" ht="15.5" x14ac:dyDescent="0.35">
      <c r="B6311" s="167"/>
    </row>
    <row r="6312" spans="2:2" ht="15.5" x14ac:dyDescent="0.35">
      <c r="B6312" s="167"/>
    </row>
    <row r="6313" spans="2:2" ht="15.5" x14ac:dyDescent="0.35">
      <c r="B6313" s="167"/>
    </row>
    <row r="6314" spans="2:2" ht="15.5" x14ac:dyDescent="0.35">
      <c r="B6314" s="167"/>
    </row>
    <row r="6315" spans="2:2" ht="15.5" x14ac:dyDescent="0.35">
      <c r="B6315" s="167"/>
    </row>
    <row r="6316" spans="2:2" ht="15.5" x14ac:dyDescent="0.35">
      <c r="B6316" s="167"/>
    </row>
    <row r="6317" spans="2:2" ht="15.5" x14ac:dyDescent="0.35">
      <c r="B6317" s="167"/>
    </row>
    <row r="6318" spans="2:2" ht="15.5" x14ac:dyDescent="0.35">
      <c r="B6318" s="167"/>
    </row>
    <row r="6319" spans="2:2" ht="15.5" x14ac:dyDescent="0.35">
      <c r="B6319" s="167"/>
    </row>
    <row r="6320" spans="2:2" ht="15.5" x14ac:dyDescent="0.35">
      <c r="B6320" s="167"/>
    </row>
    <row r="6321" spans="2:2" ht="15.5" x14ac:dyDescent="0.35">
      <c r="B6321" s="167"/>
    </row>
    <row r="6322" spans="2:2" ht="15.5" x14ac:dyDescent="0.35">
      <c r="B6322" s="167"/>
    </row>
    <row r="6323" spans="2:2" ht="15.5" x14ac:dyDescent="0.35">
      <c r="B6323" s="167"/>
    </row>
    <row r="6324" spans="2:2" ht="15.5" x14ac:dyDescent="0.35">
      <c r="B6324" s="167"/>
    </row>
    <row r="6325" spans="2:2" ht="15.5" x14ac:dyDescent="0.35">
      <c r="B6325" s="167"/>
    </row>
    <row r="6326" spans="2:2" ht="15.5" x14ac:dyDescent="0.35">
      <c r="B6326" s="167"/>
    </row>
    <row r="6327" spans="2:2" ht="15.5" x14ac:dyDescent="0.35">
      <c r="B6327" s="167"/>
    </row>
    <row r="6328" spans="2:2" ht="15.5" x14ac:dyDescent="0.35">
      <c r="B6328" s="167"/>
    </row>
    <row r="6329" spans="2:2" ht="15.5" x14ac:dyDescent="0.35">
      <c r="B6329" s="167"/>
    </row>
    <row r="6330" spans="2:2" ht="15.5" x14ac:dyDescent="0.35">
      <c r="B6330" s="167"/>
    </row>
    <row r="6331" spans="2:2" ht="15.5" x14ac:dyDescent="0.35">
      <c r="B6331" s="167"/>
    </row>
    <row r="6332" spans="2:2" ht="15.5" x14ac:dyDescent="0.35">
      <c r="B6332" s="167"/>
    </row>
    <row r="6333" spans="2:2" ht="15.5" x14ac:dyDescent="0.35">
      <c r="B6333" s="167"/>
    </row>
    <row r="6334" spans="2:2" ht="15.5" x14ac:dyDescent="0.35">
      <c r="B6334" s="167"/>
    </row>
    <row r="6335" spans="2:2" ht="15.5" x14ac:dyDescent="0.35">
      <c r="B6335" s="167"/>
    </row>
    <row r="6336" spans="2:2" ht="15.5" x14ac:dyDescent="0.35">
      <c r="B6336" s="167"/>
    </row>
    <row r="6337" spans="2:2" ht="15.5" x14ac:dyDescent="0.35">
      <c r="B6337" s="167"/>
    </row>
    <row r="6338" spans="2:2" ht="15.5" x14ac:dyDescent="0.35">
      <c r="B6338" s="167"/>
    </row>
    <row r="6339" spans="2:2" ht="15.5" x14ac:dyDescent="0.35">
      <c r="B6339" s="167"/>
    </row>
    <row r="6340" spans="2:2" ht="15.5" x14ac:dyDescent="0.35">
      <c r="B6340" s="167"/>
    </row>
    <row r="6341" spans="2:2" ht="15.5" x14ac:dyDescent="0.35">
      <c r="B6341" s="167"/>
    </row>
    <row r="6342" spans="2:2" ht="15.5" x14ac:dyDescent="0.35">
      <c r="B6342" s="167"/>
    </row>
    <row r="6343" spans="2:2" ht="15.5" x14ac:dyDescent="0.35">
      <c r="B6343" s="167"/>
    </row>
    <row r="6344" spans="2:2" ht="15.5" x14ac:dyDescent="0.35">
      <c r="B6344" s="167"/>
    </row>
    <row r="6345" spans="2:2" ht="15.5" x14ac:dyDescent="0.35">
      <c r="B6345" s="167"/>
    </row>
    <row r="6346" spans="2:2" ht="15.5" x14ac:dyDescent="0.35">
      <c r="B6346" s="167"/>
    </row>
    <row r="6347" spans="2:2" ht="15.5" x14ac:dyDescent="0.35">
      <c r="B6347" s="167"/>
    </row>
    <row r="6348" spans="2:2" ht="15.5" x14ac:dyDescent="0.35">
      <c r="B6348" s="167"/>
    </row>
    <row r="6349" spans="2:2" ht="15.5" x14ac:dyDescent="0.35">
      <c r="B6349" s="167"/>
    </row>
    <row r="6350" spans="2:2" ht="15.5" x14ac:dyDescent="0.35">
      <c r="B6350" s="167"/>
    </row>
    <row r="6351" spans="2:2" ht="15.5" x14ac:dyDescent="0.35">
      <c r="B6351" s="167"/>
    </row>
    <row r="6352" spans="2:2" ht="15.5" x14ac:dyDescent="0.35">
      <c r="B6352" s="167"/>
    </row>
    <row r="6353" spans="2:2" ht="15.5" x14ac:dyDescent="0.35">
      <c r="B6353" s="167"/>
    </row>
    <row r="6354" spans="2:2" ht="15.5" x14ac:dyDescent="0.35">
      <c r="B6354" s="167"/>
    </row>
    <row r="6355" spans="2:2" ht="15.5" x14ac:dyDescent="0.35">
      <c r="B6355" s="167"/>
    </row>
    <row r="6356" spans="2:2" ht="15.5" x14ac:dyDescent="0.35">
      <c r="B6356" s="167"/>
    </row>
    <row r="6357" spans="2:2" ht="15.5" x14ac:dyDescent="0.35">
      <c r="B6357" s="167"/>
    </row>
    <row r="6358" spans="2:2" ht="15.5" x14ac:dyDescent="0.35">
      <c r="B6358" s="167"/>
    </row>
    <row r="6359" spans="2:2" ht="15.5" x14ac:dyDescent="0.35">
      <c r="B6359" s="167"/>
    </row>
    <row r="6360" spans="2:2" ht="15.5" x14ac:dyDescent="0.35">
      <c r="B6360" s="167"/>
    </row>
    <row r="6361" spans="2:2" ht="15.5" x14ac:dyDescent="0.35">
      <c r="B6361" s="167"/>
    </row>
    <row r="6362" spans="2:2" ht="15.5" x14ac:dyDescent="0.35">
      <c r="B6362" s="167"/>
    </row>
    <row r="6363" spans="2:2" ht="15.5" x14ac:dyDescent="0.35">
      <c r="B6363" s="167"/>
    </row>
    <row r="6364" spans="2:2" ht="15.5" x14ac:dyDescent="0.35">
      <c r="B6364" s="167"/>
    </row>
    <row r="6365" spans="2:2" ht="15.5" x14ac:dyDescent="0.35">
      <c r="B6365" s="167"/>
    </row>
    <row r="6366" spans="2:2" ht="15.5" x14ac:dyDescent="0.35">
      <c r="B6366" s="167"/>
    </row>
    <row r="6367" spans="2:2" ht="15.5" x14ac:dyDescent="0.35">
      <c r="B6367" s="167"/>
    </row>
    <row r="6368" spans="2:2" ht="15.5" x14ac:dyDescent="0.35">
      <c r="B6368" s="167"/>
    </row>
    <row r="6369" spans="2:2" ht="15.5" x14ac:dyDescent="0.35">
      <c r="B6369" s="167"/>
    </row>
    <row r="6370" spans="2:2" ht="15.5" x14ac:dyDescent="0.35">
      <c r="B6370" s="167"/>
    </row>
    <row r="6371" spans="2:2" ht="15.5" x14ac:dyDescent="0.35">
      <c r="B6371" s="167"/>
    </row>
    <row r="6372" spans="2:2" ht="15.5" x14ac:dyDescent="0.35">
      <c r="B6372" s="167"/>
    </row>
    <row r="6373" spans="2:2" ht="15.5" x14ac:dyDescent="0.35">
      <c r="B6373" s="167"/>
    </row>
    <row r="6374" spans="2:2" ht="15.5" x14ac:dyDescent="0.35">
      <c r="B6374" s="167"/>
    </row>
    <row r="6375" spans="2:2" ht="15.5" x14ac:dyDescent="0.35">
      <c r="B6375" s="167"/>
    </row>
    <row r="6376" spans="2:2" ht="15.5" x14ac:dyDescent="0.35">
      <c r="B6376" s="167"/>
    </row>
    <row r="6377" spans="2:2" ht="15.5" x14ac:dyDescent="0.35">
      <c r="B6377" s="167"/>
    </row>
    <row r="6378" spans="2:2" ht="15.5" x14ac:dyDescent="0.35">
      <c r="B6378" s="167"/>
    </row>
    <row r="6379" spans="2:2" ht="15.5" x14ac:dyDescent="0.35">
      <c r="B6379" s="167"/>
    </row>
    <row r="6380" spans="2:2" ht="15.5" x14ac:dyDescent="0.35">
      <c r="B6380" s="167"/>
    </row>
    <row r="6381" spans="2:2" ht="15.5" x14ac:dyDescent="0.35">
      <c r="B6381" s="167"/>
    </row>
    <row r="6382" spans="2:2" ht="15.5" x14ac:dyDescent="0.35">
      <c r="B6382" s="167"/>
    </row>
    <row r="6383" spans="2:2" ht="15.5" x14ac:dyDescent="0.35">
      <c r="B6383" s="167"/>
    </row>
    <row r="6384" spans="2:2" ht="15.5" x14ac:dyDescent="0.35">
      <c r="B6384" s="167"/>
    </row>
    <row r="6385" spans="2:2" ht="15.5" x14ac:dyDescent="0.35">
      <c r="B6385" s="167"/>
    </row>
    <row r="6386" spans="2:2" ht="15.5" x14ac:dyDescent="0.35">
      <c r="B6386" s="167"/>
    </row>
    <row r="6387" spans="2:2" ht="15.5" x14ac:dyDescent="0.35">
      <c r="B6387" s="167"/>
    </row>
    <row r="6388" spans="2:2" ht="15.5" x14ac:dyDescent="0.35">
      <c r="B6388" s="167"/>
    </row>
    <row r="6389" spans="2:2" ht="15.5" x14ac:dyDescent="0.35">
      <c r="B6389" s="167"/>
    </row>
    <row r="6390" spans="2:2" ht="15.5" x14ac:dyDescent="0.35">
      <c r="B6390" s="167"/>
    </row>
    <row r="6391" spans="2:2" ht="15.5" x14ac:dyDescent="0.35">
      <c r="B6391" s="167"/>
    </row>
    <row r="6392" spans="2:2" ht="15.5" x14ac:dyDescent="0.35">
      <c r="B6392" s="167"/>
    </row>
    <row r="6393" spans="2:2" ht="15.5" x14ac:dyDescent="0.35">
      <c r="B6393" s="167"/>
    </row>
    <row r="6394" spans="2:2" ht="15.5" x14ac:dyDescent="0.35">
      <c r="B6394" s="167"/>
    </row>
    <row r="6395" spans="2:2" ht="15.5" x14ac:dyDescent="0.35">
      <c r="B6395" s="167"/>
    </row>
    <row r="6396" spans="2:2" ht="15.5" x14ac:dyDescent="0.35">
      <c r="B6396" s="167"/>
    </row>
    <row r="6397" spans="2:2" ht="15.5" x14ac:dyDescent="0.35">
      <c r="B6397" s="167"/>
    </row>
    <row r="6398" spans="2:2" ht="15.5" x14ac:dyDescent="0.35">
      <c r="B6398" s="167"/>
    </row>
    <row r="6399" spans="2:2" ht="15.5" x14ac:dyDescent="0.35">
      <c r="B6399" s="167"/>
    </row>
    <row r="6400" spans="2:2" ht="15.5" x14ac:dyDescent="0.35">
      <c r="B6400" s="167"/>
    </row>
    <row r="6401" spans="2:2" ht="15.5" x14ac:dyDescent="0.35">
      <c r="B6401" s="167"/>
    </row>
    <row r="6402" spans="2:2" ht="15.5" x14ac:dyDescent="0.35">
      <c r="B6402" s="167"/>
    </row>
    <row r="6403" spans="2:2" ht="15.5" x14ac:dyDescent="0.35">
      <c r="B6403" s="167"/>
    </row>
    <row r="6404" spans="2:2" ht="15.5" x14ac:dyDescent="0.35">
      <c r="B6404" s="167"/>
    </row>
    <row r="6405" spans="2:2" ht="15.5" x14ac:dyDescent="0.35">
      <c r="B6405" s="167"/>
    </row>
    <row r="6406" spans="2:2" ht="15.5" x14ac:dyDescent="0.35">
      <c r="B6406" s="167"/>
    </row>
    <row r="6407" spans="2:2" ht="15.5" x14ac:dyDescent="0.35">
      <c r="B6407" s="167"/>
    </row>
    <row r="6408" spans="2:2" ht="15.5" x14ac:dyDescent="0.35">
      <c r="B6408" s="167"/>
    </row>
    <row r="6409" spans="2:2" ht="15.5" x14ac:dyDescent="0.35">
      <c r="B6409" s="167"/>
    </row>
    <row r="6410" spans="2:2" ht="15.5" x14ac:dyDescent="0.35">
      <c r="B6410" s="167"/>
    </row>
    <row r="6411" spans="2:2" ht="15.5" x14ac:dyDescent="0.35">
      <c r="B6411" s="167"/>
    </row>
    <row r="6412" spans="2:2" ht="15.5" x14ac:dyDescent="0.35">
      <c r="B6412" s="167"/>
    </row>
    <row r="6413" spans="2:2" ht="15.5" x14ac:dyDescent="0.35">
      <c r="B6413" s="167"/>
    </row>
    <row r="6414" spans="2:2" ht="15.5" x14ac:dyDescent="0.35">
      <c r="B6414" s="167"/>
    </row>
    <row r="6415" spans="2:2" ht="15.5" x14ac:dyDescent="0.35">
      <c r="B6415" s="167"/>
    </row>
    <row r="6416" spans="2:2" ht="15.5" x14ac:dyDescent="0.35">
      <c r="B6416" s="167"/>
    </row>
    <row r="6417" spans="2:2" ht="15.5" x14ac:dyDescent="0.35">
      <c r="B6417" s="167"/>
    </row>
    <row r="6418" spans="2:2" ht="15.5" x14ac:dyDescent="0.35">
      <c r="B6418" s="167"/>
    </row>
    <row r="6419" spans="2:2" ht="15.5" x14ac:dyDescent="0.35">
      <c r="B6419" s="167"/>
    </row>
    <row r="6420" spans="2:2" ht="15.5" x14ac:dyDescent="0.35">
      <c r="B6420" s="167"/>
    </row>
    <row r="6421" spans="2:2" ht="15.5" x14ac:dyDescent="0.35">
      <c r="B6421" s="167"/>
    </row>
    <row r="6422" spans="2:2" ht="15.5" x14ac:dyDescent="0.35">
      <c r="B6422" s="167"/>
    </row>
    <row r="6423" spans="2:2" ht="15.5" x14ac:dyDescent="0.35">
      <c r="B6423" s="167"/>
    </row>
    <row r="6424" spans="2:2" ht="15.5" x14ac:dyDescent="0.35">
      <c r="B6424" s="167"/>
    </row>
    <row r="6425" spans="2:2" ht="15.5" x14ac:dyDescent="0.35">
      <c r="B6425" s="167"/>
    </row>
    <row r="6426" spans="2:2" ht="15.5" x14ac:dyDescent="0.35">
      <c r="B6426" s="167"/>
    </row>
    <row r="6427" spans="2:2" ht="15.5" x14ac:dyDescent="0.35">
      <c r="B6427" s="167"/>
    </row>
    <row r="6428" spans="2:2" ht="15.5" x14ac:dyDescent="0.35">
      <c r="B6428" s="167"/>
    </row>
    <row r="6429" spans="2:2" ht="15.5" x14ac:dyDescent="0.35">
      <c r="B6429" s="167"/>
    </row>
    <row r="6430" spans="2:2" ht="15.5" x14ac:dyDescent="0.35">
      <c r="B6430" s="167"/>
    </row>
    <row r="6431" spans="2:2" ht="15.5" x14ac:dyDescent="0.35">
      <c r="B6431" s="167"/>
    </row>
    <row r="6432" spans="2:2" ht="15.5" x14ac:dyDescent="0.35">
      <c r="B6432" s="167"/>
    </row>
    <row r="6433" spans="2:2" ht="15.5" x14ac:dyDescent="0.35">
      <c r="B6433" s="167"/>
    </row>
    <row r="6434" spans="2:2" ht="15.5" x14ac:dyDescent="0.35">
      <c r="B6434" s="167"/>
    </row>
    <row r="6435" spans="2:2" ht="15.5" x14ac:dyDescent="0.35">
      <c r="B6435" s="167"/>
    </row>
    <row r="6436" spans="2:2" ht="15.5" x14ac:dyDescent="0.35">
      <c r="B6436" s="167"/>
    </row>
    <row r="6437" spans="2:2" ht="15.5" x14ac:dyDescent="0.35">
      <c r="B6437" s="167"/>
    </row>
    <row r="6438" spans="2:2" ht="15.5" x14ac:dyDescent="0.35">
      <c r="B6438" s="167"/>
    </row>
    <row r="6439" spans="2:2" ht="15.5" x14ac:dyDescent="0.35">
      <c r="B6439" s="167"/>
    </row>
    <row r="6440" spans="2:2" ht="15.5" x14ac:dyDescent="0.35">
      <c r="B6440" s="167"/>
    </row>
    <row r="6441" spans="2:2" ht="15.5" x14ac:dyDescent="0.35">
      <c r="B6441" s="167"/>
    </row>
    <row r="6442" spans="2:2" ht="15.5" x14ac:dyDescent="0.35">
      <c r="B6442" s="167"/>
    </row>
    <row r="6443" spans="2:2" ht="15.5" x14ac:dyDescent="0.35">
      <c r="B6443" s="167"/>
    </row>
    <row r="6444" spans="2:2" ht="15.5" x14ac:dyDescent="0.35">
      <c r="B6444" s="167"/>
    </row>
    <row r="6445" spans="2:2" ht="15.5" x14ac:dyDescent="0.35">
      <c r="B6445" s="167"/>
    </row>
    <row r="6446" spans="2:2" ht="15.5" x14ac:dyDescent="0.35">
      <c r="B6446" s="167"/>
    </row>
    <row r="6447" spans="2:2" ht="15.5" x14ac:dyDescent="0.35">
      <c r="B6447" s="167"/>
    </row>
    <row r="6448" spans="2:2" ht="15.5" x14ac:dyDescent="0.35">
      <c r="B6448" s="167"/>
    </row>
    <row r="6449" spans="2:2" ht="15.5" x14ac:dyDescent="0.35">
      <c r="B6449" s="167"/>
    </row>
    <row r="6450" spans="2:2" ht="15.5" x14ac:dyDescent="0.35">
      <c r="B6450" s="167"/>
    </row>
    <row r="6451" spans="2:2" ht="15.5" x14ac:dyDescent="0.35">
      <c r="B6451" s="167"/>
    </row>
    <row r="6452" spans="2:2" ht="15.5" x14ac:dyDescent="0.35">
      <c r="B6452" s="167"/>
    </row>
    <row r="6453" spans="2:2" ht="15.5" x14ac:dyDescent="0.35">
      <c r="B6453" s="167"/>
    </row>
    <row r="6454" spans="2:2" ht="15.5" x14ac:dyDescent="0.35">
      <c r="B6454" s="167"/>
    </row>
    <row r="6455" spans="2:2" ht="15.5" x14ac:dyDescent="0.35">
      <c r="B6455" s="167"/>
    </row>
    <row r="6456" spans="2:2" ht="15.5" x14ac:dyDescent="0.35">
      <c r="B6456" s="167"/>
    </row>
    <row r="6457" spans="2:2" ht="15.5" x14ac:dyDescent="0.35">
      <c r="B6457" s="167"/>
    </row>
    <row r="6458" spans="2:2" ht="15.5" x14ac:dyDescent="0.35">
      <c r="B6458" s="167"/>
    </row>
    <row r="6459" spans="2:2" ht="15.5" x14ac:dyDescent="0.35">
      <c r="B6459" s="167"/>
    </row>
    <row r="6460" spans="2:2" ht="15.5" x14ac:dyDescent="0.35">
      <c r="B6460" s="167"/>
    </row>
    <row r="6461" spans="2:2" ht="15.5" x14ac:dyDescent="0.35">
      <c r="B6461" s="167"/>
    </row>
    <row r="6462" spans="2:2" ht="15.5" x14ac:dyDescent="0.35">
      <c r="B6462" s="167"/>
    </row>
    <row r="6463" spans="2:2" ht="15.5" x14ac:dyDescent="0.35">
      <c r="B6463" s="167"/>
    </row>
    <row r="6464" spans="2:2" ht="15.5" x14ac:dyDescent="0.35">
      <c r="B6464" s="167"/>
    </row>
    <row r="6465" spans="2:2" ht="15.5" x14ac:dyDescent="0.35">
      <c r="B6465" s="167"/>
    </row>
    <row r="6466" spans="2:2" ht="15.5" x14ac:dyDescent="0.35">
      <c r="B6466" s="167"/>
    </row>
    <row r="6467" spans="2:2" ht="15.5" x14ac:dyDescent="0.35">
      <c r="B6467" s="167"/>
    </row>
    <row r="6468" spans="2:2" ht="15.5" x14ac:dyDescent="0.35">
      <c r="B6468" s="167"/>
    </row>
    <row r="6469" spans="2:2" ht="15.5" x14ac:dyDescent="0.35">
      <c r="B6469" s="167"/>
    </row>
    <row r="6470" spans="2:2" ht="15.5" x14ac:dyDescent="0.35">
      <c r="B6470" s="167"/>
    </row>
    <row r="6471" spans="2:2" ht="15.5" x14ac:dyDescent="0.35">
      <c r="B6471" s="167"/>
    </row>
    <row r="6472" spans="2:2" ht="15.5" x14ac:dyDescent="0.35">
      <c r="B6472" s="167"/>
    </row>
    <row r="6473" spans="2:2" ht="15.5" x14ac:dyDescent="0.35">
      <c r="B6473" s="167"/>
    </row>
    <row r="6474" spans="2:2" ht="15.5" x14ac:dyDescent="0.35">
      <c r="B6474" s="167"/>
    </row>
    <row r="6475" spans="2:2" ht="15.5" x14ac:dyDescent="0.35">
      <c r="B6475" s="167"/>
    </row>
    <row r="6476" spans="2:2" ht="15.5" x14ac:dyDescent="0.35">
      <c r="B6476" s="167"/>
    </row>
    <row r="6477" spans="2:2" ht="15.5" x14ac:dyDescent="0.35">
      <c r="B6477" s="167"/>
    </row>
    <row r="6478" spans="2:2" ht="15.5" x14ac:dyDescent="0.35">
      <c r="B6478" s="167"/>
    </row>
    <row r="6479" spans="2:2" ht="15.5" x14ac:dyDescent="0.35">
      <c r="B6479" s="167"/>
    </row>
    <row r="6480" spans="2:2" ht="15.5" x14ac:dyDescent="0.35">
      <c r="B6480" s="167"/>
    </row>
    <row r="6481" spans="2:2" ht="15.5" x14ac:dyDescent="0.35">
      <c r="B6481" s="167"/>
    </row>
    <row r="6482" spans="2:2" ht="15.5" x14ac:dyDescent="0.35">
      <c r="B6482" s="167"/>
    </row>
    <row r="6483" spans="2:2" ht="15.5" x14ac:dyDescent="0.35">
      <c r="B6483" s="167"/>
    </row>
    <row r="6484" spans="2:2" ht="15.5" x14ac:dyDescent="0.35">
      <c r="B6484" s="167"/>
    </row>
    <row r="6485" spans="2:2" ht="15.5" x14ac:dyDescent="0.35">
      <c r="B6485" s="167"/>
    </row>
    <row r="6486" spans="2:2" ht="15.5" x14ac:dyDescent="0.35">
      <c r="B6486" s="167"/>
    </row>
    <row r="6487" spans="2:2" ht="15.5" x14ac:dyDescent="0.35">
      <c r="B6487" s="167"/>
    </row>
    <row r="6488" spans="2:2" ht="15.5" x14ac:dyDescent="0.35">
      <c r="B6488" s="167"/>
    </row>
    <row r="6489" spans="2:2" ht="15.5" x14ac:dyDescent="0.35">
      <c r="B6489" s="167"/>
    </row>
    <row r="6490" spans="2:2" ht="15.5" x14ac:dyDescent="0.35">
      <c r="B6490" s="167"/>
    </row>
    <row r="6491" spans="2:2" ht="15.5" x14ac:dyDescent="0.35">
      <c r="B6491" s="167"/>
    </row>
    <row r="6492" spans="2:2" ht="15.5" x14ac:dyDescent="0.35">
      <c r="B6492" s="167"/>
    </row>
    <row r="6493" spans="2:2" ht="15.5" x14ac:dyDescent="0.35">
      <c r="B6493" s="167"/>
    </row>
    <row r="6494" spans="2:2" ht="15.5" x14ac:dyDescent="0.35">
      <c r="B6494" s="167"/>
    </row>
    <row r="6495" spans="2:2" ht="15.5" x14ac:dyDescent="0.35">
      <c r="B6495" s="167"/>
    </row>
    <row r="6496" spans="2:2" ht="15.5" x14ac:dyDescent="0.35">
      <c r="B6496" s="167"/>
    </row>
    <row r="6497" spans="2:2" ht="15.5" x14ac:dyDescent="0.35">
      <c r="B6497" s="167"/>
    </row>
    <row r="6498" spans="2:2" ht="15.5" x14ac:dyDescent="0.35">
      <c r="B6498" s="167"/>
    </row>
    <row r="6499" spans="2:2" ht="15.5" x14ac:dyDescent="0.35">
      <c r="B6499" s="167"/>
    </row>
    <row r="6500" spans="2:2" ht="15.5" x14ac:dyDescent="0.35">
      <c r="B6500" s="167"/>
    </row>
    <row r="6501" spans="2:2" ht="15.5" x14ac:dyDescent="0.35">
      <c r="B6501" s="167"/>
    </row>
    <row r="6502" spans="2:2" ht="15.5" x14ac:dyDescent="0.35">
      <c r="B6502" s="167"/>
    </row>
    <row r="6503" spans="2:2" ht="15.5" x14ac:dyDescent="0.35">
      <c r="B6503" s="167"/>
    </row>
    <row r="6504" spans="2:2" ht="15.5" x14ac:dyDescent="0.35">
      <c r="B6504" s="167"/>
    </row>
    <row r="6505" spans="2:2" ht="15.5" x14ac:dyDescent="0.35">
      <c r="B6505" s="167"/>
    </row>
    <row r="6506" spans="2:2" ht="15.5" x14ac:dyDescent="0.35">
      <c r="B6506" s="167"/>
    </row>
    <row r="6507" spans="2:2" ht="15.5" x14ac:dyDescent="0.35">
      <c r="B6507" s="167"/>
    </row>
    <row r="6508" spans="2:2" ht="15.5" x14ac:dyDescent="0.35">
      <c r="B6508" s="167"/>
    </row>
    <row r="6509" spans="2:2" ht="15.5" x14ac:dyDescent="0.35">
      <c r="B6509" s="167"/>
    </row>
    <row r="6510" spans="2:2" ht="15.5" x14ac:dyDescent="0.35">
      <c r="B6510" s="167"/>
    </row>
    <row r="6511" spans="2:2" ht="15.5" x14ac:dyDescent="0.35">
      <c r="B6511" s="167"/>
    </row>
    <row r="6512" spans="2:2" ht="15.5" x14ac:dyDescent="0.35">
      <c r="B6512" s="167"/>
    </row>
    <row r="6513" spans="2:2" ht="15.5" x14ac:dyDescent="0.35">
      <c r="B6513" s="167"/>
    </row>
    <row r="6514" spans="2:2" ht="15.5" x14ac:dyDescent="0.35">
      <c r="B6514" s="167"/>
    </row>
    <row r="6515" spans="2:2" ht="15.5" x14ac:dyDescent="0.35">
      <c r="B6515" s="167"/>
    </row>
    <row r="6516" spans="2:2" ht="15.5" x14ac:dyDescent="0.35">
      <c r="B6516" s="167"/>
    </row>
    <row r="6517" spans="2:2" ht="15.5" x14ac:dyDescent="0.35">
      <c r="B6517" s="167"/>
    </row>
    <row r="6518" spans="2:2" ht="15.5" x14ac:dyDescent="0.35">
      <c r="B6518" s="167"/>
    </row>
    <row r="6519" spans="2:2" ht="15.5" x14ac:dyDescent="0.35">
      <c r="B6519" s="167"/>
    </row>
    <row r="6520" spans="2:2" ht="15.5" x14ac:dyDescent="0.35">
      <c r="B6520" s="167"/>
    </row>
    <row r="6521" spans="2:2" ht="15.5" x14ac:dyDescent="0.35">
      <c r="B6521" s="167"/>
    </row>
    <row r="6522" spans="2:2" ht="15.5" x14ac:dyDescent="0.35">
      <c r="B6522" s="167"/>
    </row>
    <row r="6523" spans="2:2" ht="15.5" x14ac:dyDescent="0.35">
      <c r="B6523" s="167"/>
    </row>
    <row r="6524" spans="2:2" ht="15.5" x14ac:dyDescent="0.35">
      <c r="B6524" s="167"/>
    </row>
    <row r="6525" spans="2:2" ht="15.5" x14ac:dyDescent="0.35">
      <c r="B6525" s="167"/>
    </row>
    <row r="6526" spans="2:2" ht="15.5" x14ac:dyDescent="0.35">
      <c r="B6526" s="167"/>
    </row>
    <row r="6527" spans="2:2" ht="15.5" x14ac:dyDescent="0.35">
      <c r="B6527" s="167"/>
    </row>
    <row r="6528" spans="2:2" ht="15.5" x14ac:dyDescent="0.35">
      <c r="B6528" s="167"/>
    </row>
    <row r="6529" spans="2:2" ht="15.5" x14ac:dyDescent="0.35">
      <c r="B6529" s="167"/>
    </row>
    <row r="6530" spans="2:2" ht="15.5" x14ac:dyDescent="0.35">
      <c r="B6530" s="167"/>
    </row>
    <row r="6531" spans="2:2" ht="15.5" x14ac:dyDescent="0.35">
      <c r="B6531" s="167"/>
    </row>
    <row r="6532" spans="2:2" ht="15.5" x14ac:dyDescent="0.35">
      <c r="B6532" s="167"/>
    </row>
    <row r="6533" spans="2:2" ht="15.5" x14ac:dyDescent="0.35">
      <c r="B6533" s="167"/>
    </row>
    <row r="6534" spans="2:2" ht="15.5" x14ac:dyDescent="0.35">
      <c r="B6534" s="167"/>
    </row>
    <row r="6535" spans="2:2" ht="15.5" x14ac:dyDescent="0.35">
      <c r="B6535" s="167"/>
    </row>
    <row r="6536" spans="2:2" ht="15.5" x14ac:dyDescent="0.35">
      <c r="B6536" s="167"/>
    </row>
    <row r="6537" spans="2:2" ht="15.5" x14ac:dyDescent="0.35">
      <c r="B6537" s="167"/>
    </row>
    <row r="6538" spans="2:2" ht="15.5" x14ac:dyDescent="0.35">
      <c r="B6538" s="167"/>
    </row>
    <row r="6539" spans="2:2" ht="15.5" x14ac:dyDescent="0.35">
      <c r="B6539" s="167"/>
    </row>
    <row r="6540" spans="2:2" ht="15.5" x14ac:dyDescent="0.35">
      <c r="B6540" s="167"/>
    </row>
    <row r="6541" spans="2:2" ht="15.5" x14ac:dyDescent="0.35">
      <c r="B6541" s="167"/>
    </row>
    <row r="6542" spans="2:2" ht="15.5" x14ac:dyDescent="0.35">
      <c r="B6542" s="167"/>
    </row>
    <row r="6543" spans="2:2" ht="15.5" x14ac:dyDescent="0.35">
      <c r="B6543" s="167"/>
    </row>
    <row r="6544" spans="2:2" ht="15.5" x14ac:dyDescent="0.35">
      <c r="B6544" s="167"/>
    </row>
    <row r="6545" spans="2:2" ht="15.5" x14ac:dyDescent="0.35">
      <c r="B6545" s="167"/>
    </row>
    <row r="6546" spans="2:2" ht="15.5" x14ac:dyDescent="0.35">
      <c r="B6546" s="167"/>
    </row>
    <row r="6547" spans="2:2" ht="15.5" x14ac:dyDescent="0.35">
      <c r="B6547" s="167"/>
    </row>
    <row r="6548" spans="2:2" ht="15.5" x14ac:dyDescent="0.35">
      <c r="B6548" s="167"/>
    </row>
    <row r="6549" spans="2:2" ht="15.5" x14ac:dyDescent="0.35">
      <c r="B6549" s="167"/>
    </row>
    <row r="6550" spans="2:2" ht="15.5" x14ac:dyDescent="0.35">
      <c r="B6550" s="167"/>
    </row>
    <row r="6551" spans="2:2" ht="15.5" x14ac:dyDescent="0.35">
      <c r="B6551" s="167"/>
    </row>
    <row r="6552" spans="2:2" ht="15.5" x14ac:dyDescent="0.35">
      <c r="B6552" s="167"/>
    </row>
    <row r="6553" spans="2:2" ht="15.5" x14ac:dyDescent="0.35">
      <c r="B6553" s="167"/>
    </row>
    <row r="6554" spans="2:2" ht="15.5" x14ac:dyDescent="0.35">
      <c r="B6554" s="167"/>
    </row>
    <row r="6555" spans="2:2" ht="15.5" x14ac:dyDescent="0.35">
      <c r="B6555" s="167"/>
    </row>
    <row r="6556" spans="2:2" ht="15.5" x14ac:dyDescent="0.35">
      <c r="B6556" s="167"/>
    </row>
    <row r="6557" spans="2:2" ht="15.5" x14ac:dyDescent="0.35">
      <c r="B6557" s="167"/>
    </row>
    <row r="6558" spans="2:2" ht="15.5" x14ac:dyDescent="0.35">
      <c r="B6558" s="167"/>
    </row>
    <row r="6559" spans="2:2" ht="15.5" x14ac:dyDescent="0.35">
      <c r="B6559" s="167"/>
    </row>
    <row r="6560" spans="2:2" ht="15.5" x14ac:dyDescent="0.35">
      <c r="B6560" s="167"/>
    </row>
    <row r="6561" spans="2:2" ht="15.5" x14ac:dyDescent="0.35">
      <c r="B6561" s="167"/>
    </row>
    <row r="6562" spans="2:2" ht="15.5" x14ac:dyDescent="0.35">
      <c r="B6562" s="167"/>
    </row>
    <row r="6563" spans="2:2" ht="15.5" x14ac:dyDescent="0.35">
      <c r="B6563" s="167"/>
    </row>
    <row r="6564" spans="2:2" ht="15.5" x14ac:dyDescent="0.35">
      <c r="B6564" s="167"/>
    </row>
    <row r="6565" spans="2:2" ht="15.5" x14ac:dyDescent="0.35">
      <c r="B6565" s="167"/>
    </row>
    <row r="6566" spans="2:2" ht="15.5" x14ac:dyDescent="0.35">
      <c r="B6566" s="167"/>
    </row>
    <row r="6567" spans="2:2" ht="15.5" x14ac:dyDescent="0.35">
      <c r="B6567" s="167"/>
    </row>
    <row r="6568" spans="2:2" ht="15.5" x14ac:dyDescent="0.35">
      <c r="B6568" s="167"/>
    </row>
    <row r="6569" spans="2:2" ht="15.5" x14ac:dyDescent="0.35">
      <c r="B6569" s="167"/>
    </row>
    <row r="6570" spans="2:2" ht="15.5" x14ac:dyDescent="0.35">
      <c r="B6570" s="167"/>
    </row>
    <row r="6571" spans="2:2" ht="15.5" x14ac:dyDescent="0.35">
      <c r="B6571" s="167"/>
    </row>
    <row r="6572" spans="2:2" ht="15.5" x14ac:dyDescent="0.35">
      <c r="B6572" s="167"/>
    </row>
    <row r="6573" spans="2:2" ht="15.5" x14ac:dyDescent="0.35">
      <c r="B6573" s="167"/>
    </row>
    <row r="6574" spans="2:2" ht="15.5" x14ac:dyDescent="0.35">
      <c r="B6574" s="167"/>
    </row>
    <row r="6575" spans="2:2" ht="15.5" x14ac:dyDescent="0.35">
      <c r="B6575" s="167"/>
    </row>
    <row r="6576" spans="2:2" ht="15.5" x14ac:dyDescent="0.35">
      <c r="B6576" s="167"/>
    </row>
    <row r="6577" spans="2:2" ht="15.5" x14ac:dyDescent="0.35">
      <c r="B6577" s="167"/>
    </row>
    <row r="6578" spans="2:2" ht="15.5" x14ac:dyDescent="0.35">
      <c r="B6578" s="167"/>
    </row>
    <row r="6579" spans="2:2" ht="15.5" x14ac:dyDescent="0.35">
      <c r="B6579" s="167"/>
    </row>
    <row r="6580" spans="2:2" ht="15.5" x14ac:dyDescent="0.35">
      <c r="B6580" s="167"/>
    </row>
    <row r="6581" spans="2:2" ht="15.5" x14ac:dyDescent="0.35">
      <c r="B6581" s="167"/>
    </row>
    <row r="6582" spans="2:2" ht="15.5" x14ac:dyDescent="0.35">
      <c r="B6582" s="167"/>
    </row>
    <row r="6583" spans="2:2" ht="15.5" x14ac:dyDescent="0.35">
      <c r="B6583" s="167"/>
    </row>
    <row r="6584" spans="2:2" ht="15.5" x14ac:dyDescent="0.35">
      <c r="B6584" s="167"/>
    </row>
    <row r="6585" spans="2:2" ht="15.5" x14ac:dyDescent="0.35">
      <c r="B6585" s="167"/>
    </row>
    <row r="6586" spans="2:2" ht="15.5" x14ac:dyDescent="0.35">
      <c r="B6586" s="167"/>
    </row>
    <row r="6587" spans="2:2" ht="15.5" x14ac:dyDescent="0.35">
      <c r="B6587" s="167"/>
    </row>
    <row r="6588" spans="2:2" ht="15.5" x14ac:dyDescent="0.35">
      <c r="B6588" s="167"/>
    </row>
    <row r="6589" spans="2:2" ht="15.5" x14ac:dyDescent="0.35">
      <c r="B6589" s="167"/>
    </row>
    <row r="6590" spans="2:2" ht="15.5" x14ac:dyDescent="0.35">
      <c r="B6590" s="167"/>
    </row>
    <row r="6591" spans="2:2" ht="15.5" x14ac:dyDescent="0.35">
      <c r="B6591" s="167"/>
    </row>
    <row r="6592" spans="2:2" ht="15.5" x14ac:dyDescent="0.35">
      <c r="B6592" s="167"/>
    </row>
    <row r="6593" spans="2:2" ht="15.5" x14ac:dyDescent="0.35">
      <c r="B6593" s="167"/>
    </row>
    <row r="6594" spans="2:2" ht="15.5" x14ac:dyDescent="0.35">
      <c r="B6594" s="167"/>
    </row>
    <row r="6595" spans="2:2" ht="15.5" x14ac:dyDescent="0.35">
      <c r="B6595" s="167"/>
    </row>
    <row r="6596" spans="2:2" ht="15.5" x14ac:dyDescent="0.35">
      <c r="B6596" s="167"/>
    </row>
    <row r="6597" spans="2:2" ht="15.5" x14ac:dyDescent="0.35">
      <c r="B6597" s="167"/>
    </row>
    <row r="6598" spans="2:2" ht="15.5" x14ac:dyDescent="0.35">
      <c r="B6598" s="167"/>
    </row>
    <row r="6599" spans="2:2" ht="15.5" x14ac:dyDescent="0.35">
      <c r="B6599" s="167"/>
    </row>
    <row r="6600" spans="2:2" ht="15.5" x14ac:dyDescent="0.35">
      <c r="B6600" s="167"/>
    </row>
    <row r="6601" spans="2:2" ht="15.5" x14ac:dyDescent="0.35">
      <c r="B6601" s="167"/>
    </row>
    <row r="6602" spans="2:2" ht="15.5" x14ac:dyDescent="0.35">
      <c r="B6602" s="167"/>
    </row>
    <row r="6603" spans="2:2" ht="15.5" x14ac:dyDescent="0.35">
      <c r="B6603" s="167"/>
    </row>
    <row r="6604" spans="2:2" ht="15.5" x14ac:dyDescent="0.35">
      <c r="B6604" s="167"/>
    </row>
    <row r="6605" spans="2:2" ht="15.5" x14ac:dyDescent="0.35">
      <c r="B6605" s="167"/>
    </row>
    <row r="6606" spans="2:2" ht="15.5" x14ac:dyDescent="0.35">
      <c r="B6606" s="167"/>
    </row>
    <row r="6607" spans="2:2" ht="15.5" x14ac:dyDescent="0.35">
      <c r="B6607" s="167"/>
    </row>
    <row r="6608" spans="2:2" ht="15.5" x14ac:dyDescent="0.35">
      <c r="B6608" s="167"/>
    </row>
    <row r="6609" spans="2:2" ht="15.5" x14ac:dyDescent="0.35">
      <c r="B6609" s="167"/>
    </row>
    <row r="6610" spans="2:2" ht="15.5" x14ac:dyDescent="0.35">
      <c r="B6610" s="167"/>
    </row>
    <row r="6611" spans="2:2" ht="15.5" x14ac:dyDescent="0.35">
      <c r="B6611" s="167"/>
    </row>
    <row r="6612" spans="2:2" ht="15.5" x14ac:dyDescent="0.35">
      <c r="B6612" s="167"/>
    </row>
    <row r="6613" spans="2:2" ht="15.5" x14ac:dyDescent="0.35">
      <c r="B6613" s="167"/>
    </row>
    <row r="6614" spans="2:2" ht="15.5" x14ac:dyDescent="0.35">
      <c r="B6614" s="167"/>
    </row>
    <row r="6615" spans="2:2" ht="15.5" x14ac:dyDescent="0.35">
      <c r="B6615" s="167"/>
    </row>
    <row r="6616" spans="2:2" ht="15.5" x14ac:dyDescent="0.35">
      <c r="B6616" s="167"/>
    </row>
    <row r="6617" spans="2:2" ht="15.5" x14ac:dyDescent="0.35">
      <c r="B6617" s="167"/>
    </row>
    <row r="6618" spans="2:2" ht="15.5" x14ac:dyDescent="0.35">
      <c r="B6618" s="167"/>
    </row>
    <row r="6619" spans="2:2" ht="15.5" x14ac:dyDescent="0.35">
      <c r="B6619" s="167"/>
    </row>
    <row r="6620" spans="2:2" ht="15.5" x14ac:dyDescent="0.35">
      <c r="B6620" s="167"/>
    </row>
    <row r="6621" spans="2:2" ht="15.5" x14ac:dyDescent="0.35">
      <c r="B6621" s="167"/>
    </row>
    <row r="6622" spans="2:2" ht="15.5" x14ac:dyDescent="0.35">
      <c r="B6622" s="167"/>
    </row>
    <row r="6623" spans="2:2" ht="15.5" x14ac:dyDescent="0.35">
      <c r="B6623" s="167"/>
    </row>
    <row r="6624" spans="2:2" ht="15.5" x14ac:dyDescent="0.35">
      <c r="B6624" s="167"/>
    </row>
    <row r="6625" spans="2:2" ht="15.5" x14ac:dyDescent="0.35">
      <c r="B6625" s="167"/>
    </row>
    <row r="6626" spans="2:2" ht="15.5" x14ac:dyDescent="0.35">
      <c r="B6626" s="167"/>
    </row>
    <row r="6627" spans="2:2" ht="15.5" x14ac:dyDescent="0.35">
      <c r="B6627" s="167"/>
    </row>
    <row r="6628" spans="2:2" ht="15.5" x14ac:dyDescent="0.35">
      <c r="B6628" s="167"/>
    </row>
    <row r="6629" spans="2:2" ht="15.5" x14ac:dyDescent="0.35">
      <c r="B6629" s="167"/>
    </row>
    <row r="6630" spans="2:2" ht="15.5" x14ac:dyDescent="0.35">
      <c r="B6630" s="167"/>
    </row>
    <row r="6631" spans="2:2" ht="15.5" x14ac:dyDescent="0.35">
      <c r="B6631" s="167"/>
    </row>
    <row r="6632" spans="2:2" ht="15.5" x14ac:dyDescent="0.35">
      <c r="B6632" s="167"/>
    </row>
    <row r="6633" spans="2:2" ht="15.5" x14ac:dyDescent="0.35">
      <c r="B6633" s="167"/>
    </row>
    <row r="6634" spans="2:2" ht="15.5" x14ac:dyDescent="0.35">
      <c r="B6634" s="167"/>
    </row>
    <row r="6635" spans="2:2" ht="15.5" x14ac:dyDescent="0.35">
      <c r="B6635" s="167"/>
    </row>
    <row r="6636" spans="2:2" ht="15.5" x14ac:dyDescent="0.35">
      <c r="B6636" s="167"/>
    </row>
    <row r="6637" spans="2:2" ht="15.5" x14ac:dyDescent="0.35">
      <c r="B6637" s="167"/>
    </row>
    <row r="6638" spans="2:2" ht="15.5" x14ac:dyDescent="0.35">
      <c r="B6638" s="167"/>
    </row>
    <row r="6639" spans="2:2" ht="15.5" x14ac:dyDescent="0.35">
      <c r="B6639" s="167"/>
    </row>
    <row r="6640" spans="2:2" ht="15.5" x14ac:dyDescent="0.35">
      <c r="B6640" s="167"/>
    </row>
    <row r="6641" spans="2:2" ht="15.5" x14ac:dyDescent="0.35">
      <c r="B6641" s="167"/>
    </row>
    <row r="6642" spans="2:2" ht="15.5" x14ac:dyDescent="0.35">
      <c r="B6642" s="167"/>
    </row>
    <row r="6643" spans="2:2" ht="15.5" x14ac:dyDescent="0.35">
      <c r="B6643" s="167"/>
    </row>
    <row r="6644" spans="2:2" ht="15.5" x14ac:dyDescent="0.35">
      <c r="B6644" s="167"/>
    </row>
    <row r="6645" spans="2:2" ht="15.5" x14ac:dyDescent="0.35">
      <c r="B6645" s="167"/>
    </row>
    <row r="6646" spans="2:2" ht="15.5" x14ac:dyDescent="0.35">
      <c r="B6646" s="167"/>
    </row>
    <row r="6647" spans="2:2" ht="15.5" x14ac:dyDescent="0.35">
      <c r="B6647" s="167"/>
    </row>
    <row r="6648" spans="2:2" ht="15.5" x14ac:dyDescent="0.35">
      <c r="B6648" s="167"/>
    </row>
    <row r="6649" spans="2:2" ht="15.5" x14ac:dyDescent="0.35">
      <c r="B6649" s="167"/>
    </row>
    <row r="6650" spans="2:2" ht="15.5" x14ac:dyDescent="0.35">
      <c r="B6650" s="167"/>
    </row>
    <row r="6651" spans="2:2" ht="15.5" x14ac:dyDescent="0.35">
      <c r="B6651" s="167"/>
    </row>
    <row r="6652" spans="2:2" ht="15.5" x14ac:dyDescent="0.35">
      <c r="B6652" s="167"/>
    </row>
    <row r="6653" spans="2:2" ht="15.5" x14ac:dyDescent="0.35">
      <c r="B6653" s="167"/>
    </row>
    <row r="6654" spans="2:2" ht="15.5" x14ac:dyDescent="0.35">
      <c r="B6654" s="167"/>
    </row>
    <row r="6655" spans="2:2" ht="15.5" x14ac:dyDescent="0.35">
      <c r="B6655" s="167"/>
    </row>
    <row r="6656" spans="2:2" ht="15.5" x14ac:dyDescent="0.35">
      <c r="B6656" s="167"/>
    </row>
    <row r="6657" spans="2:2" ht="15.5" x14ac:dyDescent="0.35">
      <c r="B6657" s="167"/>
    </row>
    <row r="6658" spans="2:2" ht="15.5" x14ac:dyDescent="0.35">
      <c r="B6658" s="167"/>
    </row>
    <row r="6659" spans="2:2" ht="15.5" x14ac:dyDescent="0.35">
      <c r="B6659" s="167"/>
    </row>
    <row r="6660" spans="2:2" ht="15.5" x14ac:dyDescent="0.35">
      <c r="B6660" s="167"/>
    </row>
    <row r="6661" spans="2:2" ht="15.5" x14ac:dyDescent="0.35">
      <c r="B6661" s="167"/>
    </row>
    <row r="6662" spans="2:2" ht="15.5" x14ac:dyDescent="0.35">
      <c r="B6662" s="167"/>
    </row>
    <row r="6663" spans="2:2" ht="15.5" x14ac:dyDescent="0.35">
      <c r="B6663" s="167"/>
    </row>
    <row r="6664" spans="2:2" ht="15.5" x14ac:dyDescent="0.35">
      <c r="B6664" s="167"/>
    </row>
    <row r="6665" spans="2:2" ht="15.5" x14ac:dyDescent="0.35">
      <c r="B6665" s="167"/>
    </row>
    <row r="6666" spans="2:2" ht="15.5" x14ac:dyDescent="0.35">
      <c r="B6666" s="167"/>
    </row>
    <row r="6667" spans="2:2" ht="15.5" x14ac:dyDescent="0.35">
      <c r="B6667" s="167"/>
    </row>
    <row r="6668" spans="2:2" ht="15.5" x14ac:dyDescent="0.35">
      <c r="B6668" s="167"/>
    </row>
    <row r="6669" spans="2:2" ht="15.5" x14ac:dyDescent="0.35">
      <c r="B6669" s="167"/>
    </row>
    <row r="6670" spans="2:2" ht="15.5" x14ac:dyDescent="0.35">
      <c r="B6670" s="167"/>
    </row>
    <row r="6671" spans="2:2" ht="15.5" x14ac:dyDescent="0.35">
      <c r="B6671" s="167"/>
    </row>
    <row r="6672" spans="2:2" ht="15.5" x14ac:dyDescent="0.35">
      <c r="B6672" s="167"/>
    </row>
    <row r="6673" spans="2:2" ht="15.5" x14ac:dyDescent="0.35">
      <c r="B6673" s="167"/>
    </row>
    <row r="6674" spans="2:2" ht="15.5" x14ac:dyDescent="0.35">
      <c r="B6674" s="167"/>
    </row>
    <row r="6675" spans="2:2" ht="15.5" x14ac:dyDescent="0.35">
      <c r="B6675" s="167"/>
    </row>
    <row r="6676" spans="2:2" ht="15.5" x14ac:dyDescent="0.35">
      <c r="B6676" s="167"/>
    </row>
    <row r="6677" spans="2:2" ht="15.5" x14ac:dyDescent="0.35">
      <c r="B6677" s="167"/>
    </row>
    <row r="6678" spans="2:2" ht="15.5" x14ac:dyDescent="0.35">
      <c r="B6678" s="167"/>
    </row>
    <row r="6679" spans="2:2" ht="15.5" x14ac:dyDescent="0.35">
      <c r="B6679" s="167"/>
    </row>
    <row r="6680" spans="2:2" ht="15.5" x14ac:dyDescent="0.35">
      <c r="B6680" s="167"/>
    </row>
    <row r="6681" spans="2:2" ht="15.5" x14ac:dyDescent="0.35">
      <c r="B6681" s="167"/>
    </row>
    <row r="6682" spans="2:2" ht="15.5" x14ac:dyDescent="0.35">
      <c r="B6682" s="167"/>
    </row>
    <row r="6683" spans="2:2" ht="15.5" x14ac:dyDescent="0.35">
      <c r="B6683" s="167"/>
    </row>
    <row r="6684" spans="2:2" ht="15.5" x14ac:dyDescent="0.35">
      <c r="B6684" s="167"/>
    </row>
    <row r="6685" spans="2:2" ht="15.5" x14ac:dyDescent="0.35">
      <c r="B6685" s="167"/>
    </row>
    <row r="6686" spans="2:2" ht="15.5" x14ac:dyDescent="0.35">
      <c r="B6686" s="167"/>
    </row>
    <row r="6687" spans="2:2" ht="15.5" x14ac:dyDescent="0.35">
      <c r="B6687" s="167"/>
    </row>
    <row r="6688" spans="2:2" ht="15.5" x14ac:dyDescent="0.35">
      <c r="B6688" s="167"/>
    </row>
    <row r="6689" spans="2:2" ht="15.5" x14ac:dyDescent="0.35">
      <c r="B6689" s="167"/>
    </row>
    <row r="6690" spans="2:2" ht="15.5" x14ac:dyDescent="0.35">
      <c r="B6690" s="167"/>
    </row>
    <row r="6691" spans="2:2" ht="15.5" x14ac:dyDescent="0.35">
      <c r="B6691" s="167"/>
    </row>
    <row r="6692" spans="2:2" ht="15.5" x14ac:dyDescent="0.35">
      <c r="B6692" s="167"/>
    </row>
    <row r="6693" spans="2:2" ht="15.5" x14ac:dyDescent="0.35">
      <c r="B6693" s="167"/>
    </row>
    <row r="6694" spans="2:2" ht="15.5" x14ac:dyDescent="0.35">
      <c r="B6694" s="167"/>
    </row>
    <row r="6695" spans="2:2" ht="15.5" x14ac:dyDescent="0.35">
      <c r="B6695" s="167"/>
    </row>
    <row r="6696" spans="2:2" ht="15.5" x14ac:dyDescent="0.35">
      <c r="B6696" s="167"/>
    </row>
    <row r="6697" spans="2:2" ht="15.5" x14ac:dyDescent="0.35">
      <c r="B6697" s="167"/>
    </row>
    <row r="6698" spans="2:2" ht="15.5" x14ac:dyDescent="0.35">
      <c r="B6698" s="167"/>
    </row>
    <row r="6699" spans="2:2" ht="15.5" x14ac:dyDescent="0.35">
      <c r="B6699" s="167"/>
    </row>
    <row r="6700" spans="2:2" ht="15.5" x14ac:dyDescent="0.35">
      <c r="B6700" s="167"/>
    </row>
    <row r="6701" spans="2:2" ht="15.5" x14ac:dyDescent="0.35">
      <c r="B6701" s="167"/>
    </row>
    <row r="6702" spans="2:2" ht="15.5" x14ac:dyDescent="0.35">
      <c r="B6702" s="167"/>
    </row>
    <row r="6703" spans="2:2" ht="15.5" x14ac:dyDescent="0.35">
      <c r="B6703" s="167"/>
    </row>
    <row r="6704" spans="2:2" ht="15.5" x14ac:dyDescent="0.35">
      <c r="B6704" s="167"/>
    </row>
    <row r="6705" spans="2:2" ht="15.5" x14ac:dyDescent="0.35">
      <c r="B6705" s="167"/>
    </row>
    <row r="6706" spans="2:2" ht="15.5" x14ac:dyDescent="0.35">
      <c r="B6706" s="167"/>
    </row>
    <row r="6707" spans="2:2" ht="15.5" x14ac:dyDescent="0.35">
      <c r="B6707" s="167"/>
    </row>
    <row r="6708" spans="2:2" ht="15.5" x14ac:dyDescent="0.35">
      <c r="B6708" s="167"/>
    </row>
    <row r="6709" spans="2:2" ht="15.5" x14ac:dyDescent="0.35">
      <c r="B6709" s="167"/>
    </row>
    <row r="6710" spans="2:2" ht="15.5" x14ac:dyDescent="0.35">
      <c r="B6710" s="167"/>
    </row>
    <row r="6711" spans="2:2" ht="15.5" x14ac:dyDescent="0.35">
      <c r="B6711" s="167"/>
    </row>
    <row r="6712" spans="2:2" ht="15.5" x14ac:dyDescent="0.35">
      <c r="B6712" s="167"/>
    </row>
    <row r="6713" spans="2:2" ht="15.5" x14ac:dyDescent="0.35">
      <c r="B6713" s="167"/>
    </row>
    <row r="6714" spans="2:2" ht="15.5" x14ac:dyDescent="0.35">
      <c r="B6714" s="167"/>
    </row>
    <row r="6715" spans="2:2" ht="15.5" x14ac:dyDescent="0.35">
      <c r="B6715" s="167"/>
    </row>
    <row r="6716" spans="2:2" ht="15.5" x14ac:dyDescent="0.35">
      <c r="B6716" s="167"/>
    </row>
    <row r="6717" spans="2:2" ht="15.5" x14ac:dyDescent="0.35">
      <c r="B6717" s="167"/>
    </row>
    <row r="6718" spans="2:2" ht="15.5" x14ac:dyDescent="0.35">
      <c r="B6718" s="167"/>
    </row>
    <row r="6719" spans="2:2" ht="15.5" x14ac:dyDescent="0.35">
      <c r="B6719" s="167"/>
    </row>
    <row r="6720" spans="2:2" ht="15.5" x14ac:dyDescent="0.35">
      <c r="B6720" s="167"/>
    </row>
    <row r="6721" spans="2:2" ht="15.5" x14ac:dyDescent="0.35">
      <c r="B6721" s="167"/>
    </row>
    <row r="6722" spans="2:2" ht="15.5" x14ac:dyDescent="0.35">
      <c r="B6722" s="167"/>
    </row>
    <row r="6723" spans="2:2" ht="15.5" x14ac:dyDescent="0.35">
      <c r="B6723" s="167"/>
    </row>
    <row r="6724" spans="2:2" ht="15.5" x14ac:dyDescent="0.35">
      <c r="B6724" s="167"/>
    </row>
    <row r="6725" spans="2:2" ht="15.5" x14ac:dyDescent="0.35">
      <c r="B6725" s="167"/>
    </row>
    <row r="6726" spans="2:2" ht="15.5" x14ac:dyDescent="0.35">
      <c r="B6726" s="167"/>
    </row>
    <row r="6727" spans="2:2" ht="15.5" x14ac:dyDescent="0.35">
      <c r="B6727" s="167"/>
    </row>
    <row r="6728" spans="2:2" ht="15.5" x14ac:dyDescent="0.35">
      <c r="B6728" s="167"/>
    </row>
    <row r="6729" spans="2:2" ht="15.5" x14ac:dyDescent="0.35">
      <c r="B6729" s="167"/>
    </row>
    <row r="6730" spans="2:2" ht="15.5" x14ac:dyDescent="0.35">
      <c r="B6730" s="167"/>
    </row>
    <row r="6731" spans="2:2" ht="15.5" x14ac:dyDescent="0.35">
      <c r="B6731" s="167"/>
    </row>
    <row r="6732" spans="2:2" ht="15.5" x14ac:dyDescent="0.35">
      <c r="B6732" s="167"/>
    </row>
    <row r="6733" spans="2:2" ht="15.5" x14ac:dyDescent="0.35">
      <c r="B6733" s="167"/>
    </row>
    <row r="6734" spans="2:2" ht="15.5" x14ac:dyDescent="0.35">
      <c r="B6734" s="167"/>
    </row>
    <row r="6735" spans="2:2" ht="15.5" x14ac:dyDescent="0.35">
      <c r="B6735" s="167"/>
    </row>
    <row r="6736" spans="2:2" ht="15.5" x14ac:dyDescent="0.35">
      <c r="B6736" s="167"/>
    </row>
    <row r="6737" spans="2:2" ht="15.5" x14ac:dyDescent="0.35">
      <c r="B6737" s="167"/>
    </row>
    <row r="6738" spans="2:2" ht="15.5" x14ac:dyDescent="0.35">
      <c r="B6738" s="167"/>
    </row>
    <row r="6739" spans="2:2" ht="15.5" x14ac:dyDescent="0.35">
      <c r="B6739" s="167"/>
    </row>
    <row r="6740" spans="2:2" ht="15.5" x14ac:dyDescent="0.35">
      <c r="B6740" s="167"/>
    </row>
    <row r="6741" spans="2:2" ht="15.5" x14ac:dyDescent="0.35">
      <c r="B6741" s="167"/>
    </row>
    <row r="6742" spans="2:2" ht="15.5" x14ac:dyDescent="0.35">
      <c r="B6742" s="167"/>
    </row>
    <row r="6743" spans="2:2" ht="15.5" x14ac:dyDescent="0.35">
      <c r="B6743" s="167"/>
    </row>
    <row r="6744" spans="2:2" ht="15.5" x14ac:dyDescent="0.35">
      <c r="B6744" s="167"/>
    </row>
    <row r="6745" spans="2:2" ht="15.5" x14ac:dyDescent="0.35">
      <c r="B6745" s="167"/>
    </row>
    <row r="6746" spans="2:2" ht="15.5" x14ac:dyDescent="0.35">
      <c r="B6746" s="167"/>
    </row>
    <row r="6747" spans="2:2" ht="15.5" x14ac:dyDescent="0.35">
      <c r="B6747" s="167"/>
    </row>
    <row r="6748" spans="2:2" ht="15.5" x14ac:dyDescent="0.35">
      <c r="B6748" s="167"/>
    </row>
    <row r="6749" spans="2:2" ht="15.5" x14ac:dyDescent="0.35">
      <c r="B6749" s="167"/>
    </row>
    <row r="6750" spans="2:2" ht="15.5" x14ac:dyDescent="0.35">
      <c r="B6750" s="167"/>
    </row>
    <row r="6751" spans="2:2" ht="15.5" x14ac:dyDescent="0.35">
      <c r="B6751" s="167"/>
    </row>
    <row r="6752" spans="2:2" ht="15.5" x14ac:dyDescent="0.35">
      <c r="B6752" s="167"/>
    </row>
    <row r="6753" spans="2:2" ht="15.5" x14ac:dyDescent="0.35">
      <c r="B6753" s="167"/>
    </row>
    <row r="6754" spans="2:2" ht="15.5" x14ac:dyDescent="0.35">
      <c r="B6754" s="167"/>
    </row>
    <row r="6755" spans="2:2" ht="15.5" x14ac:dyDescent="0.35">
      <c r="B6755" s="167"/>
    </row>
    <row r="6756" spans="2:2" ht="15.5" x14ac:dyDescent="0.35">
      <c r="B6756" s="167"/>
    </row>
    <row r="6757" spans="2:2" ht="15.5" x14ac:dyDescent="0.35">
      <c r="B6757" s="167"/>
    </row>
    <row r="6758" spans="2:2" ht="15.5" x14ac:dyDescent="0.35">
      <c r="B6758" s="167"/>
    </row>
    <row r="6759" spans="2:2" ht="15.5" x14ac:dyDescent="0.35">
      <c r="B6759" s="167"/>
    </row>
    <row r="6760" spans="2:2" ht="15.5" x14ac:dyDescent="0.35">
      <c r="B6760" s="167"/>
    </row>
    <row r="6761" spans="2:2" ht="15.5" x14ac:dyDescent="0.35">
      <c r="B6761" s="167"/>
    </row>
    <row r="6762" spans="2:2" ht="15.5" x14ac:dyDescent="0.35">
      <c r="B6762" s="167"/>
    </row>
    <row r="6763" spans="2:2" ht="15.5" x14ac:dyDescent="0.35">
      <c r="B6763" s="167"/>
    </row>
    <row r="6764" spans="2:2" ht="15.5" x14ac:dyDescent="0.35">
      <c r="B6764" s="167"/>
    </row>
    <row r="6765" spans="2:2" ht="15.5" x14ac:dyDescent="0.35">
      <c r="B6765" s="167"/>
    </row>
    <row r="6766" spans="2:2" ht="15.5" x14ac:dyDescent="0.35">
      <c r="B6766" s="167"/>
    </row>
    <row r="6767" spans="2:2" ht="15.5" x14ac:dyDescent="0.35">
      <c r="B6767" s="167"/>
    </row>
    <row r="6768" spans="2:2" ht="15.5" x14ac:dyDescent="0.35">
      <c r="B6768" s="167"/>
    </row>
    <row r="6769" spans="2:2" ht="15.5" x14ac:dyDescent="0.35">
      <c r="B6769" s="167"/>
    </row>
    <row r="6770" spans="2:2" ht="15.5" x14ac:dyDescent="0.35">
      <c r="B6770" s="167"/>
    </row>
    <row r="6771" spans="2:2" ht="15.5" x14ac:dyDescent="0.35">
      <c r="B6771" s="167"/>
    </row>
    <row r="6772" spans="2:2" ht="15.5" x14ac:dyDescent="0.35">
      <c r="B6772" s="167"/>
    </row>
    <row r="6773" spans="2:2" ht="15.5" x14ac:dyDescent="0.35">
      <c r="B6773" s="167"/>
    </row>
    <row r="6774" spans="2:2" ht="15.5" x14ac:dyDescent="0.35">
      <c r="B6774" s="167"/>
    </row>
    <row r="6775" spans="2:2" ht="15.5" x14ac:dyDescent="0.35">
      <c r="B6775" s="167"/>
    </row>
    <row r="6776" spans="2:2" ht="15.5" x14ac:dyDescent="0.35">
      <c r="B6776" s="167"/>
    </row>
    <row r="6777" spans="2:2" ht="15.5" x14ac:dyDescent="0.35">
      <c r="B6777" s="167"/>
    </row>
    <row r="6778" spans="2:2" ht="15.5" x14ac:dyDescent="0.35">
      <c r="B6778" s="167"/>
    </row>
    <row r="6779" spans="2:2" ht="15.5" x14ac:dyDescent="0.35">
      <c r="B6779" s="167"/>
    </row>
    <row r="6780" spans="2:2" ht="15.5" x14ac:dyDescent="0.35">
      <c r="B6780" s="167"/>
    </row>
    <row r="6781" spans="2:2" ht="15.5" x14ac:dyDescent="0.35">
      <c r="B6781" s="167"/>
    </row>
    <row r="6782" spans="2:2" ht="15.5" x14ac:dyDescent="0.35">
      <c r="B6782" s="167"/>
    </row>
    <row r="6783" spans="2:2" ht="15.5" x14ac:dyDescent="0.35">
      <c r="B6783" s="167"/>
    </row>
    <row r="6784" spans="2:2" ht="15.5" x14ac:dyDescent="0.35">
      <c r="B6784" s="167"/>
    </row>
    <row r="6785" spans="2:2" ht="15.5" x14ac:dyDescent="0.35">
      <c r="B6785" s="167"/>
    </row>
    <row r="6786" spans="2:2" ht="15.5" x14ac:dyDescent="0.35">
      <c r="B6786" s="167"/>
    </row>
    <row r="6787" spans="2:2" ht="15.5" x14ac:dyDescent="0.35">
      <c r="B6787" s="167"/>
    </row>
    <row r="6788" spans="2:2" ht="15.5" x14ac:dyDescent="0.35">
      <c r="B6788" s="167"/>
    </row>
    <row r="6789" spans="2:2" ht="15.5" x14ac:dyDescent="0.35">
      <c r="B6789" s="167"/>
    </row>
    <row r="6790" spans="2:2" ht="15.5" x14ac:dyDescent="0.35">
      <c r="B6790" s="167"/>
    </row>
    <row r="6791" spans="2:2" ht="15.5" x14ac:dyDescent="0.35">
      <c r="B6791" s="167"/>
    </row>
    <row r="6792" spans="2:2" ht="15.5" x14ac:dyDescent="0.35">
      <c r="B6792" s="167"/>
    </row>
    <row r="6793" spans="2:2" ht="15.5" x14ac:dyDescent="0.35">
      <c r="B6793" s="167"/>
    </row>
    <row r="6794" spans="2:2" ht="15.5" x14ac:dyDescent="0.35">
      <c r="B6794" s="167"/>
    </row>
    <row r="6795" spans="2:2" ht="15.5" x14ac:dyDescent="0.35">
      <c r="B6795" s="167"/>
    </row>
    <row r="6796" spans="2:2" ht="15.5" x14ac:dyDescent="0.35">
      <c r="B6796" s="167"/>
    </row>
    <row r="6797" spans="2:2" ht="15.5" x14ac:dyDescent="0.35">
      <c r="B6797" s="167"/>
    </row>
    <row r="6798" spans="2:2" ht="15.5" x14ac:dyDescent="0.35">
      <c r="B6798" s="167"/>
    </row>
    <row r="6799" spans="2:2" ht="15.5" x14ac:dyDescent="0.35">
      <c r="B6799" s="167"/>
    </row>
    <row r="6800" spans="2:2" ht="15.5" x14ac:dyDescent="0.35">
      <c r="B6800" s="167"/>
    </row>
    <row r="6801" spans="2:2" ht="15.5" x14ac:dyDescent="0.35">
      <c r="B6801" s="167"/>
    </row>
    <row r="6802" spans="2:2" ht="15.5" x14ac:dyDescent="0.35">
      <c r="B6802" s="167"/>
    </row>
    <row r="6803" spans="2:2" ht="15.5" x14ac:dyDescent="0.35">
      <c r="B6803" s="167"/>
    </row>
    <row r="6804" spans="2:2" ht="15.5" x14ac:dyDescent="0.35">
      <c r="B6804" s="167"/>
    </row>
    <row r="6805" spans="2:2" ht="15.5" x14ac:dyDescent="0.35">
      <c r="B6805" s="167"/>
    </row>
    <row r="6806" spans="2:2" ht="15.5" x14ac:dyDescent="0.35">
      <c r="B6806" s="167"/>
    </row>
    <row r="6807" spans="2:2" ht="15.5" x14ac:dyDescent="0.35">
      <c r="B6807" s="167"/>
    </row>
    <row r="6808" spans="2:2" ht="15.5" x14ac:dyDescent="0.35">
      <c r="B6808" s="167"/>
    </row>
    <row r="6809" spans="2:2" ht="15.5" x14ac:dyDescent="0.35">
      <c r="B6809" s="167"/>
    </row>
    <row r="6810" spans="2:2" ht="15.5" x14ac:dyDescent="0.35">
      <c r="B6810" s="167"/>
    </row>
    <row r="6811" spans="2:2" ht="15.5" x14ac:dyDescent="0.35">
      <c r="B6811" s="167"/>
    </row>
    <row r="6812" spans="2:2" ht="15.5" x14ac:dyDescent="0.35">
      <c r="B6812" s="167"/>
    </row>
    <row r="6813" spans="2:2" ht="15.5" x14ac:dyDescent="0.35">
      <c r="B6813" s="167"/>
    </row>
    <row r="6814" spans="2:2" ht="15.5" x14ac:dyDescent="0.35">
      <c r="B6814" s="167"/>
    </row>
    <row r="6815" spans="2:2" ht="15.5" x14ac:dyDescent="0.35">
      <c r="B6815" s="167"/>
    </row>
    <row r="6816" spans="2:2" ht="15.5" x14ac:dyDescent="0.35">
      <c r="B6816" s="167"/>
    </row>
    <row r="6817" spans="2:2" ht="15.5" x14ac:dyDescent="0.35">
      <c r="B6817" s="167"/>
    </row>
    <row r="6818" spans="2:2" ht="15.5" x14ac:dyDescent="0.35">
      <c r="B6818" s="167"/>
    </row>
    <row r="6819" spans="2:2" ht="15.5" x14ac:dyDescent="0.35">
      <c r="B6819" s="167"/>
    </row>
    <row r="6820" spans="2:2" ht="15.5" x14ac:dyDescent="0.35">
      <c r="B6820" s="167"/>
    </row>
    <row r="6821" spans="2:2" ht="15.5" x14ac:dyDescent="0.35">
      <c r="B6821" s="167"/>
    </row>
    <row r="6822" spans="2:2" ht="15.5" x14ac:dyDescent="0.35">
      <c r="B6822" s="167"/>
    </row>
    <row r="6823" spans="2:2" ht="15.5" x14ac:dyDescent="0.35">
      <c r="B6823" s="167"/>
    </row>
    <row r="6824" spans="2:2" ht="15.5" x14ac:dyDescent="0.35">
      <c r="B6824" s="167"/>
    </row>
    <row r="6825" spans="2:2" ht="15.5" x14ac:dyDescent="0.35">
      <c r="B6825" s="167"/>
    </row>
    <row r="6826" spans="2:2" ht="15.5" x14ac:dyDescent="0.35">
      <c r="B6826" s="167"/>
    </row>
    <row r="6827" spans="2:2" ht="15.5" x14ac:dyDescent="0.35">
      <c r="B6827" s="167"/>
    </row>
    <row r="6828" spans="2:2" ht="15.5" x14ac:dyDescent="0.35">
      <c r="B6828" s="167"/>
    </row>
    <row r="6829" spans="2:2" ht="15.5" x14ac:dyDescent="0.35">
      <c r="B6829" s="167"/>
    </row>
    <row r="6830" spans="2:2" ht="15.5" x14ac:dyDescent="0.35">
      <c r="B6830" s="167"/>
    </row>
    <row r="6831" spans="2:2" ht="15.5" x14ac:dyDescent="0.35">
      <c r="B6831" s="167"/>
    </row>
    <row r="6832" spans="2:2" ht="15.5" x14ac:dyDescent="0.35">
      <c r="B6832" s="167"/>
    </row>
    <row r="6833" spans="2:2" ht="15.5" x14ac:dyDescent="0.35">
      <c r="B6833" s="167"/>
    </row>
    <row r="6834" spans="2:2" ht="15.5" x14ac:dyDescent="0.35">
      <c r="B6834" s="167"/>
    </row>
    <row r="6835" spans="2:2" ht="15.5" x14ac:dyDescent="0.35">
      <c r="B6835" s="167"/>
    </row>
    <row r="6836" spans="2:2" ht="15.5" x14ac:dyDescent="0.35">
      <c r="B6836" s="167"/>
    </row>
    <row r="6837" spans="2:2" ht="15.5" x14ac:dyDescent="0.35">
      <c r="B6837" s="167"/>
    </row>
    <row r="6838" spans="2:2" ht="15.5" x14ac:dyDescent="0.35">
      <c r="B6838" s="167"/>
    </row>
    <row r="6839" spans="2:2" ht="15.5" x14ac:dyDescent="0.35">
      <c r="B6839" s="167"/>
    </row>
    <row r="6840" spans="2:2" ht="15.5" x14ac:dyDescent="0.35">
      <c r="B6840" s="167"/>
    </row>
    <row r="6841" spans="2:2" ht="15.5" x14ac:dyDescent="0.35">
      <c r="B6841" s="167"/>
    </row>
    <row r="6842" spans="2:2" ht="15.5" x14ac:dyDescent="0.35">
      <c r="B6842" s="167"/>
    </row>
    <row r="6843" spans="2:2" ht="15.5" x14ac:dyDescent="0.35">
      <c r="B6843" s="167"/>
    </row>
    <row r="6844" spans="2:2" ht="15.5" x14ac:dyDescent="0.35">
      <c r="B6844" s="167"/>
    </row>
    <row r="6845" spans="2:2" ht="15.5" x14ac:dyDescent="0.35">
      <c r="B6845" s="167"/>
    </row>
    <row r="6846" spans="2:2" ht="15.5" x14ac:dyDescent="0.35">
      <c r="B6846" s="167"/>
    </row>
    <row r="6847" spans="2:2" ht="15.5" x14ac:dyDescent="0.35">
      <c r="B6847" s="167"/>
    </row>
    <row r="6848" spans="2:2" ht="15.5" x14ac:dyDescent="0.35">
      <c r="B6848" s="167"/>
    </row>
    <row r="6849" spans="2:2" ht="15.5" x14ac:dyDescent="0.35">
      <c r="B6849" s="167"/>
    </row>
    <row r="6850" spans="2:2" ht="15.5" x14ac:dyDescent="0.35">
      <c r="B6850" s="167"/>
    </row>
    <row r="6851" spans="2:2" ht="15.5" x14ac:dyDescent="0.35">
      <c r="B6851" s="167"/>
    </row>
    <row r="6852" spans="2:2" ht="15.5" x14ac:dyDescent="0.35">
      <c r="B6852" s="167"/>
    </row>
    <row r="6853" spans="2:2" ht="15.5" x14ac:dyDescent="0.35">
      <c r="B6853" s="167"/>
    </row>
    <row r="6854" spans="2:2" ht="15.5" x14ac:dyDescent="0.35">
      <c r="B6854" s="167"/>
    </row>
    <row r="6855" spans="2:2" ht="15.5" x14ac:dyDescent="0.35">
      <c r="B6855" s="167"/>
    </row>
    <row r="6856" spans="2:2" ht="15.5" x14ac:dyDescent="0.35">
      <c r="B6856" s="167"/>
    </row>
    <row r="6857" spans="2:2" ht="15.5" x14ac:dyDescent="0.35">
      <c r="B6857" s="167"/>
    </row>
    <row r="6858" spans="2:2" ht="15.5" x14ac:dyDescent="0.35">
      <c r="B6858" s="167"/>
    </row>
    <row r="6859" spans="2:2" ht="15.5" x14ac:dyDescent="0.35">
      <c r="B6859" s="167"/>
    </row>
    <row r="6860" spans="2:2" ht="15.5" x14ac:dyDescent="0.35">
      <c r="B6860" s="167"/>
    </row>
    <row r="6861" spans="2:2" ht="15.5" x14ac:dyDescent="0.35">
      <c r="B6861" s="167"/>
    </row>
    <row r="6862" spans="2:2" ht="15.5" x14ac:dyDescent="0.35">
      <c r="B6862" s="167"/>
    </row>
    <row r="6863" spans="2:2" ht="15.5" x14ac:dyDescent="0.35">
      <c r="B6863" s="167"/>
    </row>
    <row r="6864" spans="2:2" ht="15.5" x14ac:dyDescent="0.35">
      <c r="B6864" s="167"/>
    </row>
    <row r="6865" spans="2:2" ht="15.5" x14ac:dyDescent="0.35">
      <c r="B6865" s="167"/>
    </row>
    <row r="6866" spans="2:2" ht="15.5" x14ac:dyDescent="0.35">
      <c r="B6866" s="167"/>
    </row>
    <row r="6867" spans="2:2" ht="15.5" x14ac:dyDescent="0.35">
      <c r="B6867" s="167"/>
    </row>
    <row r="6868" spans="2:2" ht="15.5" x14ac:dyDescent="0.35">
      <c r="B6868" s="167"/>
    </row>
    <row r="6869" spans="2:2" ht="15.5" x14ac:dyDescent="0.35">
      <c r="B6869" s="167"/>
    </row>
    <row r="6870" spans="2:2" ht="15.5" x14ac:dyDescent="0.35">
      <c r="B6870" s="167"/>
    </row>
    <row r="6871" spans="2:2" ht="15.5" x14ac:dyDescent="0.35">
      <c r="B6871" s="167"/>
    </row>
    <row r="6872" spans="2:2" ht="15.5" x14ac:dyDescent="0.35">
      <c r="B6872" s="167"/>
    </row>
    <row r="6873" spans="2:2" ht="15.5" x14ac:dyDescent="0.35">
      <c r="B6873" s="167"/>
    </row>
    <row r="6874" spans="2:2" ht="15.5" x14ac:dyDescent="0.35">
      <c r="B6874" s="167"/>
    </row>
    <row r="6875" spans="2:2" ht="15.5" x14ac:dyDescent="0.35">
      <c r="B6875" s="167"/>
    </row>
    <row r="6876" spans="2:2" ht="15.5" x14ac:dyDescent="0.35">
      <c r="B6876" s="167"/>
    </row>
    <row r="6877" spans="2:2" ht="15.5" x14ac:dyDescent="0.35">
      <c r="B6877" s="167"/>
    </row>
    <row r="6878" spans="2:2" ht="15.5" x14ac:dyDescent="0.35">
      <c r="B6878" s="167"/>
    </row>
    <row r="6879" spans="2:2" ht="15.5" x14ac:dyDescent="0.35">
      <c r="B6879" s="167"/>
    </row>
    <row r="6880" spans="2:2" ht="15.5" x14ac:dyDescent="0.35">
      <c r="B6880" s="167"/>
    </row>
    <row r="6881" spans="2:2" ht="15.5" x14ac:dyDescent="0.35">
      <c r="B6881" s="167"/>
    </row>
    <row r="6882" spans="2:2" ht="15.5" x14ac:dyDescent="0.35">
      <c r="B6882" s="167"/>
    </row>
    <row r="6883" spans="2:2" ht="15.5" x14ac:dyDescent="0.35">
      <c r="B6883" s="167"/>
    </row>
    <row r="6884" spans="2:2" ht="15.5" x14ac:dyDescent="0.35">
      <c r="B6884" s="167"/>
    </row>
    <row r="6885" spans="2:2" ht="15.5" x14ac:dyDescent="0.35">
      <c r="B6885" s="167"/>
    </row>
    <row r="6886" spans="2:2" ht="15.5" x14ac:dyDescent="0.35">
      <c r="B6886" s="167"/>
    </row>
    <row r="6887" spans="2:2" ht="15.5" x14ac:dyDescent="0.35">
      <c r="B6887" s="167"/>
    </row>
    <row r="6888" spans="2:2" ht="15.5" x14ac:dyDescent="0.35">
      <c r="B6888" s="167"/>
    </row>
    <row r="6889" spans="2:2" ht="15.5" x14ac:dyDescent="0.35">
      <c r="B6889" s="167"/>
    </row>
    <row r="6890" spans="2:2" ht="15.5" x14ac:dyDescent="0.35">
      <c r="B6890" s="167"/>
    </row>
    <row r="6891" spans="2:2" ht="15.5" x14ac:dyDescent="0.35">
      <c r="B6891" s="167"/>
    </row>
    <row r="6892" spans="2:2" ht="15.5" x14ac:dyDescent="0.35">
      <c r="B6892" s="167"/>
    </row>
    <row r="6893" spans="2:2" ht="15.5" x14ac:dyDescent="0.35">
      <c r="B6893" s="167"/>
    </row>
    <row r="6894" spans="2:2" ht="15.5" x14ac:dyDescent="0.35">
      <c r="B6894" s="167"/>
    </row>
    <row r="6895" spans="2:2" ht="15.5" x14ac:dyDescent="0.35">
      <c r="B6895" s="167"/>
    </row>
    <row r="6896" spans="2:2" ht="15.5" x14ac:dyDescent="0.35">
      <c r="B6896" s="167"/>
    </row>
    <row r="6897" spans="2:2" ht="15.5" x14ac:dyDescent="0.35">
      <c r="B6897" s="167"/>
    </row>
    <row r="6898" spans="2:2" ht="15.5" x14ac:dyDescent="0.35">
      <c r="B6898" s="167"/>
    </row>
    <row r="6899" spans="2:2" ht="15.5" x14ac:dyDescent="0.35">
      <c r="B6899" s="167"/>
    </row>
    <row r="6900" spans="2:2" ht="15.5" x14ac:dyDescent="0.35">
      <c r="B6900" s="167"/>
    </row>
    <row r="6901" spans="2:2" ht="15.5" x14ac:dyDescent="0.35">
      <c r="B6901" s="167"/>
    </row>
    <row r="6902" spans="2:2" ht="15.5" x14ac:dyDescent="0.35">
      <c r="B6902" s="167"/>
    </row>
    <row r="6903" spans="2:2" ht="15.5" x14ac:dyDescent="0.35">
      <c r="B6903" s="167"/>
    </row>
    <row r="6904" spans="2:2" ht="15.5" x14ac:dyDescent="0.35">
      <c r="B6904" s="167"/>
    </row>
    <row r="6905" spans="2:2" ht="15.5" x14ac:dyDescent="0.35">
      <c r="B6905" s="167"/>
    </row>
    <row r="6906" spans="2:2" ht="15.5" x14ac:dyDescent="0.35">
      <c r="B6906" s="167"/>
    </row>
    <row r="6907" spans="2:2" ht="15.5" x14ac:dyDescent="0.35">
      <c r="B6907" s="167"/>
    </row>
    <row r="6908" spans="2:2" ht="15.5" x14ac:dyDescent="0.35">
      <c r="B6908" s="167"/>
    </row>
    <row r="6909" spans="2:2" ht="15.5" x14ac:dyDescent="0.35">
      <c r="B6909" s="167"/>
    </row>
    <row r="6910" spans="2:2" ht="15.5" x14ac:dyDescent="0.35">
      <c r="B6910" s="167"/>
    </row>
    <row r="6911" spans="2:2" ht="15.5" x14ac:dyDescent="0.35">
      <c r="B6911" s="167"/>
    </row>
    <row r="6912" spans="2:2" ht="15.5" x14ac:dyDescent="0.35">
      <c r="B6912" s="167"/>
    </row>
    <row r="6913" spans="2:2" ht="15.5" x14ac:dyDescent="0.35">
      <c r="B6913" s="167"/>
    </row>
    <row r="6914" spans="2:2" ht="15.5" x14ac:dyDescent="0.35">
      <c r="B6914" s="167"/>
    </row>
    <row r="6915" spans="2:2" ht="15.5" x14ac:dyDescent="0.35">
      <c r="B6915" s="167"/>
    </row>
    <row r="6916" spans="2:2" ht="15.5" x14ac:dyDescent="0.35">
      <c r="B6916" s="167"/>
    </row>
    <row r="6917" spans="2:2" ht="15.5" x14ac:dyDescent="0.35">
      <c r="B6917" s="167"/>
    </row>
    <row r="6918" spans="2:2" ht="15.5" x14ac:dyDescent="0.35">
      <c r="B6918" s="167"/>
    </row>
    <row r="6919" spans="2:2" ht="15.5" x14ac:dyDescent="0.35">
      <c r="B6919" s="167"/>
    </row>
    <row r="6920" spans="2:2" ht="15.5" x14ac:dyDescent="0.35">
      <c r="B6920" s="167"/>
    </row>
    <row r="6921" spans="2:2" ht="15.5" x14ac:dyDescent="0.35">
      <c r="B6921" s="167"/>
    </row>
    <row r="6922" spans="2:2" ht="15.5" x14ac:dyDescent="0.35">
      <c r="B6922" s="167"/>
    </row>
    <row r="6923" spans="2:2" ht="15.5" x14ac:dyDescent="0.35">
      <c r="B6923" s="167"/>
    </row>
    <row r="6924" spans="2:2" ht="15.5" x14ac:dyDescent="0.35">
      <c r="B6924" s="167"/>
    </row>
    <row r="6925" spans="2:2" ht="15.5" x14ac:dyDescent="0.35">
      <c r="B6925" s="167"/>
    </row>
    <row r="6926" spans="2:2" ht="15.5" x14ac:dyDescent="0.35">
      <c r="B6926" s="167"/>
    </row>
    <row r="6927" spans="2:2" ht="15.5" x14ac:dyDescent="0.35">
      <c r="B6927" s="167"/>
    </row>
    <row r="6928" spans="2:2" ht="15.5" x14ac:dyDescent="0.35">
      <c r="B6928" s="167"/>
    </row>
    <row r="6929" spans="2:2" ht="15.5" x14ac:dyDescent="0.35">
      <c r="B6929" s="167"/>
    </row>
    <row r="6930" spans="2:2" ht="15.5" x14ac:dyDescent="0.35">
      <c r="B6930" s="167"/>
    </row>
    <row r="6931" spans="2:2" ht="15.5" x14ac:dyDescent="0.35">
      <c r="B6931" s="167"/>
    </row>
    <row r="6932" spans="2:2" ht="15.5" x14ac:dyDescent="0.35">
      <c r="B6932" s="167"/>
    </row>
    <row r="6933" spans="2:2" ht="15.5" x14ac:dyDescent="0.35">
      <c r="B6933" s="167"/>
    </row>
    <row r="6934" spans="2:2" ht="15.5" x14ac:dyDescent="0.35">
      <c r="B6934" s="167"/>
    </row>
    <row r="6935" spans="2:2" ht="15.5" x14ac:dyDescent="0.35">
      <c r="B6935" s="167"/>
    </row>
    <row r="6936" spans="2:2" ht="15.5" x14ac:dyDescent="0.35">
      <c r="B6936" s="167"/>
    </row>
    <row r="6937" spans="2:2" ht="15.5" x14ac:dyDescent="0.35">
      <c r="B6937" s="167"/>
    </row>
    <row r="6938" spans="2:2" ht="15.5" x14ac:dyDescent="0.35">
      <c r="B6938" s="167"/>
    </row>
    <row r="6939" spans="2:2" ht="15.5" x14ac:dyDescent="0.35">
      <c r="B6939" s="167"/>
    </row>
    <row r="6940" spans="2:2" ht="15.5" x14ac:dyDescent="0.35">
      <c r="B6940" s="167"/>
    </row>
    <row r="6941" spans="2:2" ht="15.5" x14ac:dyDescent="0.35">
      <c r="B6941" s="167"/>
    </row>
    <row r="6942" spans="2:2" ht="15.5" x14ac:dyDescent="0.35">
      <c r="B6942" s="167"/>
    </row>
    <row r="6943" spans="2:2" ht="15.5" x14ac:dyDescent="0.35">
      <c r="B6943" s="167"/>
    </row>
    <row r="6944" spans="2:2" ht="15.5" x14ac:dyDescent="0.35">
      <c r="B6944" s="167"/>
    </row>
    <row r="6945" spans="2:2" ht="15.5" x14ac:dyDescent="0.35">
      <c r="B6945" s="167"/>
    </row>
    <row r="6946" spans="2:2" ht="15.5" x14ac:dyDescent="0.35">
      <c r="B6946" s="167"/>
    </row>
    <row r="6947" spans="2:2" ht="15.5" x14ac:dyDescent="0.35">
      <c r="B6947" s="167"/>
    </row>
    <row r="6948" spans="2:2" ht="15.5" x14ac:dyDescent="0.35">
      <c r="B6948" s="167"/>
    </row>
    <row r="6949" spans="2:2" ht="15.5" x14ac:dyDescent="0.35">
      <c r="B6949" s="167"/>
    </row>
    <row r="6950" spans="2:2" ht="15.5" x14ac:dyDescent="0.35">
      <c r="B6950" s="167"/>
    </row>
    <row r="6951" spans="2:2" ht="15.5" x14ac:dyDescent="0.35">
      <c r="B6951" s="167"/>
    </row>
    <row r="6952" spans="2:2" ht="15.5" x14ac:dyDescent="0.35">
      <c r="B6952" s="167"/>
    </row>
    <row r="6953" spans="2:2" ht="15.5" x14ac:dyDescent="0.35">
      <c r="B6953" s="167"/>
    </row>
    <row r="6954" spans="2:2" ht="15.5" x14ac:dyDescent="0.35">
      <c r="B6954" s="167"/>
    </row>
    <row r="6955" spans="2:2" ht="15.5" x14ac:dyDescent="0.35">
      <c r="B6955" s="167"/>
    </row>
    <row r="6956" spans="2:2" ht="15.5" x14ac:dyDescent="0.35">
      <c r="B6956" s="167"/>
    </row>
    <row r="6957" spans="2:2" ht="15.5" x14ac:dyDescent="0.35">
      <c r="B6957" s="167"/>
    </row>
    <row r="6958" spans="2:2" ht="15.5" x14ac:dyDescent="0.35">
      <c r="B6958" s="167"/>
    </row>
    <row r="6959" spans="2:2" ht="15.5" x14ac:dyDescent="0.35">
      <c r="B6959" s="167"/>
    </row>
    <row r="6960" spans="2:2" ht="15.5" x14ac:dyDescent="0.35">
      <c r="B6960" s="167"/>
    </row>
    <row r="6961" spans="2:2" ht="15.5" x14ac:dyDescent="0.35">
      <c r="B6961" s="167"/>
    </row>
    <row r="6962" spans="2:2" ht="15.5" x14ac:dyDescent="0.35">
      <c r="B6962" s="167"/>
    </row>
    <row r="6963" spans="2:2" ht="15.5" x14ac:dyDescent="0.35">
      <c r="B6963" s="167"/>
    </row>
    <row r="6964" spans="2:2" ht="15.5" x14ac:dyDescent="0.35">
      <c r="B6964" s="167"/>
    </row>
    <row r="6965" spans="2:2" ht="15.5" x14ac:dyDescent="0.35">
      <c r="B6965" s="167"/>
    </row>
    <row r="6966" spans="2:2" ht="15.5" x14ac:dyDescent="0.35">
      <c r="B6966" s="167"/>
    </row>
    <row r="6967" spans="2:2" ht="15.5" x14ac:dyDescent="0.35">
      <c r="B6967" s="167"/>
    </row>
    <row r="6968" spans="2:2" ht="15.5" x14ac:dyDescent="0.35">
      <c r="B6968" s="167"/>
    </row>
    <row r="6969" spans="2:2" ht="15.5" x14ac:dyDescent="0.35">
      <c r="B6969" s="167"/>
    </row>
    <row r="6970" spans="2:2" ht="15.5" x14ac:dyDescent="0.35">
      <c r="B6970" s="167"/>
    </row>
    <row r="6971" spans="2:2" ht="15.5" x14ac:dyDescent="0.35">
      <c r="B6971" s="167"/>
    </row>
    <row r="6972" spans="2:2" ht="15.5" x14ac:dyDescent="0.35">
      <c r="B6972" s="167"/>
    </row>
    <row r="6973" spans="2:2" ht="15.5" x14ac:dyDescent="0.35">
      <c r="B6973" s="167"/>
    </row>
    <row r="6974" spans="2:2" ht="15.5" x14ac:dyDescent="0.35">
      <c r="B6974" s="167"/>
    </row>
    <row r="6975" spans="2:2" ht="15.5" x14ac:dyDescent="0.35">
      <c r="B6975" s="167"/>
    </row>
    <row r="6976" spans="2:2" ht="15.5" x14ac:dyDescent="0.35">
      <c r="B6976" s="167"/>
    </row>
    <row r="6977" spans="2:2" ht="15.5" x14ac:dyDescent="0.35">
      <c r="B6977" s="167"/>
    </row>
    <row r="6978" spans="2:2" ht="15.5" x14ac:dyDescent="0.35">
      <c r="B6978" s="167"/>
    </row>
    <row r="6979" spans="2:2" ht="15.5" x14ac:dyDescent="0.35">
      <c r="B6979" s="167"/>
    </row>
    <row r="6980" spans="2:2" ht="15.5" x14ac:dyDescent="0.35">
      <c r="B6980" s="167"/>
    </row>
    <row r="6981" spans="2:2" ht="15.5" x14ac:dyDescent="0.35">
      <c r="B6981" s="167"/>
    </row>
    <row r="6982" spans="2:2" ht="15.5" x14ac:dyDescent="0.35">
      <c r="B6982" s="167"/>
    </row>
    <row r="6983" spans="2:2" ht="15.5" x14ac:dyDescent="0.35">
      <c r="B6983" s="167"/>
    </row>
    <row r="6984" spans="2:2" ht="15.5" x14ac:dyDescent="0.35">
      <c r="B6984" s="167"/>
    </row>
    <row r="6985" spans="2:2" ht="15.5" x14ac:dyDescent="0.35">
      <c r="B6985" s="167"/>
    </row>
    <row r="6986" spans="2:2" ht="15.5" x14ac:dyDescent="0.35">
      <c r="B6986" s="167"/>
    </row>
    <row r="6987" spans="2:2" ht="15.5" x14ac:dyDescent="0.35">
      <c r="B6987" s="167"/>
    </row>
    <row r="6988" spans="2:2" ht="15.5" x14ac:dyDescent="0.35">
      <c r="B6988" s="167"/>
    </row>
    <row r="6989" spans="2:2" ht="15.5" x14ac:dyDescent="0.35">
      <c r="B6989" s="167"/>
    </row>
    <row r="6990" spans="2:2" ht="15.5" x14ac:dyDescent="0.35">
      <c r="B6990" s="167"/>
    </row>
    <row r="6991" spans="2:2" ht="15.5" x14ac:dyDescent="0.35">
      <c r="B6991" s="167"/>
    </row>
    <row r="6992" spans="2:2" ht="15.5" x14ac:dyDescent="0.35">
      <c r="B6992" s="167"/>
    </row>
    <row r="6993" spans="2:2" ht="15.5" x14ac:dyDescent="0.35">
      <c r="B6993" s="167"/>
    </row>
    <row r="6994" spans="2:2" ht="15.5" x14ac:dyDescent="0.35">
      <c r="B6994" s="167"/>
    </row>
    <row r="6995" spans="2:2" ht="15.5" x14ac:dyDescent="0.35">
      <c r="B6995" s="167"/>
    </row>
    <row r="6996" spans="2:2" ht="15.5" x14ac:dyDescent="0.35">
      <c r="B6996" s="167"/>
    </row>
    <row r="6997" spans="2:2" ht="15.5" x14ac:dyDescent="0.35">
      <c r="B6997" s="167"/>
    </row>
    <row r="6998" spans="2:2" ht="15.5" x14ac:dyDescent="0.35">
      <c r="B6998" s="167"/>
    </row>
    <row r="6999" spans="2:2" ht="15.5" x14ac:dyDescent="0.35">
      <c r="B6999" s="167"/>
    </row>
    <row r="7000" spans="2:2" ht="15.5" x14ac:dyDescent="0.35">
      <c r="B7000" s="167"/>
    </row>
    <row r="7001" spans="2:2" ht="15.5" x14ac:dyDescent="0.35">
      <c r="B7001" s="167"/>
    </row>
    <row r="7002" spans="2:2" ht="15.5" x14ac:dyDescent="0.35">
      <c r="B7002" s="167"/>
    </row>
    <row r="7003" spans="2:2" ht="15.5" x14ac:dyDescent="0.35">
      <c r="B7003" s="167"/>
    </row>
    <row r="7004" spans="2:2" ht="15.5" x14ac:dyDescent="0.35">
      <c r="B7004" s="167"/>
    </row>
    <row r="7005" spans="2:2" ht="15.5" x14ac:dyDescent="0.35">
      <c r="B7005" s="167"/>
    </row>
    <row r="7006" spans="2:2" ht="15.5" x14ac:dyDescent="0.35">
      <c r="B7006" s="167"/>
    </row>
    <row r="7007" spans="2:2" ht="15.5" x14ac:dyDescent="0.35">
      <c r="B7007" s="167"/>
    </row>
    <row r="7008" spans="2:2" ht="15.5" x14ac:dyDescent="0.35">
      <c r="B7008" s="167"/>
    </row>
    <row r="7009" spans="2:2" ht="15.5" x14ac:dyDescent="0.35">
      <c r="B7009" s="167"/>
    </row>
    <row r="7010" spans="2:2" ht="15.5" x14ac:dyDescent="0.35">
      <c r="B7010" s="167"/>
    </row>
    <row r="7011" spans="2:2" ht="15.5" x14ac:dyDescent="0.35">
      <c r="B7011" s="167"/>
    </row>
    <row r="7012" spans="2:2" ht="15.5" x14ac:dyDescent="0.35">
      <c r="B7012" s="167"/>
    </row>
    <row r="7013" spans="2:2" ht="15.5" x14ac:dyDescent="0.35">
      <c r="B7013" s="167"/>
    </row>
    <row r="7014" spans="2:2" ht="15.5" x14ac:dyDescent="0.35">
      <c r="B7014" s="167"/>
    </row>
    <row r="7015" spans="2:2" ht="15.5" x14ac:dyDescent="0.35">
      <c r="B7015" s="167"/>
    </row>
    <row r="7016" spans="2:2" ht="15.5" x14ac:dyDescent="0.35">
      <c r="B7016" s="167"/>
    </row>
    <row r="7017" spans="2:2" ht="15.5" x14ac:dyDescent="0.35">
      <c r="B7017" s="167"/>
    </row>
    <row r="7018" spans="2:2" ht="15.5" x14ac:dyDescent="0.35">
      <c r="B7018" s="167"/>
    </row>
    <row r="7019" spans="2:2" ht="15.5" x14ac:dyDescent="0.35">
      <c r="B7019" s="167"/>
    </row>
    <row r="7020" spans="2:2" ht="15.5" x14ac:dyDescent="0.35">
      <c r="B7020" s="167"/>
    </row>
    <row r="7021" spans="2:2" ht="15.5" x14ac:dyDescent="0.35">
      <c r="B7021" s="167"/>
    </row>
    <row r="7022" spans="2:2" ht="15.5" x14ac:dyDescent="0.35">
      <c r="B7022" s="167"/>
    </row>
    <row r="7023" spans="2:2" ht="15.5" x14ac:dyDescent="0.35">
      <c r="B7023" s="167"/>
    </row>
    <row r="7024" spans="2:2" ht="15.5" x14ac:dyDescent="0.35">
      <c r="B7024" s="167"/>
    </row>
    <row r="7025" spans="2:2" ht="15.5" x14ac:dyDescent="0.35">
      <c r="B7025" s="167"/>
    </row>
    <row r="7026" spans="2:2" ht="15.5" x14ac:dyDescent="0.35">
      <c r="B7026" s="167"/>
    </row>
    <row r="7027" spans="2:2" ht="15.5" x14ac:dyDescent="0.35">
      <c r="B7027" s="167"/>
    </row>
    <row r="7028" spans="2:2" ht="15.5" x14ac:dyDescent="0.35">
      <c r="B7028" s="167"/>
    </row>
    <row r="7029" spans="2:2" ht="15.5" x14ac:dyDescent="0.35">
      <c r="B7029" s="167"/>
    </row>
    <row r="7030" spans="2:2" ht="15.5" x14ac:dyDescent="0.35">
      <c r="B7030" s="167"/>
    </row>
    <row r="7031" spans="2:2" ht="15.5" x14ac:dyDescent="0.35">
      <c r="B7031" s="167"/>
    </row>
    <row r="7032" spans="2:2" ht="15.5" x14ac:dyDescent="0.35">
      <c r="B7032" s="167"/>
    </row>
    <row r="7033" spans="2:2" ht="15.5" x14ac:dyDescent="0.35">
      <c r="B7033" s="167"/>
    </row>
    <row r="7034" spans="2:2" ht="15.5" x14ac:dyDescent="0.35">
      <c r="B7034" s="167"/>
    </row>
    <row r="7035" spans="2:2" ht="15.5" x14ac:dyDescent="0.35">
      <c r="B7035" s="167"/>
    </row>
    <row r="7036" spans="2:2" ht="15.5" x14ac:dyDescent="0.35">
      <c r="B7036" s="167"/>
    </row>
    <row r="7037" spans="2:2" ht="15.5" x14ac:dyDescent="0.35">
      <c r="B7037" s="167"/>
    </row>
    <row r="7038" spans="2:2" ht="15.5" x14ac:dyDescent="0.35">
      <c r="B7038" s="167"/>
    </row>
    <row r="7039" spans="2:2" ht="15.5" x14ac:dyDescent="0.35">
      <c r="B7039" s="167"/>
    </row>
    <row r="7040" spans="2:2" ht="15.5" x14ac:dyDescent="0.35">
      <c r="B7040" s="167"/>
    </row>
    <row r="7041" spans="2:2" ht="15.5" x14ac:dyDescent="0.35">
      <c r="B7041" s="167"/>
    </row>
    <row r="7042" spans="2:2" ht="15.5" x14ac:dyDescent="0.35">
      <c r="B7042" s="167"/>
    </row>
    <row r="7043" spans="2:2" ht="15.5" x14ac:dyDescent="0.35">
      <c r="B7043" s="167"/>
    </row>
    <row r="7044" spans="2:2" ht="15.5" x14ac:dyDescent="0.35">
      <c r="B7044" s="167"/>
    </row>
    <row r="7045" spans="2:2" ht="15.5" x14ac:dyDescent="0.35">
      <c r="B7045" s="167"/>
    </row>
    <row r="7046" spans="2:2" ht="15.5" x14ac:dyDescent="0.35">
      <c r="B7046" s="167"/>
    </row>
    <row r="7047" spans="2:2" ht="15.5" x14ac:dyDescent="0.35">
      <c r="B7047" s="167"/>
    </row>
    <row r="7048" spans="2:2" ht="15.5" x14ac:dyDescent="0.35">
      <c r="B7048" s="167"/>
    </row>
    <row r="7049" spans="2:2" ht="15.5" x14ac:dyDescent="0.35">
      <c r="B7049" s="167"/>
    </row>
    <row r="7050" spans="2:2" ht="15.5" x14ac:dyDescent="0.35">
      <c r="B7050" s="167"/>
    </row>
    <row r="7051" spans="2:2" ht="15.5" x14ac:dyDescent="0.35">
      <c r="B7051" s="167"/>
    </row>
    <row r="7052" spans="2:2" ht="15.5" x14ac:dyDescent="0.35">
      <c r="B7052" s="167"/>
    </row>
    <row r="7053" spans="2:2" ht="15.5" x14ac:dyDescent="0.35">
      <c r="B7053" s="167"/>
    </row>
    <row r="7054" spans="2:2" ht="15.5" x14ac:dyDescent="0.35">
      <c r="B7054" s="167"/>
    </row>
    <row r="7055" spans="2:2" ht="15.5" x14ac:dyDescent="0.35">
      <c r="B7055" s="167"/>
    </row>
    <row r="7056" spans="2:2" ht="15.5" x14ac:dyDescent="0.35">
      <c r="B7056" s="167"/>
    </row>
    <row r="7057" spans="2:2" ht="15.5" x14ac:dyDescent="0.35">
      <c r="B7057" s="167"/>
    </row>
    <row r="7058" spans="2:2" ht="15.5" x14ac:dyDescent="0.35">
      <c r="B7058" s="167"/>
    </row>
    <row r="7059" spans="2:2" ht="15.5" x14ac:dyDescent="0.35">
      <c r="B7059" s="167"/>
    </row>
    <row r="7060" spans="2:2" ht="15.5" x14ac:dyDescent="0.35">
      <c r="B7060" s="167"/>
    </row>
    <row r="7061" spans="2:2" ht="15.5" x14ac:dyDescent="0.35">
      <c r="B7061" s="167"/>
    </row>
    <row r="7062" spans="2:2" ht="15.5" x14ac:dyDescent="0.35">
      <c r="B7062" s="167"/>
    </row>
    <row r="7063" spans="2:2" ht="15.5" x14ac:dyDescent="0.35">
      <c r="B7063" s="167"/>
    </row>
    <row r="7064" spans="2:2" ht="15.5" x14ac:dyDescent="0.35">
      <c r="B7064" s="167"/>
    </row>
    <row r="7065" spans="2:2" ht="15.5" x14ac:dyDescent="0.35">
      <c r="B7065" s="167"/>
    </row>
    <row r="7066" spans="2:2" ht="15.5" x14ac:dyDescent="0.35">
      <c r="B7066" s="167"/>
    </row>
    <row r="7067" spans="2:2" ht="15.5" x14ac:dyDescent="0.35">
      <c r="B7067" s="167"/>
    </row>
    <row r="7068" spans="2:2" ht="15.5" x14ac:dyDescent="0.35">
      <c r="B7068" s="167"/>
    </row>
    <row r="7069" spans="2:2" ht="15.5" x14ac:dyDescent="0.35">
      <c r="B7069" s="167"/>
    </row>
    <row r="7070" spans="2:2" ht="15.5" x14ac:dyDescent="0.35">
      <c r="B7070" s="167"/>
    </row>
    <row r="7071" spans="2:2" ht="15.5" x14ac:dyDescent="0.35">
      <c r="B7071" s="167"/>
    </row>
    <row r="7072" spans="2:2" ht="15.5" x14ac:dyDescent="0.35">
      <c r="B7072" s="167"/>
    </row>
    <row r="7073" spans="2:2" ht="15.5" x14ac:dyDescent="0.35">
      <c r="B7073" s="167"/>
    </row>
    <row r="7074" spans="2:2" ht="15.5" x14ac:dyDescent="0.35">
      <c r="B7074" s="167"/>
    </row>
    <row r="7075" spans="2:2" ht="15.5" x14ac:dyDescent="0.35">
      <c r="B7075" s="167"/>
    </row>
    <row r="7076" spans="2:2" ht="15.5" x14ac:dyDescent="0.35">
      <c r="B7076" s="167"/>
    </row>
    <row r="7077" spans="2:2" ht="15.5" x14ac:dyDescent="0.35">
      <c r="B7077" s="167"/>
    </row>
    <row r="7078" spans="2:2" ht="15.5" x14ac:dyDescent="0.35">
      <c r="B7078" s="167"/>
    </row>
    <row r="7079" spans="2:2" ht="15.5" x14ac:dyDescent="0.35">
      <c r="B7079" s="167"/>
    </row>
    <row r="7080" spans="2:2" ht="15.5" x14ac:dyDescent="0.35">
      <c r="B7080" s="167"/>
    </row>
    <row r="7081" spans="2:2" ht="15.5" x14ac:dyDescent="0.35">
      <c r="B7081" s="167"/>
    </row>
    <row r="7082" spans="2:2" ht="15.5" x14ac:dyDescent="0.35">
      <c r="B7082" s="167"/>
    </row>
    <row r="7083" spans="2:2" ht="15.5" x14ac:dyDescent="0.35">
      <c r="B7083" s="167"/>
    </row>
    <row r="7084" spans="2:2" ht="15.5" x14ac:dyDescent="0.35">
      <c r="B7084" s="167"/>
    </row>
    <row r="7085" spans="2:2" ht="15.5" x14ac:dyDescent="0.35">
      <c r="B7085" s="167"/>
    </row>
    <row r="7086" spans="2:2" ht="15.5" x14ac:dyDescent="0.35">
      <c r="B7086" s="167"/>
    </row>
    <row r="7087" spans="2:2" ht="15.5" x14ac:dyDescent="0.35">
      <c r="B7087" s="167"/>
    </row>
    <row r="7088" spans="2:2" ht="15.5" x14ac:dyDescent="0.35">
      <c r="B7088" s="167"/>
    </row>
    <row r="7089" spans="2:2" ht="15.5" x14ac:dyDescent="0.35">
      <c r="B7089" s="167"/>
    </row>
    <row r="7090" spans="2:2" ht="15.5" x14ac:dyDescent="0.35">
      <c r="B7090" s="167"/>
    </row>
    <row r="7091" spans="2:2" ht="15.5" x14ac:dyDescent="0.35">
      <c r="B7091" s="167"/>
    </row>
    <row r="7092" spans="2:2" ht="15.5" x14ac:dyDescent="0.35">
      <c r="B7092" s="167"/>
    </row>
    <row r="7093" spans="2:2" ht="15.5" x14ac:dyDescent="0.35">
      <c r="B7093" s="167"/>
    </row>
    <row r="7094" spans="2:2" ht="15.5" x14ac:dyDescent="0.35">
      <c r="B7094" s="167"/>
    </row>
    <row r="7095" spans="2:2" ht="15.5" x14ac:dyDescent="0.35">
      <c r="B7095" s="167"/>
    </row>
    <row r="7096" spans="2:2" ht="15.5" x14ac:dyDescent="0.35">
      <c r="B7096" s="167"/>
    </row>
    <row r="7097" spans="2:2" ht="15.5" x14ac:dyDescent="0.35">
      <c r="B7097" s="167"/>
    </row>
    <row r="7098" spans="2:2" ht="15.5" x14ac:dyDescent="0.35">
      <c r="B7098" s="167"/>
    </row>
    <row r="7099" spans="2:2" ht="15.5" x14ac:dyDescent="0.35">
      <c r="B7099" s="167"/>
    </row>
    <row r="7100" spans="2:2" ht="15.5" x14ac:dyDescent="0.35">
      <c r="B7100" s="167"/>
    </row>
    <row r="7101" spans="2:2" ht="15.5" x14ac:dyDescent="0.35">
      <c r="B7101" s="167"/>
    </row>
    <row r="7102" spans="2:2" ht="15.5" x14ac:dyDescent="0.35">
      <c r="B7102" s="167"/>
    </row>
    <row r="7103" spans="2:2" ht="15.5" x14ac:dyDescent="0.35">
      <c r="B7103" s="167"/>
    </row>
    <row r="7104" spans="2:2" ht="15.5" x14ac:dyDescent="0.35">
      <c r="B7104" s="167"/>
    </row>
    <row r="7105" spans="2:2" ht="15.5" x14ac:dyDescent="0.35">
      <c r="B7105" s="167"/>
    </row>
    <row r="7106" spans="2:2" ht="15.5" x14ac:dyDescent="0.35">
      <c r="B7106" s="167"/>
    </row>
    <row r="7107" spans="2:2" ht="15.5" x14ac:dyDescent="0.35">
      <c r="B7107" s="167"/>
    </row>
    <row r="7108" spans="2:2" ht="15.5" x14ac:dyDescent="0.35">
      <c r="B7108" s="167"/>
    </row>
    <row r="7109" spans="2:2" ht="15.5" x14ac:dyDescent="0.35">
      <c r="B7109" s="167"/>
    </row>
    <row r="7110" spans="2:2" ht="15.5" x14ac:dyDescent="0.35">
      <c r="B7110" s="167"/>
    </row>
    <row r="7111" spans="2:2" ht="15.5" x14ac:dyDescent="0.35">
      <c r="B7111" s="167"/>
    </row>
    <row r="7112" spans="2:2" ht="15.5" x14ac:dyDescent="0.35">
      <c r="B7112" s="167"/>
    </row>
    <row r="7113" spans="2:2" ht="15.5" x14ac:dyDescent="0.35">
      <c r="B7113" s="167"/>
    </row>
    <row r="7114" spans="2:2" ht="15.5" x14ac:dyDescent="0.35">
      <c r="B7114" s="167"/>
    </row>
    <row r="7115" spans="2:2" ht="15.5" x14ac:dyDescent="0.35">
      <c r="B7115" s="167"/>
    </row>
    <row r="7116" spans="2:2" ht="15.5" x14ac:dyDescent="0.35">
      <c r="B7116" s="167"/>
    </row>
    <row r="7117" spans="2:2" ht="15.5" x14ac:dyDescent="0.35">
      <c r="B7117" s="167"/>
    </row>
    <row r="7118" spans="2:2" ht="15.5" x14ac:dyDescent="0.35">
      <c r="B7118" s="167"/>
    </row>
    <row r="7119" spans="2:2" ht="15.5" x14ac:dyDescent="0.35">
      <c r="B7119" s="167"/>
    </row>
    <row r="7120" spans="2:2" ht="15.5" x14ac:dyDescent="0.35">
      <c r="B7120" s="167"/>
    </row>
    <row r="7121" spans="2:2" ht="15.5" x14ac:dyDescent="0.35">
      <c r="B7121" s="167"/>
    </row>
    <row r="7122" spans="2:2" ht="15.5" x14ac:dyDescent="0.35">
      <c r="B7122" s="167"/>
    </row>
    <row r="7123" spans="2:2" ht="15.5" x14ac:dyDescent="0.35">
      <c r="B7123" s="167"/>
    </row>
    <row r="7124" spans="2:2" ht="15.5" x14ac:dyDescent="0.35">
      <c r="B7124" s="167"/>
    </row>
    <row r="7125" spans="2:2" ht="15.5" x14ac:dyDescent="0.35">
      <c r="B7125" s="167"/>
    </row>
    <row r="7126" spans="2:2" ht="15.5" x14ac:dyDescent="0.35">
      <c r="B7126" s="167"/>
    </row>
    <row r="7127" spans="2:2" ht="15.5" x14ac:dyDescent="0.35">
      <c r="B7127" s="167"/>
    </row>
    <row r="7128" spans="2:2" ht="15.5" x14ac:dyDescent="0.35">
      <c r="B7128" s="167"/>
    </row>
    <row r="7129" spans="2:2" ht="15.5" x14ac:dyDescent="0.35">
      <c r="B7129" s="167"/>
    </row>
    <row r="7130" spans="2:2" ht="15.5" x14ac:dyDescent="0.35">
      <c r="B7130" s="167"/>
    </row>
    <row r="7131" spans="2:2" ht="15.5" x14ac:dyDescent="0.35">
      <c r="B7131" s="167"/>
    </row>
    <row r="7132" spans="2:2" ht="15.5" x14ac:dyDescent="0.35">
      <c r="B7132" s="167"/>
    </row>
    <row r="7133" spans="2:2" ht="15.5" x14ac:dyDescent="0.35">
      <c r="B7133" s="167"/>
    </row>
    <row r="7134" spans="2:2" ht="15.5" x14ac:dyDescent="0.35">
      <c r="B7134" s="167"/>
    </row>
    <row r="7135" spans="2:2" ht="15.5" x14ac:dyDescent="0.35">
      <c r="B7135" s="167"/>
    </row>
    <row r="7136" spans="2:2" ht="15.5" x14ac:dyDescent="0.35">
      <c r="B7136" s="167"/>
    </row>
    <row r="7137" spans="2:2" ht="15.5" x14ac:dyDescent="0.35">
      <c r="B7137" s="167"/>
    </row>
    <row r="7138" spans="2:2" ht="15.5" x14ac:dyDescent="0.35">
      <c r="B7138" s="167"/>
    </row>
    <row r="7139" spans="2:2" ht="15.5" x14ac:dyDescent="0.35">
      <c r="B7139" s="167"/>
    </row>
    <row r="7140" spans="2:2" ht="15.5" x14ac:dyDescent="0.35">
      <c r="B7140" s="167"/>
    </row>
    <row r="7141" spans="2:2" ht="15.5" x14ac:dyDescent="0.35">
      <c r="B7141" s="167"/>
    </row>
    <row r="7142" spans="2:2" ht="15.5" x14ac:dyDescent="0.35">
      <c r="B7142" s="167"/>
    </row>
    <row r="7143" spans="2:2" ht="15.5" x14ac:dyDescent="0.35">
      <c r="B7143" s="167"/>
    </row>
    <row r="7144" spans="2:2" ht="15.5" x14ac:dyDescent="0.35">
      <c r="B7144" s="167"/>
    </row>
    <row r="7145" spans="2:2" ht="15.5" x14ac:dyDescent="0.35">
      <c r="B7145" s="167"/>
    </row>
    <row r="7146" spans="2:2" ht="15.5" x14ac:dyDescent="0.35">
      <c r="B7146" s="167"/>
    </row>
    <row r="7147" spans="2:2" ht="15.5" x14ac:dyDescent="0.35">
      <c r="B7147" s="167"/>
    </row>
    <row r="7148" spans="2:2" ht="15.5" x14ac:dyDescent="0.35">
      <c r="B7148" s="167"/>
    </row>
    <row r="7149" spans="2:2" ht="15.5" x14ac:dyDescent="0.35">
      <c r="B7149" s="167"/>
    </row>
    <row r="7150" spans="2:2" ht="15.5" x14ac:dyDescent="0.35">
      <c r="B7150" s="167"/>
    </row>
    <row r="7151" spans="2:2" ht="15.5" x14ac:dyDescent="0.35">
      <c r="B7151" s="167"/>
    </row>
    <row r="7152" spans="2:2" ht="15.5" x14ac:dyDescent="0.35">
      <c r="B7152" s="167"/>
    </row>
    <row r="7153" spans="2:2" ht="15.5" x14ac:dyDescent="0.35">
      <c r="B7153" s="167"/>
    </row>
    <row r="7154" spans="2:2" ht="15.5" x14ac:dyDescent="0.35">
      <c r="B7154" s="167"/>
    </row>
    <row r="7155" spans="2:2" ht="15.5" x14ac:dyDescent="0.35">
      <c r="B7155" s="167"/>
    </row>
    <row r="7156" spans="2:2" ht="15.5" x14ac:dyDescent="0.35">
      <c r="B7156" s="167"/>
    </row>
    <row r="7157" spans="2:2" ht="15.5" x14ac:dyDescent="0.35">
      <c r="B7157" s="167"/>
    </row>
    <row r="7158" spans="2:2" ht="15.5" x14ac:dyDescent="0.35">
      <c r="B7158" s="167"/>
    </row>
    <row r="7159" spans="2:2" ht="15.5" x14ac:dyDescent="0.35">
      <c r="B7159" s="167"/>
    </row>
    <row r="7160" spans="2:2" ht="15.5" x14ac:dyDescent="0.35">
      <c r="B7160" s="167"/>
    </row>
    <row r="7161" spans="2:2" ht="15.5" x14ac:dyDescent="0.35">
      <c r="B7161" s="167"/>
    </row>
    <row r="7162" spans="2:2" ht="15.5" x14ac:dyDescent="0.35">
      <c r="B7162" s="167"/>
    </row>
    <row r="7163" spans="2:2" ht="15.5" x14ac:dyDescent="0.35">
      <c r="B7163" s="167"/>
    </row>
    <row r="7164" spans="2:2" ht="15.5" x14ac:dyDescent="0.35">
      <c r="B7164" s="167"/>
    </row>
    <row r="7165" spans="2:2" ht="15.5" x14ac:dyDescent="0.35">
      <c r="B7165" s="167"/>
    </row>
    <row r="7166" spans="2:2" ht="15.5" x14ac:dyDescent="0.35">
      <c r="B7166" s="167"/>
    </row>
    <row r="7167" spans="2:2" ht="15.5" x14ac:dyDescent="0.35">
      <c r="B7167" s="167"/>
    </row>
    <row r="7168" spans="2:2" ht="15.5" x14ac:dyDescent="0.35">
      <c r="B7168" s="167"/>
    </row>
    <row r="7169" spans="2:2" ht="15.5" x14ac:dyDescent="0.35">
      <c r="B7169" s="167"/>
    </row>
    <row r="7170" spans="2:2" ht="15.5" x14ac:dyDescent="0.35">
      <c r="B7170" s="167"/>
    </row>
    <row r="7171" spans="2:2" ht="15.5" x14ac:dyDescent="0.35">
      <c r="B7171" s="167"/>
    </row>
    <row r="7172" spans="2:2" ht="15.5" x14ac:dyDescent="0.35">
      <c r="B7172" s="167"/>
    </row>
    <row r="7173" spans="2:2" ht="15.5" x14ac:dyDescent="0.35">
      <c r="B7173" s="167"/>
    </row>
    <row r="7174" spans="2:2" ht="15.5" x14ac:dyDescent="0.35">
      <c r="B7174" s="167"/>
    </row>
    <row r="7175" spans="2:2" ht="15.5" x14ac:dyDescent="0.35">
      <c r="B7175" s="167"/>
    </row>
    <row r="7176" spans="2:2" ht="15.5" x14ac:dyDescent="0.35">
      <c r="B7176" s="167"/>
    </row>
    <row r="7177" spans="2:2" ht="15.5" x14ac:dyDescent="0.35">
      <c r="B7177" s="167"/>
    </row>
    <row r="7178" spans="2:2" ht="15.5" x14ac:dyDescent="0.35">
      <c r="B7178" s="167"/>
    </row>
    <row r="7179" spans="2:2" ht="15.5" x14ac:dyDescent="0.35">
      <c r="B7179" s="167"/>
    </row>
    <row r="7180" spans="2:2" ht="15.5" x14ac:dyDescent="0.35">
      <c r="B7180" s="167"/>
    </row>
    <row r="7181" spans="2:2" ht="15.5" x14ac:dyDescent="0.35">
      <c r="B7181" s="167"/>
    </row>
    <row r="7182" spans="2:2" ht="15.5" x14ac:dyDescent="0.35">
      <c r="B7182" s="167"/>
    </row>
    <row r="7183" spans="2:2" ht="15.5" x14ac:dyDescent="0.35">
      <c r="B7183" s="167"/>
    </row>
    <row r="7184" spans="2:2" ht="15.5" x14ac:dyDescent="0.35">
      <c r="B7184" s="167"/>
    </row>
    <row r="7185" spans="2:2" ht="15.5" x14ac:dyDescent="0.35">
      <c r="B7185" s="167"/>
    </row>
    <row r="7186" spans="2:2" ht="15.5" x14ac:dyDescent="0.35">
      <c r="B7186" s="167"/>
    </row>
    <row r="7187" spans="2:2" ht="15.5" x14ac:dyDescent="0.35">
      <c r="B7187" s="167"/>
    </row>
    <row r="7188" spans="2:2" ht="15.5" x14ac:dyDescent="0.35">
      <c r="B7188" s="167"/>
    </row>
    <row r="7189" spans="2:2" ht="15.5" x14ac:dyDescent="0.35">
      <c r="B7189" s="167"/>
    </row>
    <row r="7190" spans="2:2" ht="15.5" x14ac:dyDescent="0.35">
      <c r="B7190" s="167"/>
    </row>
    <row r="7191" spans="2:2" ht="15.5" x14ac:dyDescent="0.35">
      <c r="B7191" s="167"/>
    </row>
    <row r="7192" spans="2:2" ht="15.5" x14ac:dyDescent="0.35">
      <c r="B7192" s="167"/>
    </row>
    <row r="7193" spans="2:2" ht="15.5" x14ac:dyDescent="0.35">
      <c r="B7193" s="167"/>
    </row>
    <row r="7194" spans="2:2" ht="15.5" x14ac:dyDescent="0.35">
      <c r="B7194" s="167"/>
    </row>
    <row r="7195" spans="2:2" ht="15.5" x14ac:dyDescent="0.35">
      <c r="B7195" s="167"/>
    </row>
    <row r="7196" spans="2:2" ht="15.5" x14ac:dyDescent="0.35">
      <c r="B7196" s="167"/>
    </row>
    <row r="7197" spans="2:2" ht="15.5" x14ac:dyDescent="0.35">
      <c r="B7197" s="167"/>
    </row>
    <row r="7198" spans="2:2" ht="15.5" x14ac:dyDescent="0.35">
      <c r="B7198" s="167"/>
    </row>
    <row r="7199" spans="2:2" ht="15.5" x14ac:dyDescent="0.35">
      <c r="B7199" s="167"/>
    </row>
    <row r="7200" spans="2:2" ht="15.5" x14ac:dyDescent="0.35">
      <c r="B7200" s="167"/>
    </row>
    <row r="7201" spans="2:2" ht="15.5" x14ac:dyDescent="0.35">
      <c r="B7201" s="167"/>
    </row>
    <row r="7202" spans="2:2" ht="15.5" x14ac:dyDescent="0.35">
      <c r="B7202" s="167"/>
    </row>
    <row r="7203" spans="2:2" ht="15.5" x14ac:dyDescent="0.35">
      <c r="B7203" s="167"/>
    </row>
    <row r="7204" spans="2:2" ht="15.5" x14ac:dyDescent="0.35">
      <c r="B7204" s="167"/>
    </row>
    <row r="7205" spans="2:2" ht="15.5" x14ac:dyDescent="0.35">
      <c r="B7205" s="167"/>
    </row>
    <row r="7206" spans="2:2" ht="15.5" x14ac:dyDescent="0.35">
      <c r="B7206" s="167"/>
    </row>
    <row r="7207" spans="2:2" ht="15.5" x14ac:dyDescent="0.35">
      <c r="B7207" s="167"/>
    </row>
    <row r="7208" spans="2:2" ht="15.5" x14ac:dyDescent="0.35">
      <c r="B7208" s="167"/>
    </row>
    <row r="7209" spans="2:2" ht="15.5" x14ac:dyDescent="0.35">
      <c r="B7209" s="167"/>
    </row>
    <row r="7210" spans="2:2" ht="15.5" x14ac:dyDescent="0.35">
      <c r="B7210" s="167"/>
    </row>
    <row r="7211" spans="2:2" ht="15.5" x14ac:dyDescent="0.35">
      <c r="B7211" s="167"/>
    </row>
    <row r="7212" spans="2:2" ht="15.5" x14ac:dyDescent="0.35">
      <c r="B7212" s="167"/>
    </row>
    <row r="7213" spans="2:2" ht="15.5" x14ac:dyDescent="0.35">
      <c r="B7213" s="167"/>
    </row>
    <row r="7214" spans="2:2" ht="15.5" x14ac:dyDescent="0.35">
      <c r="B7214" s="167"/>
    </row>
    <row r="7215" spans="2:2" ht="15.5" x14ac:dyDescent="0.35">
      <c r="B7215" s="167"/>
    </row>
    <row r="7216" spans="2:2" ht="15.5" x14ac:dyDescent="0.35">
      <c r="B7216" s="167"/>
    </row>
    <row r="7217" spans="2:2" ht="15.5" x14ac:dyDescent="0.35">
      <c r="B7217" s="167"/>
    </row>
    <row r="7218" spans="2:2" ht="15.5" x14ac:dyDescent="0.35">
      <c r="B7218" s="167"/>
    </row>
    <row r="7219" spans="2:2" ht="15.5" x14ac:dyDescent="0.35">
      <c r="B7219" s="167"/>
    </row>
    <row r="7220" spans="2:2" ht="15.5" x14ac:dyDescent="0.35">
      <c r="B7220" s="167"/>
    </row>
    <row r="7221" spans="2:2" ht="15.5" x14ac:dyDescent="0.35">
      <c r="B7221" s="167"/>
    </row>
    <row r="7222" spans="2:2" ht="15.5" x14ac:dyDescent="0.35">
      <c r="B7222" s="167"/>
    </row>
    <row r="7223" spans="2:2" ht="15.5" x14ac:dyDescent="0.35">
      <c r="B7223" s="167"/>
    </row>
    <row r="7224" spans="2:2" ht="15.5" x14ac:dyDescent="0.35">
      <c r="B7224" s="167"/>
    </row>
    <row r="7225" spans="2:2" ht="15.5" x14ac:dyDescent="0.35">
      <c r="B7225" s="167"/>
    </row>
    <row r="7226" spans="2:2" ht="15.5" x14ac:dyDescent="0.35">
      <c r="B7226" s="167"/>
    </row>
    <row r="7227" spans="2:2" ht="15.5" x14ac:dyDescent="0.35">
      <c r="B7227" s="167"/>
    </row>
    <row r="7228" spans="2:2" ht="15.5" x14ac:dyDescent="0.35">
      <c r="B7228" s="167"/>
    </row>
    <row r="7229" spans="2:2" ht="15.5" x14ac:dyDescent="0.35">
      <c r="B7229" s="167"/>
    </row>
    <row r="7230" spans="2:2" ht="15.5" x14ac:dyDescent="0.35">
      <c r="B7230" s="167"/>
    </row>
    <row r="7231" spans="2:2" ht="15.5" x14ac:dyDescent="0.35">
      <c r="B7231" s="167"/>
    </row>
    <row r="7232" spans="2:2" ht="15.5" x14ac:dyDescent="0.35">
      <c r="B7232" s="167"/>
    </row>
    <row r="7233" spans="2:2" ht="15.5" x14ac:dyDescent="0.35">
      <c r="B7233" s="167"/>
    </row>
    <row r="7234" spans="2:2" ht="15.5" x14ac:dyDescent="0.35">
      <c r="B7234" s="167"/>
    </row>
    <row r="7235" spans="2:2" ht="15.5" x14ac:dyDescent="0.35">
      <c r="B7235" s="167"/>
    </row>
    <row r="7236" spans="2:2" ht="15.5" x14ac:dyDescent="0.35">
      <c r="B7236" s="167"/>
    </row>
    <row r="7237" spans="2:2" ht="15.5" x14ac:dyDescent="0.35">
      <c r="B7237" s="167"/>
    </row>
    <row r="7238" spans="2:2" ht="15.5" x14ac:dyDescent="0.35">
      <c r="B7238" s="167"/>
    </row>
    <row r="7239" spans="2:2" ht="15.5" x14ac:dyDescent="0.35">
      <c r="B7239" s="167"/>
    </row>
    <row r="7240" spans="2:2" ht="15.5" x14ac:dyDescent="0.35">
      <c r="B7240" s="167"/>
    </row>
    <row r="7241" spans="2:2" ht="15.5" x14ac:dyDescent="0.35">
      <c r="B7241" s="167"/>
    </row>
    <row r="7242" spans="2:2" ht="15.5" x14ac:dyDescent="0.35">
      <c r="B7242" s="167"/>
    </row>
    <row r="7243" spans="2:2" ht="15.5" x14ac:dyDescent="0.35">
      <c r="B7243" s="167"/>
    </row>
    <row r="7244" spans="2:2" ht="15.5" x14ac:dyDescent="0.35">
      <c r="B7244" s="167"/>
    </row>
    <row r="7245" spans="2:2" ht="15.5" x14ac:dyDescent="0.35">
      <c r="B7245" s="167"/>
    </row>
    <row r="7246" spans="2:2" ht="15.5" x14ac:dyDescent="0.35">
      <c r="B7246" s="167"/>
    </row>
    <row r="7247" spans="2:2" ht="15.5" x14ac:dyDescent="0.35">
      <c r="B7247" s="167"/>
    </row>
    <row r="7248" spans="2:2" ht="15.5" x14ac:dyDescent="0.35">
      <c r="B7248" s="167"/>
    </row>
    <row r="7249" spans="2:2" ht="15.5" x14ac:dyDescent="0.35">
      <c r="B7249" s="167"/>
    </row>
    <row r="7250" spans="2:2" ht="15.5" x14ac:dyDescent="0.35">
      <c r="B7250" s="167"/>
    </row>
    <row r="7251" spans="2:2" ht="15.5" x14ac:dyDescent="0.35">
      <c r="B7251" s="167"/>
    </row>
    <row r="7252" spans="2:2" ht="15.5" x14ac:dyDescent="0.35">
      <c r="B7252" s="167"/>
    </row>
    <row r="7253" spans="2:2" ht="15.5" x14ac:dyDescent="0.35">
      <c r="B7253" s="167"/>
    </row>
    <row r="7254" spans="2:2" ht="15.5" x14ac:dyDescent="0.35">
      <c r="B7254" s="167"/>
    </row>
    <row r="7255" spans="2:2" ht="15.5" x14ac:dyDescent="0.35">
      <c r="B7255" s="167"/>
    </row>
    <row r="7256" spans="2:2" ht="15.5" x14ac:dyDescent="0.35">
      <c r="B7256" s="167"/>
    </row>
    <row r="7257" spans="2:2" ht="15.5" x14ac:dyDescent="0.35">
      <c r="B7257" s="167"/>
    </row>
    <row r="7258" spans="2:2" ht="15.5" x14ac:dyDescent="0.35">
      <c r="B7258" s="167"/>
    </row>
    <row r="7259" spans="2:2" ht="15.5" x14ac:dyDescent="0.35">
      <c r="B7259" s="167"/>
    </row>
    <row r="7260" spans="2:2" ht="15.5" x14ac:dyDescent="0.35">
      <c r="B7260" s="167"/>
    </row>
    <row r="7261" spans="2:2" ht="15.5" x14ac:dyDescent="0.35">
      <c r="B7261" s="167"/>
    </row>
    <row r="7262" spans="2:2" ht="15.5" x14ac:dyDescent="0.35">
      <c r="B7262" s="167"/>
    </row>
    <row r="7263" spans="2:2" ht="15.5" x14ac:dyDescent="0.35">
      <c r="B7263" s="167"/>
    </row>
    <row r="7264" spans="2:2" ht="15.5" x14ac:dyDescent="0.35">
      <c r="B7264" s="167"/>
    </row>
    <row r="7265" spans="2:2" ht="15.5" x14ac:dyDescent="0.35">
      <c r="B7265" s="167"/>
    </row>
    <row r="7266" spans="2:2" ht="15.5" x14ac:dyDescent="0.35">
      <c r="B7266" s="167"/>
    </row>
    <row r="7267" spans="2:2" ht="15.5" x14ac:dyDescent="0.35">
      <c r="B7267" s="167"/>
    </row>
    <row r="7268" spans="2:2" ht="15.5" x14ac:dyDescent="0.35">
      <c r="B7268" s="167"/>
    </row>
    <row r="7269" spans="2:2" ht="15.5" x14ac:dyDescent="0.35">
      <c r="B7269" s="167"/>
    </row>
    <row r="7270" spans="2:2" ht="15.5" x14ac:dyDescent="0.35">
      <c r="B7270" s="167"/>
    </row>
    <row r="7271" spans="2:2" ht="15.5" x14ac:dyDescent="0.35">
      <c r="B7271" s="167"/>
    </row>
    <row r="7272" spans="2:2" ht="15.5" x14ac:dyDescent="0.35">
      <c r="B7272" s="167"/>
    </row>
    <row r="7273" spans="2:2" ht="15.5" x14ac:dyDescent="0.35">
      <c r="B7273" s="167"/>
    </row>
    <row r="7274" spans="2:2" ht="15.5" x14ac:dyDescent="0.35">
      <c r="B7274" s="167"/>
    </row>
    <row r="7275" spans="2:2" ht="15.5" x14ac:dyDescent="0.35">
      <c r="B7275" s="167"/>
    </row>
    <row r="7276" spans="2:2" ht="15.5" x14ac:dyDescent="0.35">
      <c r="B7276" s="167"/>
    </row>
    <row r="7277" spans="2:2" ht="15.5" x14ac:dyDescent="0.35">
      <c r="B7277" s="167"/>
    </row>
    <row r="7278" spans="2:2" ht="15.5" x14ac:dyDescent="0.35">
      <c r="B7278" s="167"/>
    </row>
    <row r="7279" spans="2:2" ht="15.5" x14ac:dyDescent="0.35">
      <c r="B7279" s="167"/>
    </row>
    <row r="7280" spans="2:2" ht="15.5" x14ac:dyDescent="0.35">
      <c r="B7280" s="167"/>
    </row>
    <row r="7281" spans="2:2" ht="15.5" x14ac:dyDescent="0.35">
      <c r="B7281" s="167"/>
    </row>
    <row r="7282" spans="2:2" ht="15.5" x14ac:dyDescent="0.35">
      <c r="B7282" s="167"/>
    </row>
    <row r="7283" spans="2:2" ht="15.5" x14ac:dyDescent="0.35">
      <c r="B7283" s="167"/>
    </row>
    <row r="7284" spans="2:2" ht="15.5" x14ac:dyDescent="0.35">
      <c r="B7284" s="167"/>
    </row>
    <row r="7285" spans="2:2" ht="15.5" x14ac:dyDescent="0.35">
      <c r="B7285" s="167"/>
    </row>
    <row r="7286" spans="2:2" ht="15.5" x14ac:dyDescent="0.35">
      <c r="B7286" s="167"/>
    </row>
    <row r="7287" spans="2:2" ht="15.5" x14ac:dyDescent="0.35">
      <c r="B7287" s="167"/>
    </row>
    <row r="7288" spans="2:2" ht="15.5" x14ac:dyDescent="0.35">
      <c r="B7288" s="167"/>
    </row>
    <row r="7289" spans="2:2" ht="15.5" x14ac:dyDescent="0.35">
      <c r="B7289" s="167"/>
    </row>
    <row r="7290" spans="2:2" ht="15.5" x14ac:dyDescent="0.35">
      <c r="B7290" s="167"/>
    </row>
    <row r="7291" spans="2:2" ht="15.5" x14ac:dyDescent="0.35">
      <c r="B7291" s="167"/>
    </row>
    <row r="7292" spans="2:2" ht="15.5" x14ac:dyDescent="0.35">
      <c r="B7292" s="167"/>
    </row>
    <row r="7293" spans="2:2" ht="15.5" x14ac:dyDescent="0.35">
      <c r="B7293" s="167"/>
    </row>
    <row r="7294" spans="2:2" ht="15.5" x14ac:dyDescent="0.35">
      <c r="B7294" s="167"/>
    </row>
    <row r="7295" spans="2:2" ht="15.5" x14ac:dyDescent="0.35">
      <c r="B7295" s="167"/>
    </row>
    <row r="7296" spans="2:2" ht="15.5" x14ac:dyDescent="0.35">
      <c r="B7296" s="167"/>
    </row>
    <row r="7297" spans="2:2" ht="15.5" x14ac:dyDescent="0.35">
      <c r="B7297" s="167"/>
    </row>
    <row r="7298" spans="2:2" ht="15.5" x14ac:dyDescent="0.35">
      <c r="B7298" s="167"/>
    </row>
    <row r="7299" spans="2:2" ht="15.5" x14ac:dyDescent="0.35">
      <c r="B7299" s="167"/>
    </row>
    <row r="7300" spans="2:2" ht="15.5" x14ac:dyDescent="0.35">
      <c r="B7300" s="167"/>
    </row>
    <row r="7301" spans="2:2" ht="15.5" x14ac:dyDescent="0.35">
      <c r="B7301" s="167"/>
    </row>
    <row r="7302" spans="2:2" ht="15.5" x14ac:dyDescent="0.35">
      <c r="B7302" s="167"/>
    </row>
    <row r="7303" spans="2:2" ht="15.5" x14ac:dyDescent="0.35">
      <c r="B7303" s="167"/>
    </row>
    <row r="7304" spans="2:2" ht="15.5" x14ac:dyDescent="0.35">
      <c r="B7304" s="167"/>
    </row>
    <row r="7305" spans="2:2" ht="15.5" x14ac:dyDescent="0.35">
      <c r="B7305" s="167"/>
    </row>
    <row r="7306" spans="2:2" ht="15.5" x14ac:dyDescent="0.35">
      <c r="B7306" s="167"/>
    </row>
    <row r="7307" spans="2:2" ht="15.5" x14ac:dyDescent="0.35">
      <c r="B7307" s="167"/>
    </row>
    <row r="7308" spans="2:2" ht="15.5" x14ac:dyDescent="0.35">
      <c r="B7308" s="167"/>
    </row>
    <row r="7309" spans="2:2" ht="15.5" x14ac:dyDescent="0.35">
      <c r="B7309" s="167"/>
    </row>
    <row r="7310" spans="2:2" ht="15.5" x14ac:dyDescent="0.35">
      <c r="B7310" s="167"/>
    </row>
    <row r="7311" spans="2:2" ht="15.5" x14ac:dyDescent="0.35">
      <c r="B7311" s="167"/>
    </row>
    <row r="7312" spans="2:2" ht="15.5" x14ac:dyDescent="0.35">
      <c r="B7312" s="167"/>
    </row>
    <row r="7313" spans="2:2" ht="15.5" x14ac:dyDescent="0.35">
      <c r="B7313" s="167"/>
    </row>
    <row r="7314" spans="2:2" ht="15.5" x14ac:dyDescent="0.35">
      <c r="B7314" s="167"/>
    </row>
    <row r="7315" spans="2:2" ht="15.5" x14ac:dyDescent="0.35">
      <c r="B7315" s="167"/>
    </row>
    <row r="7316" spans="2:2" ht="15.5" x14ac:dyDescent="0.35">
      <c r="B7316" s="167"/>
    </row>
    <row r="7317" spans="2:2" ht="15.5" x14ac:dyDescent="0.35">
      <c r="B7317" s="167"/>
    </row>
    <row r="7318" spans="2:2" ht="15.5" x14ac:dyDescent="0.35">
      <c r="B7318" s="167"/>
    </row>
    <row r="7319" spans="2:2" ht="15.5" x14ac:dyDescent="0.35">
      <c r="B7319" s="167"/>
    </row>
    <row r="7320" spans="2:2" ht="15.5" x14ac:dyDescent="0.35">
      <c r="B7320" s="167"/>
    </row>
    <row r="7321" spans="2:2" ht="15.5" x14ac:dyDescent="0.35">
      <c r="B7321" s="167"/>
    </row>
    <row r="7322" spans="2:2" ht="15.5" x14ac:dyDescent="0.35">
      <c r="B7322" s="167"/>
    </row>
    <row r="7323" spans="2:2" ht="15.5" x14ac:dyDescent="0.35">
      <c r="B7323" s="167"/>
    </row>
    <row r="7324" spans="2:2" ht="15.5" x14ac:dyDescent="0.35">
      <c r="B7324" s="167"/>
    </row>
    <row r="7325" spans="2:2" ht="15.5" x14ac:dyDescent="0.35">
      <c r="B7325" s="167"/>
    </row>
    <row r="7326" spans="2:2" ht="15.5" x14ac:dyDescent="0.35">
      <c r="B7326" s="167"/>
    </row>
    <row r="7327" spans="2:2" ht="15.5" x14ac:dyDescent="0.35">
      <c r="B7327" s="167"/>
    </row>
    <row r="7328" spans="2:2" ht="15.5" x14ac:dyDescent="0.35">
      <c r="B7328" s="167"/>
    </row>
    <row r="7329" spans="2:2" ht="15.5" x14ac:dyDescent="0.35">
      <c r="B7329" s="167"/>
    </row>
    <row r="7330" spans="2:2" ht="15.5" x14ac:dyDescent="0.35">
      <c r="B7330" s="167"/>
    </row>
    <row r="7331" spans="2:2" ht="15.5" x14ac:dyDescent="0.35">
      <c r="B7331" s="167"/>
    </row>
    <row r="7332" spans="2:2" ht="15.5" x14ac:dyDescent="0.35">
      <c r="B7332" s="167"/>
    </row>
    <row r="7333" spans="2:2" ht="15.5" x14ac:dyDescent="0.35">
      <c r="B7333" s="167"/>
    </row>
    <row r="7334" spans="2:2" ht="15.5" x14ac:dyDescent="0.35">
      <c r="B7334" s="167"/>
    </row>
    <row r="7335" spans="2:2" ht="15.5" x14ac:dyDescent="0.35">
      <c r="B7335" s="167"/>
    </row>
    <row r="7336" spans="2:2" ht="15.5" x14ac:dyDescent="0.35">
      <c r="B7336" s="167"/>
    </row>
    <row r="7337" spans="2:2" ht="15.5" x14ac:dyDescent="0.35">
      <c r="B7337" s="167"/>
    </row>
    <row r="7338" spans="2:2" ht="15.5" x14ac:dyDescent="0.35">
      <c r="B7338" s="167"/>
    </row>
    <row r="7339" spans="2:2" ht="15.5" x14ac:dyDescent="0.35">
      <c r="B7339" s="167"/>
    </row>
    <row r="7340" spans="2:2" ht="15.5" x14ac:dyDescent="0.35">
      <c r="B7340" s="167"/>
    </row>
    <row r="7341" spans="2:2" ht="15.5" x14ac:dyDescent="0.35">
      <c r="B7341" s="167"/>
    </row>
    <row r="7342" spans="2:2" ht="15.5" x14ac:dyDescent="0.35">
      <c r="B7342" s="167"/>
    </row>
    <row r="7343" spans="2:2" ht="15.5" x14ac:dyDescent="0.35">
      <c r="B7343" s="167"/>
    </row>
    <row r="7344" spans="2:2" ht="15.5" x14ac:dyDescent="0.35">
      <c r="B7344" s="167"/>
    </row>
    <row r="7345" spans="2:2" ht="15.5" x14ac:dyDescent="0.35">
      <c r="B7345" s="167"/>
    </row>
    <row r="7346" spans="2:2" ht="15.5" x14ac:dyDescent="0.35">
      <c r="B7346" s="167"/>
    </row>
    <row r="7347" spans="2:2" ht="15.5" x14ac:dyDescent="0.35">
      <c r="B7347" s="167"/>
    </row>
    <row r="7348" spans="2:2" ht="15.5" x14ac:dyDescent="0.35">
      <c r="B7348" s="167"/>
    </row>
    <row r="7349" spans="2:2" ht="15.5" x14ac:dyDescent="0.35">
      <c r="B7349" s="167"/>
    </row>
    <row r="7350" spans="2:2" ht="15.5" x14ac:dyDescent="0.35">
      <c r="B7350" s="167"/>
    </row>
    <row r="7351" spans="2:2" ht="15.5" x14ac:dyDescent="0.35">
      <c r="B7351" s="167"/>
    </row>
    <row r="7352" spans="2:2" ht="15.5" x14ac:dyDescent="0.35">
      <c r="B7352" s="167"/>
    </row>
    <row r="7353" spans="2:2" ht="15.5" x14ac:dyDescent="0.35">
      <c r="B7353" s="167"/>
    </row>
    <row r="7354" spans="2:2" ht="15.5" x14ac:dyDescent="0.35">
      <c r="B7354" s="167"/>
    </row>
    <row r="7355" spans="2:2" ht="15.5" x14ac:dyDescent="0.35">
      <c r="B7355" s="167"/>
    </row>
    <row r="7356" spans="2:2" ht="15.5" x14ac:dyDescent="0.35">
      <c r="B7356" s="167"/>
    </row>
    <row r="7357" spans="2:2" ht="15.5" x14ac:dyDescent="0.35">
      <c r="B7357" s="167"/>
    </row>
    <row r="7358" spans="2:2" ht="15.5" x14ac:dyDescent="0.35">
      <c r="B7358" s="167"/>
    </row>
    <row r="7359" spans="2:2" ht="15.5" x14ac:dyDescent="0.35">
      <c r="B7359" s="167"/>
    </row>
    <row r="7360" spans="2:2" ht="15.5" x14ac:dyDescent="0.35">
      <c r="B7360" s="167"/>
    </row>
    <row r="7361" spans="2:2" ht="15.5" x14ac:dyDescent="0.35">
      <c r="B7361" s="167"/>
    </row>
    <row r="7362" spans="2:2" ht="15.5" x14ac:dyDescent="0.35">
      <c r="B7362" s="167"/>
    </row>
    <row r="7363" spans="2:2" ht="15.5" x14ac:dyDescent="0.35">
      <c r="B7363" s="167"/>
    </row>
    <row r="7364" spans="2:2" ht="15.5" x14ac:dyDescent="0.35">
      <c r="B7364" s="167"/>
    </row>
    <row r="7365" spans="2:2" ht="15.5" x14ac:dyDescent="0.35">
      <c r="B7365" s="167"/>
    </row>
    <row r="7366" spans="2:2" ht="15.5" x14ac:dyDescent="0.35">
      <c r="B7366" s="167"/>
    </row>
    <row r="7367" spans="2:2" ht="15.5" x14ac:dyDescent="0.35">
      <c r="B7367" s="167"/>
    </row>
    <row r="7368" spans="2:2" ht="15.5" x14ac:dyDescent="0.35">
      <c r="B7368" s="167"/>
    </row>
    <row r="7369" spans="2:2" ht="15.5" x14ac:dyDescent="0.35">
      <c r="B7369" s="167"/>
    </row>
    <row r="7370" spans="2:2" ht="15.5" x14ac:dyDescent="0.35">
      <c r="B7370" s="167"/>
    </row>
    <row r="7371" spans="2:2" ht="15.5" x14ac:dyDescent="0.35">
      <c r="B7371" s="167"/>
    </row>
    <row r="7372" spans="2:2" ht="15.5" x14ac:dyDescent="0.35">
      <c r="B7372" s="167"/>
    </row>
    <row r="7373" spans="2:2" ht="15.5" x14ac:dyDescent="0.35">
      <c r="B7373" s="167"/>
    </row>
    <row r="7374" spans="2:2" ht="15.5" x14ac:dyDescent="0.35">
      <c r="B7374" s="167"/>
    </row>
    <row r="7375" spans="2:2" ht="15.5" x14ac:dyDescent="0.35">
      <c r="B7375" s="167"/>
    </row>
    <row r="7376" spans="2:2" ht="15.5" x14ac:dyDescent="0.35">
      <c r="B7376" s="167"/>
    </row>
    <row r="7377" spans="2:2" ht="15.5" x14ac:dyDescent="0.35">
      <c r="B7377" s="167"/>
    </row>
    <row r="7378" spans="2:2" ht="15.5" x14ac:dyDescent="0.35">
      <c r="B7378" s="167"/>
    </row>
    <row r="7379" spans="2:2" ht="15.5" x14ac:dyDescent="0.35">
      <c r="B7379" s="167"/>
    </row>
    <row r="7380" spans="2:2" ht="15.5" x14ac:dyDescent="0.35">
      <c r="B7380" s="167"/>
    </row>
    <row r="7381" spans="2:2" ht="15.5" x14ac:dyDescent="0.35">
      <c r="B7381" s="167"/>
    </row>
    <row r="7382" spans="2:2" ht="15.5" x14ac:dyDescent="0.35">
      <c r="B7382" s="167"/>
    </row>
    <row r="7383" spans="2:2" ht="15.5" x14ac:dyDescent="0.35">
      <c r="B7383" s="167"/>
    </row>
    <row r="7384" spans="2:2" ht="15.5" x14ac:dyDescent="0.35">
      <c r="B7384" s="167"/>
    </row>
    <row r="7385" spans="2:2" ht="15.5" x14ac:dyDescent="0.35">
      <c r="B7385" s="167"/>
    </row>
    <row r="7386" spans="2:2" ht="15.5" x14ac:dyDescent="0.35">
      <c r="B7386" s="167"/>
    </row>
    <row r="7387" spans="2:2" ht="15.5" x14ac:dyDescent="0.35">
      <c r="B7387" s="167"/>
    </row>
    <row r="7388" spans="2:2" ht="15.5" x14ac:dyDescent="0.35">
      <c r="B7388" s="167"/>
    </row>
    <row r="7389" spans="2:2" ht="15.5" x14ac:dyDescent="0.35">
      <c r="B7389" s="167"/>
    </row>
    <row r="7390" spans="2:2" ht="15.5" x14ac:dyDescent="0.35">
      <c r="B7390" s="167"/>
    </row>
    <row r="7391" spans="2:2" ht="15.5" x14ac:dyDescent="0.35">
      <c r="B7391" s="167"/>
    </row>
    <row r="7392" spans="2:2" ht="15.5" x14ac:dyDescent="0.35">
      <c r="B7392" s="167"/>
    </row>
    <row r="7393" spans="2:2" ht="15.5" x14ac:dyDescent="0.35">
      <c r="B7393" s="167"/>
    </row>
    <row r="7394" spans="2:2" ht="15.5" x14ac:dyDescent="0.35">
      <c r="B7394" s="167"/>
    </row>
    <row r="7395" spans="2:2" ht="15.5" x14ac:dyDescent="0.35">
      <c r="B7395" s="167"/>
    </row>
    <row r="7396" spans="2:2" ht="15.5" x14ac:dyDescent="0.35">
      <c r="B7396" s="167"/>
    </row>
    <row r="7397" spans="2:2" ht="15.5" x14ac:dyDescent="0.35">
      <c r="B7397" s="167"/>
    </row>
    <row r="7398" spans="2:2" ht="15.5" x14ac:dyDescent="0.35">
      <c r="B7398" s="167"/>
    </row>
    <row r="7399" spans="2:2" ht="15.5" x14ac:dyDescent="0.35">
      <c r="B7399" s="167"/>
    </row>
    <row r="7400" spans="2:2" ht="15.5" x14ac:dyDescent="0.35">
      <c r="B7400" s="167"/>
    </row>
    <row r="7401" spans="2:2" ht="15.5" x14ac:dyDescent="0.35">
      <c r="B7401" s="167"/>
    </row>
    <row r="7402" spans="2:2" ht="15.5" x14ac:dyDescent="0.35">
      <c r="B7402" s="167"/>
    </row>
    <row r="7403" spans="2:2" ht="15.5" x14ac:dyDescent="0.35">
      <c r="B7403" s="167"/>
    </row>
    <row r="7404" spans="2:2" ht="15.5" x14ac:dyDescent="0.35">
      <c r="B7404" s="167"/>
    </row>
    <row r="7405" spans="2:2" ht="15.5" x14ac:dyDescent="0.35">
      <c r="B7405" s="167"/>
    </row>
    <row r="7406" spans="2:2" ht="15.5" x14ac:dyDescent="0.35">
      <c r="B7406" s="167"/>
    </row>
    <row r="7407" spans="2:2" ht="15.5" x14ac:dyDescent="0.35">
      <c r="B7407" s="167"/>
    </row>
    <row r="7408" spans="2:2" ht="15.5" x14ac:dyDescent="0.35">
      <c r="B7408" s="167"/>
    </row>
    <row r="7409" spans="2:2" ht="15.5" x14ac:dyDescent="0.35">
      <c r="B7409" s="167"/>
    </row>
    <row r="7410" spans="2:2" ht="15.5" x14ac:dyDescent="0.35">
      <c r="B7410" s="167"/>
    </row>
    <row r="7411" spans="2:2" ht="15.5" x14ac:dyDescent="0.35">
      <c r="B7411" s="167"/>
    </row>
    <row r="7412" spans="2:2" ht="15.5" x14ac:dyDescent="0.35">
      <c r="B7412" s="167"/>
    </row>
    <row r="7413" spans="2:2" ht="15.5" x14ac:dyDescent="0.35">
      <c r="B7413" s="167"/>
    </row>
    <row r="7414" spans="2:2" ht="15.5" x14ac:dyDescent="0.35">
      <c r="B7414" s="167"/>
    </row>
    <row r="7415" spans="2:2" ht="15.5" x14ac:dyDescent="0.35">
      <c r="B7415" s="167"/>
    </row>
    <row r="7416" spans="2:2" ht="15.5" x14ac:dyDescent="0.35">
      <c r="B7416" s="167"/>
    </row>
    <row r="7417" spans="2:2" ht="15.5" x14ac:dyDescent="0.35">
      <c r="B7417" s="167"/>
    </row>
    <row r="7418" spans="2:2" ht="15.5" x14ac:dyDescent="0.35">
      <c r="B7418" s="167"/>
    </row>
    <row r="7419" spans="2:2" ht="15.5" x14ac:dyDescent="0.35">
      <c r="B7419" s="167"/>
    </row>
    <row r="7420" spans="2:2" ht="15.5" x14ac:dyDescent="0.35">
      <c r="B7420" s="167"/>
    </row>
    <row r="7421" spans="2:2" ht="15.5" x14ac:dyDescent="0.35">
      <c r="B7421" s="167"/>
    </row>
    <row r="7422" spans="2:2" ht="15.5" x14ac:dyDescent="0.35">
      <c r="B7422" s="167"/>
    </row>
    <row r="7423" spans="2:2" ht="15.5" x14ac:dyDescent="0.35">
      <c r="B7423" s="167"/>
    </row>
    <row r="7424" spans="2:2" ht="15.5" x14ac:dyDescent="0.35">
      <c r="B7424" s="167"/>
    </row>
    <row r="7425" spans="2:2" ht="15.5" x14ac:dyDescent="0.35">
      <c r="B7425" s="167"/>
    </row>
    <row r="7426" spans="2:2" ht="15.5" x14ac:dyDescent="0.35">
      <c r="B7426" s="167"/>
    </row>
    <row r="7427" spans="2:2" ht="15.5" x14ac:dyDescent="0.35">
      <c r="B7427" s="167"/>
    </row>
    <row r="7428" spans="2:2" ht="15.5" x14ac:dyDescent="0.35">
      <c r="B7428" s="167"/>
    </row>
    <row r="7429" spans="2:2" ht="15.5" x14ac:dyDescent="0.35">
      <c r="B7429" s="167"/>
    </row>
    <row r="7430" spans="2:2" ht="15.5" x14ac:dyDescent="0.35">
      <c r="B7430" s="167"/>
    </row>
    <row r="7431" spans="2:2" ht="15.5" x14ac:dyDescent="0.35">
      <c r="B7431" s="167"/>
    </row>
    <row r="7432" spans="2:2" ht="15.5" x14ac:dyDescent="0.35">
      <c r="B7432" s="167"/>
    </row>
    <row r="7433" spans="2:2" ht="15.5" x14ac:dyDescent="0.35">
      <c r="B7433" s="167"/>
    </row>
    <row r="7434" spans="2:2" ht="15.5" x14ac:dyDescent="0.35">
      <c r="B7434" s="167"/>
    </row>
    <row r="7435" spans="2:2" ht="15.5" x14ac:dyDescent="0.35">
      <c r="B7435" s="167"/>
    </row>
    <row r="7436" spans="2:2" ht="15.5" x14ac:dyDescent="0.35">
      <c r="B7436" s="167"/>
    </row>
    <row r="7437" spans="2:2" ht="15.5" x14ac:dyDescent="0.35">
      <c r="B7437" s="167"/>
    </row>
    <row r="7438" spans="2:2" ht="15.5" x14ac:dyDescent="0.35">
      <c r="B7438" s="167"/>
    </row>
    <row r="7439" spans="2:2" ht="15.5" x14ac:dyDescent="0.35">
      <c r="B7439" s="167"/>
    </row>
    <row r="7440" spans="2:2" ht="15.5" x14ac:dyDescent="0.35">
      <c r="B7440" s="167"/>
    </row>
    <row r="7441" spans="2:2" ht="15.5" x14ac:dyDescent="0.35">
      <c r="B7441" s="167"/>
    </row>
    <row r="7442" spans="2:2" ht="15.5" x14ac:dyDescent="0.35">
      <c r="B7442" s="167"/>
    </row>
    <row r="7443" spans="2:2" ht="15.5" x14ac:dyDescent="0.35">
      <c r="B7443" s="167"/>
    </row>
    <row r="7444" spans="2:2" ht="15.5" x14ac:dyDescent="0.35">
      <c r="B7444" s="167"/>
    </row>
    <row r="7445" spans="2:2" ht="15.5" x14ac:dyDescent="0.35">
      <c r="B7445" s="167"/>
    </row>
    <row r="7446" spans="2:2" ht="15.5" x14ac:dyDescent="0.35">
      <c r="B7446" s="167"/>
    </row>
    <row r="7447" spans="2:2" ht="15.5" x14ac:dyDescent="0.35">
      <c r="B7447" s="167"/>
    </row>
    <row r="7448" spans="2:2" ht="15.5" x14ac:dyDescent="0.35">
      <c r="B7448" s="167"/>
    </row>
    <row r="7449" spans="2:2" ht="15.5" x14ac:dyDescent="0.35">
      <c r="B7449" s="167"/>
    </row>
    <row r="7450" spans="2:2" ht="15.5" x14ac:dyDescent="0.35">
      <c r="B7450" s="167"/>
    </row>
    <row r="7451" spans="2:2" ht="15.5" x14ac:dyDescent="0.35">
      <c r="B7451" s="167"/>
    </row>
    <row r="7452" spans="2:2" ht="15.5" x14ac:dyDescent="0.35">
      <c r="B7452" s="167"/>
    </row>
    <row r="7453" spans="2:2" ht="15.5" x14ac:dyDescent="0.35">
      <c r="B7453" s="167"/>
    </row>
    <row r="7454" spans="2:2" ht="15.5" x14ac:dyDescent="0.35">
      <c r="B7454" s="167"/>
    </row>
    <row r="7455" spans="2:2" ht="15.5" x14ac:dyDescent="0.35">
      <c r="B7455" s="167"/>
    </row>
    <row r="7456" spans="2:2" ht="15.5" x14ac:dyDescent="0.35">
      <c r="B7456" s="167"/>
    </row>
    <row r="7457" spans="2:2" ht="15.5" x14ac:dyDescent="0.35">
      <c r="B7457" s="167"/>
    </row>
    <row r="7458" spans="2:2" ht="15.5" x14ac:dyDescent="0.35">
      <c r="B7458" s="167"/>
    </row>
    <row r="7459" spans="2:2" ht="15.5" x14ac:dyDescent="0.35">
      <c r="B7459" s="167"/>
    </row>
    <row r="7460" spans="2:2" ht="15.5" x14ac:dyDescent="0.35">
      <c r="B7460" s="167"/>
    </row>
    <row r="7461" spans="2:2" ht="15.5" x14ac:dyDescent="0.35">
      <c r="B7461" s="167"/>
    </row>
    <row r="7462" spans="2:2" ht="15.5" x14ac:dyDescent="0.35">
      <c r="B7462" s="167"/>
    </row>
    <row r="7463" spans="2:2" ht="15.5" x14ac:dyDescent="0.35">
      <c r="B7463" s="167"/>
    </row>
    <row r="7464" spans="2:2" ht="15.5" x14ac:dyDescent="0.35">
      <c r="B7464" s="167"/>
    </row>
    <row r="7465" spans="2:2" ht="15.5" x14ac:dyDescent="0.35">
      <c r="B7465" s="167"/>
    </row>
    <row r="7466" spans="2:2" ht="15.5" x14ac:dyDescent="0.35">
      <c r="B7466" s="167"/>
    </row>
    <row r="7467" spans="2:2" ht="15.5" x14ac:dyDescent="0.35">
      <c r="B7467" s="167"/>
    </row>
    <row r="7468" spans="2:2" ht="15.5" x14ac:dyDescent="0.35">
      <c r="B7468" s="167"/>
    </row>
    <row r="7469" spans="2:2" ht="15.5" x14ac:dyDescent="0.35">
      <c r="B7469" s="167"/>
    </row>
    <row r="7470" spans="2:2" ht="15.5" x14ac:dyDescent="0.35">
      <c r="B7470" s="167"/>
    </row>
    <row r="7471" spans="2:2" ht="15.5" x14ac:dyDescent="0.35">
      <c r="B7471" s="167"/>
    </row>
    <row r="7472" spans="2:2" ht="15.5" x14ac:dyDescent="0.35">
      <c r="B7472" s="167"/>
    </row>
    <row r="7473" spans="2:2" ht="15.5" x14ac:dyDescent="0.35">
      <c r="B7473" s="167"/>
    </row>
    <row r="7474" spans="2:2" ht="15.5" x14ac:dyDescent="0.35">
      <c r="B7474" s="167"/>
    </row>
    <row r="7475" spans="2:2" ht="15.5" x14ac:dyDescent="0.35">
      <c r="B7475" s="167"/>
    </row>
    <row r="7476" spans="2:2" ht="15.5" x14ac:dyDescent="0.35">
      <c r="B7476" s="167"/>
    </row>
    <row r="7477" spans="2:2" ht="15.5" x14ac:dyDescent="0.35">
      <c r="B7477" s="167"/>
    </row>
    <row r="7478" spans="2:2" ht="15.5" x14ac:dyDescent="0.35">
      <c r="B7478" s="167"/>
    </row>
    <row r="7479" spans="2:2" ht="15.5" x14ac:dyDescent="0.35">
      <c r="B7479" s="167"/>
    </row>
    <row r="7480" spans="2:2" ht="15.5" x14ac:dyDescent="0.35">
      <c r="B7480" s="167"/>
    </row>
    <row r="7481" spans="2:2" ht="15.5" x14ac:dyDescent="0.35">
      <c r="B7481" s="167"/>
    </row>
    <row r="7482" spans="2:2" ht="15.5" x14ac:dyDescent="0.35">
      <c r="B7482" s="167"/>
    </row>
    <row r="7483" spans="2:2" ht="15.5" x14ac:dyDescent="0.35">
      <c r="B7483" s="167"/>
    </row>
    <row r="7484" spans="2:2" ht="15.5" x14ac:dyDescent="0.35">
      <c r="B7484" s="167"/>
    </row>
    <row r="7485" spans="2:2" ht="15.5" x14ac:dyDescent="0.35">
      <c r="B7485" s="167"/>
    </row>
    <row r="7486" spans="2:2" ht="15.5" x14ac:dyDescent="0.35">
      <c r="B7486" s="167"/>
    </row>
    <row r="7487" spans="2:2" ht="15.5" x14ac:dyDescent="0.35">
      <c r="B7487" s="167"/>
    </row>
    <row r="7488" spans="2:2" ht="15.5" x14ac:dyDescent="0.35">
      <c r="B7488" s="167"/>
    </row>
    <row r="7489" spans="2:2" ht="15.5" x14ac:dyDescent="0.35">
      <c r="B7489" s="167"/>
    </row>
    <row r="7490" spans="2:2" ht="15.5" x14ac:dyDescent="0.35">
      <c r="B7490" s="167"/>
    </row>
    <row r="7491" spans="2:2" ht="15.5" x14ac:dyDescent="0.35">
      <c r="B7491" s="167"/>
    </row>
    <row r="7492" spans="2:2" ht="15.5" x14ac:dyDescent="0.35">
      <c r="B7492" s="167"/>
    </row>
    <row r="7493" spans="2:2" ht="15.5" x14ac:dyDescent="0.35">
      <c r="B7493" s="167"/>
    </row>
    <row r="7494" spans="2:2" ht="15.5" x14ac:dyDescent="0.35">
      <c r="B7494" s="167"/>
    </row>
    <row r="7495" spans="2:2" ht="15.5" x14ac:dyDescent="0.35">
      <c r="B7495" s="167"/>
    </row>
    <row r="7496" spans="2:2" ht="15.5" x14ac:dyDescent="0.35">
      <c r="B7496" s="167"/>
    </row>
    <row r="7497" spans="2:2" ht="15.5" x14ac:dyDescent="0.35">
      <c r="B7497" s="167"/>
    </row>
    <row r="7498" spans="2:2" ht="15.5" x14ac:dyDescent="0.35">
      <c r="B7498" s="167"/>
    </row>
    <row r="7499" spans="2:2" ht="15.5" x14ac:dyDescent="0.35">
      <c r="B7499" s="167"/>
    </row>
    <row r="7500" spans="2:2" ht="15.5" x14ac:dyDescent="0.35">
      <c r="B7500" s="167"/>
    </row>
    <row r="7501" spans="2:2" ht="15.5" x14ac:dyDescent="0.35">
      <c r="B7501" s="167"/>
    </row>
    <row r="7502" spans="2:2" ht="15.5" x14ac:dyDescent="0.35">
      <c r="B7502" s="167"/>
    </row>
    <row r="7503" spans="2:2" ht="15.5" x14ac:dyDescent="0.35">
      <c r="B7503" s="167"/>
    </row>
    <row r="7504" spans="2:2" ht="15.5" x14ac:dyDescent="0.35">
      <c r="B7504" s="167"/>
    </row>
    <row r="7505" spans="2:2" ht="15.5" x14ac:dyDescent="0.35">
      <c r="B7505" s="167"/>
    </row>
    <row r="7506" spans="2:2" ht="15.5" x14ac:dyDescent="0.35">
      <c r="B7506" s="167"/>
    </row>
    <row r="7507" spans="2:2" ht="15.5" x14ac:dyDescent="0.35">
      <c r="B7507" s="167"/>
    </row>
    <row r="7508" spans="2:2" ht="15.5" x14ac:dyDescent="0.35">
      <c r="B7508" s="167"/>
    </row>
    <row r="7509" spans="2:2" ht="15.5" x14ac:dyDescent="0.35">
      <c r="B7509" s="167"/>
    </row>
    <row r="7510" spans="2:2" ht="15.5" x14ac:dyDescent="0.35">
      <c r="B7510" s="167"/>
    </row>
    <row r="7511" spans="2:2" ht="15.5" x14ac:dyDescent="0.35">
      <c r="B7511" s="167"/>
    </row>
    <row r="7512" spans="2:2" ht="15.5" x14ac:dyDescent="0.35">
      <c r="B7512" s="167"/>
    </row>
    <row r="7513" spans="2:2" ht="15.5" x14ac:dyDescent="0.35">
      <c r="B7513" s="167"/>
    </row>
    <row r="7514" spans="2:2" ht="15.5" x14ac:dyDescent="0.35">
      <c r="B7514" s="167"/>
    </row>
    <row r="7515" spans="2:2" ht="15.5" x14ac:dyDescent="0.35">
      <c r="B7515" s="167"/>
    </row>
    <row r="7516" spans="2:2" ht="15.5" x14ac:dyDescent="0.35">
      <c r="B7516" s="167"/>
    </row>
    <row r="7517" spans="2:2" ht="15.5" x14ac:dyDescent="0.35">
      <c r="B7517" s="167"/>
    </row>
    <row r="7518" spans="2:2" ht="15.5" x14ac:dyDescent="0.35">
      <c r="B7518" s="167"/>
    </row>
    <row r="7519" spans="2:2" ht="15.5" x14ac:dyDescent="0.35">
      <c r="B7519" s="167"/>
    </row>
    <row r="7520" spans="2:2" ht="15.5" x14ac:dyDescent="0.35">
      <c r="B7520" s="167"/>
    </row>
    <row r="7521" spans="2:2" ht="15.5" x14ac:dyDescent="0.35">
      <c r="B7521" s="167"/>
    </row>
    <row r="7522" spans="2:2" ht="15.5" x14ac:dyDescent="0.35">
      <c r="B7522" s="167"/>
    </row>
    <row r="7523" spans="2:2" ht="15.5" x14ac:dyDescent="0.35">
      <c r="B7523" s="167"/>
    </row>
    <row r="7524" spans="2:2" ht="15.5" x14ac:dyDescent="0.35">
      <c r="B7524" s="167"/>
    </row>
    <row r="7525" spans="2:2" ht="15.5" x14ac:dyDescent="0.35">
      <c r="B7525" s="167"/>
    </row>
    <row r="7526" spans="2:2" ht="15.5" x14ac:dyDescent="0.35">
      <c r="B7526" s="167"/>
    </row>
    <row r="7527" spans="2:2" ht="15.5" x14ac:dyDescent="0.35">
      <c r="B7527" s="167"/>
    </row>
    <row r="7528" spans="2:2" ht="15.5" x14ac:dyDescent="0.35">
      <c r="B7528" s="167"/>
    </row>
    <row r="7529" spans="2:2" ht="15.5" x14ac:dyDescent="0.35">
      <c r="B7529" s="167"/>
    </row>
    <row r="7530" spans="2:2" ht="15.5" x14ac:dyDescent="0.35">
      <c r="B7530" s="167"/>
    </row>
    <row r="7531" spans="2:2" ht="15.5" x14ac:dyDescent="0.35">
      <c r="B7531" s="167"/>
    </row>
    <row r="7532" spans="2:2" ht="15.5" x14ac:dyDescent="0.35">
      <c r="B7532" s="167"/>
    </row>
    <row r="7533" spans="2:2" ht="15.5" x14ac:dyDescent="0.35">
      <c r="B7533" s="167"/>
    </row>
    <row r="7534" spans="2:2" ht="15.5" x14ac:dyDescent="0.35">
      <c r="B7534" s="167"/>
    </row>
    <row r="7535" spans="2:2" ht="15.5" x14ac:dyDescent="0.35">
      <c r="B7535" s="167"/>
    </row>
    <row r="7536" spans="2:2" ht="15.5" x14ac:dyDescent="0.35">
      <c r="B7536" s="167"/>
    </row>
    <row r="7537" spans="2:2" ht="15.5" x14ac:dyDescent="0.35">
      <c r="B7537" s="167"/>
    </row>
    <row r="7538" spans="2:2" ht="15.5" x14ac:dyDescent="0.35">
      <c r="B7538" s="167"/>
    </row>
    <row r="7539" spans="2:2" ht="15.5" x14ac:dyDescent="0.35">
      <c r="B7539" s="167"/>
    </row>
    <row r="7540" spans="2:2" ht="15.5" x14ac:dyDescent="0.35">
      <c r="B7540" s="167"/>
    </row>
    <row r="7541" spans="2:2" ht="15.5" x14ac:dyDescent="0.35">
      <c r="B7541" s="167"/>
    </row>
    <row r="7542" spans="2:2" ht="15.5" x14ac:dyDescent="0.35">
      <c r="B7542" s="167"/>
    </row>
    <row r="7543" spans="2:2" ht="15.5" x14ac:dyDescent="0.35">
      <c r="B7543" s="167"/>
    </row>
    <row r="7544" spans="2:2" ht="15.5" x14ac:dyDescent="0.35">
      <c r="B7544" s="167"/>
    </row>
    <row r="7545" spans="2:2" ht="15.5" x14ac:dyDescent="0.35">
      <c r="B7545" s="167"/>
    </row>
    <row r="7546" spans="2:2" ht="15.5" x14ac:dyDescent="0.35">
      <c r="B7546" s="167"/>
    </row>
    <row r="7547" spans="2:2" ht="15.5" x14ac:dyDescent="0.35">
      <c r="B7547" s="167"/>
    </row>
    <row r="7548" spans="2:2" ht="15.5" x14ac:dyDescent="0.35">
      <c r="B7548" s="167"/>
    </row>
    <row r="7549" spans="2:2" ht="15.5" x14ac:dyDescent="0.35">
      <c r="B7549" s="167"/>
    </row>
    <row r="7550" spans="2:2" ht="15.5" x14ac:dyDescent="0.35">
      <c r="B7550" s="167"/>
    </row>
    <row r="7551" spans="2:2" ht="15.5" x14ac:dyDescent="0.35">
      <c r="B7551" s="167"/>
    </row>
    <row r="7552" spans="2:2" ht="15.5" x14ac:dyDescent="0.35">
      <c r="B7552" s="167"/>
    </row>
    <row r="7553" spans="2:2" ht="15.5" x14ac:dyDescent="0.35">
      <c r="B7553" s="167"/>
    </row>
    <row r="7554" spans="2:2" ht="15.5" x14ac:dyDescent="0.35">
      <c r="B7554" s="167"/>
    </row>
    <row r="7555" spans="2:2" ht="15.5" x14ac:dyDescent="0.35">
      <c r="B7555" s="167"/>
    </row>
    <row r="7556" spans="2:2" ht="15.5" x14ac:dyDescent="0.35">
      <c r="B7556" s="167"/>
    </row>
    <row r="7557" spans="2:2" ht="15.5" x14ac:dyDescent="0.35">
      <c r="B7557" s="167"/>
    </row>
    <row r="7558" spans="2:2" ht="15.5" x14ac:dyDescent="0.35">
      <c r="B7558" s="167"/>
    </row>
    <row r="7559" spans="2:2" ht="15.5" x14ac:dyDescent="0.35">
      <c r="B7559" s="167"/>
    </row>
    <row r="7560" spans="2:2" ht="15.5" x14ac:dyDescent="0.35">
      <c r="B7560" s="167"/>
    </row>
    <row r="7561" spans="2:2" ht="15.5" x14ac:dyDescent="0.35">
      <c r="B7561" s="167"/>
    </row>
    <row r="7562" spans="2:2" ht="15.5" x14ac:dyDescent="0.35">
      <c r="B7562" s="167"/>
    </row>
    <row r="7563" spans="2:2" ht="15.5" x14ac:dyDescent="0.35">
      <c r="B7563" s="167"/>
    </row>
    <row r="7564" spans="2:2" ht="15.5" x14ac:dyDescent="0.35">
      <c r="B7564" s="167"/>
    </row>
    <row r="7565" spans="2:2" ht="15.5" x14ac:dyDescent="0.35">
      <c r="B7565" s="167"/>
    </row>
    <row r="7566" spans="2:2" ht="15.5" x14ac:dyDescent="0.35">
      <c r="B7566" s="167"/>
    </row>
    <row r="7567" spans="2:2" ht="15.5" x14ac:dyDescent="0.35">
      <c r="B7567" s="167"/>
    </row>
    <row r="7568" spans="2:2" ht="15.5" x14ac:dyDescent="0.35">
      <c r="B7568" s="167"/>
    </row>
    <row r="7569" spans="2:2" ht="15.5" x14ac:dyDescent="0.35">
      <c r="B7569" s="167"/>
    </row>
    <row r="7570" spans="2:2" ht="15.5" x14ac:dyDescent="0.35">
      <c r="B7570" s="167"/>
    </row>
    <row r="7571" spans="2:2" ht="15.5" x14ac:dyDescent="0.35">
      <c r="B7571" s="167"/>
    </row>
    <row r="7572" spans="2:2" ht="15.5" x14ac:dyDescent="0.35">
      <c r="B7572" s="167"/>
    </row>
    <row r="7573" spans="2:2" ht="15.5" x14ac:dyDescent="0.35">
      <c r="B7573" s="167"/>
    </row>
    <row r="7574" spans="2:2" ht="15.5" x14ac:dyDescent="0.35">
      <c r="B7574" s="167"/>
    </row>
    <row r="7575" spans="2:2" ht="15.5" x14ac:dyDescent="0.35">
      <c r="B7575" s="167"/>
    </row>
    <row r="7576" spans="2:2" ht="15.5" x14ac:dyDescent="0.35">
      <c r="B7576" s="167"/>
    </row>
    <row r="7577" spans="2:2" ht="15.5" x14ac:dyDescent="0.35">
      <c r="B7577" s="167"/>
    </row>
    <row r="7578" spans="2:2" ht="15.5" x14ac:dyDescent="0.35">
      <c r="B7578" s="167"/>
    </row>
    <row r="7579" spans="2:2" ht="15.5" x14ac:dyDescent="0.35">
      <c r="B7579" s="167"/>
    </row>
    <row r="7580" spans="2:2" ht="15.5" x14ac:dyDescent="0.35">
      <c r="B7580" s="167"/>
    </row>
    <row r="7581" spans="2:2" ht="15.5" x14ac:dyDescent="0.35">
      <c r="B7581" s="167"/>
    </row>
    <row r="7582" spans="2:2" ht="15.5" x14ac:dyDescent="0.35">
      <c r="B7582" s="167"/>
    </row>
    <row r="7583" spans="2:2" ht="15.5" x14ac:dyDescent="0.35">
      <c r="B7583" s="167"/>
    </row>
    <row r="7584" spans="2:2" ht="15.5" x14ac:dyDescent="0.35">
      <c r="B7584" s="167"/>
    </row>
    <row r="7585" spans="2:2" ht="15.5" x14ac:dyDescent="0.35">
      <c r="B7585" s="167"/>
    </row>
    <row r="7586" spans="2:2" ht="15.5" x14ac:dyDescent="0.35">
      <c r="B7586" s="167"/>
    </row>
    <row r="7587" spans="2:2" ht="15.5" x14ac:dyDescent="0.35">
      <c r="B7587" s="167"/>
    </row>
    <row r="7588" spans="2:2" ht="15.5" x14ac:dyDescent="0.35">
      <c r="B7588" s="167"/>
    </row>
    <row r="7589" spans="2:2" ht="15.5" x14ac:dyDescent="0.35">
      <c r="B7589" s="167"/>
    </row>
    <row r="7590" spans="2:2" ht="15.5" x14ac:dyDescent="0.35">
      <c r="B7590" s="167"/>
    </row>
    <row r="7591" spans="2:2" ht="15.5" x14ac:dyDescent="0.35">
      <c r="B7591" s="167"/>
    </row>
    <row r="7592" spans="2:2" ht="15.5" x14ac:dyDescent="0.35">
      <c r="B7592" s="167"/>
    </row>
    <row r="7593" spans="2:2" ht="15.5" x14ac:dyDescent="0.35">
      <c r="B7593" s="167"/>
    </row>
    <row r="7594" spans="2:2" ht="15.5" x14ac:dyDescent="0.35">
      <c r="B7594" s="167"/>
    </row>
    <row r="7595" spans="2:2" ht="15.5" x14ac:dyDescent="0.35">
      <c r="B7595" s="167"/>
    </row>
    <row r="7596" spans="2:2" ht="15.5" x14ac:dyDescent="0.35">
      <c r="B7596" s="167"/>
    </row>
    <row r="7597" spans="2:2" ht="15.5" x14ac:dyDescent="0.35">
      <c r="B7597" s="167"/>
    </row>
    <row r="7598" spans="2:2" ht="15.5" x14ac:dyDescent="0.35">
      <c r="B7598" s="167"/>
    </row>
    <row r="7599" spans="2:2" ht="15.5" x14ac:dyDescent="0.35">
      <c r="B7599" s="167"/>
    </row>
    <row r="7600" spans="2:2" ht="15.5" x14ac:dyDescent="0.35">
      <c r="B7600" s="167"/>
    </row>
    <row r="7601" spans="2:2" ht="15.5" x14ac:dyDescent="0.35">
      <c r="B7601" s="167"/>
    </row>
    <row r="7602" spans="2:2" ht="15.5" x14ac:dyDescent="0.35">
      <c r="B7602" s="167"/>
    </row>
    <row r="7603" spans="2:2" ht="15.5" x14ac:dyDescent="0.35">
      <c r="B7603" s="167"/>
    </row>
    <row r="7604" spans="2:2" ht="15.5" x14ac:dyDescent="0.35">
      <c r="B7604" s="167"/>
    </row>
    <row r="7605" spans="2:2" ht="15.5" x14ac:dyDescent="0.35">
      <c r="B7605" s="167"/>
    </row>
    <row r="7606" spans="2:2" ht="15.5" x14ac:dyDescent="0.35">
      <c r="B7606" s="167"/>
    </row>
    <row r="7607" spans="2:2" ht="15.5" x14ac:dyDescent="0.35">
      <c r="B7607" s="167"/>
    </row>
    <row r="7608" spans="2:2" ht="15.5" x14ac:dyDescent="0.35">
      <c r="B7608" s="167"/>
    </row>
    <row r="7609" spans="2:2" ht="15.5" x14ac:dyDescent="0.35">
      <c r="B7609" s="167"/>
    </row>
    <row r="7610" spans="2:2" ht="15.5" x14ac:dyDescent="0.35">
      <c r="B7610" s="167"/>
    </row>
    <row r="7611" spans="2:2" ht="15.5" x14ac:dyDescent="0.35">
      <c r="B7611" s="167"/>
    </row>
    <row r="7612" spans="2:2" ht="15.5" x14ac:dyDescent="0.35">
      <c r="B7612" s="167"/>
    </row>
    <row r="7613" spans="2:2" ht="15.5" x14ac:dyDescent="0.35">
      <c r="B7613" s="167"/>
    </row>
    <row r="7614" spans="2:2" ht="15.5" x14ac:dyDescent="0.35">
      <c r="B7614" s="167"/>
    </row>
    <row r="7615" spans="2:2" ht="15.5" x14ac:dyDescent="0.35">
      <c r="B7615" s="167"/>
    </row>
    <row r="7616" spans="2:2" ht="15.5" x14ac:dyDescent="0.35">
      <c r="B7616" s="167"/>
    </row>
    <row r="7617" spans="2:2" ht="15.5" x14ac:dyDescent="0.35">
      <c r="B7617" s="167"/>
    </row>
    <row r="7618" spans="2:2" ht="15.5" x14ac:dyDescent="0.35">
      <c r="B7618" s="167"/>
    </row>
    <row r="7619" spans="2:2" ht="15.5" x14ac:dyDescent="0.35">
      <c r="B7619" s="167"/>
    </row>
    <row r="7620" spans="2:2" ht="15.5" x14ac:dyDescent="0.35">
      <c r="B7620" s="167"/>
    </row>
    <row r="7621" spans="2:2" ht="15.5" x14ac:dyDescent="0.35">
      <c r="B7621" s="167"/>
    </row>
    <row r="7622" spans="2:2" ht="15.5" x14ac:dyDescent="0.35">
      <c r="B7622" s="167"/>
    </row>
    <row r="7623" spans="2:2" ht="15.5" x14ac:dyDescent="0.35">
      <c r="B7623" s="167"/>
    </row>
    <row r="7624" spans="2:2" ht="15.5" x14ac:dyDescent="0.35">
      <c r="B7624" s="167"/>
    </row>
    <row r="7625" spans="2:2" ht="15.5" x14ac:dyDescent="0.35">
      <c r="B7625" s="167"/>
    </row>
    <row r="7626" spans="2:2" ht="15.5" x14ac:dyDescent="0.35">
      <c r="B7626" s="167"/>
    </row>
    <row r="7627" spans="2:2" ht="15.5" x14ac:dyDescent="0.35">
      <c r="B7627" s="167"/>
    </row>
    <row r="7628" spans="2:2" ht="15.5" x14ac:dyDescent="0.35">
      <c r="B7628" s="167"/>
    </row>
    <row r="7629" spans="2:2" ht="15.5" x14ac:dyDescent="0.35">
      <c r="B7629" s="167"/>
    </row>
    <row r="7630" spans="2:2" ht="15.5" x14ac:dyDescent="0.35">
      <c r="B7630" s="167"/>
    </row>
    <row r="7631" spans="2:2" ht="15.5" x14ac:dyDescent="0.35">
      <c r="B7631" s="167"/>
    </row>
    <row r="7632" spans="2:2" ht="15.5" x14ac:dyDescent="0.35">
      <c r="B7632" s="167"/>
    </row>
    <row r="7633" spans="2:2" ht="15.5" x14ac:dyDescent="0.35">
      <c r="B7633" s="167"/>
    </row>
    <row r="7634" spans="2:2" ht="15.5" x14ac:dyDescent="0.35">
      <c r="B7634" s="167"/>
    </row>
    <row r="7635" spans="2:2" ht="15.5" x14ac:dyDescent="0.35">
      <c r="B7635" s="167"/>
    </row>
    <row r="7636" spans="2:2" ht="15.5" x14ac:dyDescent="0.35">
      <c r="B7636" s="167"/>
    </row>
    <row r="7637" spans="2:2" ht="15.5" x14ac:dyDescent="0.35">
      <c r="B7637" s="167"/>
    </row>
    <row r="7638" spans="2:2" ht="15.5" x14ac:dyDescent="0.35">
      <c r="B7638" s="167"/>
    </row>
    <row r="7639" spans="2:2" ht="15.5" x14ac:dyDescent="0.35">
      <c r="B7639" s="167"/>
    </row>
    <row r="7640" spans="2:2" ht="15.5" x14ac:dyDescent="0.35">
      <c r="B7640" s="167"/>
    </row>
    <row r="7641" spans="2:2" ht="15.5" x14ac:dyDescent="0.35">
      <c r="B7641" s="167"/>
    </row>
    <row r="7642" spans="2:2" ht="15.5" x14ac:dyDescent="0.35">
      <c r="B7642" s="167"/>
    </row>
    <row r="7643" spans="2:2" ht="15.5" x14ac:dyDescent="0.35">
      <c r="B7643" s="167"/>
    </row>
    <row r="7644" spans="2:2" ht="15.5" x14ac:dyDescent="0.35">
      <c r="B7644" s="167"/>
    </row>
    <row r="7645" spans="2:2" ht="15.5" x14ac:dyDescent="0.35">
      <c r="B7645" s="167"/>
    </row>
    <row r="7646" spans="2:2" ht="15.5" x14ac:dyDescent="0.35">
      <c r="B7646" s="167"/>
    </row>
    <row r="7647" spans="2:2" ht="15.5" x14ac:dyDescent="0.35">
      <c r="B7647" s="167"/>
    </row>
    <row r="7648" spans="2:2" ht="15.5" x14ac:dyDescent="0.35">
      <c r="B7648" s="167"/>
    </row>
    <row r="7649" spans="2:2" ht="15.5" x14ac:dyDescent="0.35">
      <c r="B7649" s="167"/>
    </row>
    <row r="7650" spans="2:2" ht="15.5" x14ac:dyDescent="0.35">
      <c r="B7650" s="167"/>
    </row>
    <row r="7651" spans="2:2" ht="15.5" x14ac:dyDescent="0.35">
      <c r="B7651" s="167"/>
    </row>
    <row r="7652" spans="2:2" ht="15.5" x14ac:dyDescent="0.35">
      <c r="B7652" s="167"/>
    </row>
    <row r="7653" spans="2:2" ht="15.5" x14ac:dyDescent="0.35">
      <c r="B7653" s="167"/>
    </row>
    <row r="7654" spans="2:2" ht="15.5" x14ac:dyDescent="0.35">
      <c r="B7654" s="167"/>
    </row>
    <row r="7655" spans="2:2" ht="15.5" x14ac:dyDescent="0.35">
      <c r="B7655" s="167"/>
    </row>
    <row r="7656" spans="2:2" ht="15.5" x14ac:dyDescent="0.35">
      <c r="B7656" s="167"/>
    </row>
    <row r="7657" spans="2:2" ht="15.5" x14ac:dyDescent="0.35">
      <c r="B7657" s="167"/>
    </row>
    <row r="7658" spans="2:2" ht="15.5" x14ac:dyDescent="0.35">
      <c r="B7658" s="167"/>
    </row>
    <row r="7659" spans="2:2" ht="15.5" x14ac:dyDescent="0.35">
      <c r="B7659" s="167"/>
    </row>
    <row r="7660" spans="2:2" ht="15.5" x14ac:dyDescent="0.35">
      <c r="B7660" s="167"/>
    </row>
    <row r="7661" spans="2:2" ht="15.5" x14ac:dyDescent="0.35">
      <c r="B7661" s="167"/>
    </row>
    <row r="7662" spans="2:2" ht="15.5" x14ac:dyDescent="0.35">
      <c r="B7662" s="167"/>
    </row>
    <row r="7663" spans="2:2" ht="15.5" x14ac:dyDescent="0.35">
      <c r="B7663" s="167"/>
    </row>
    <row r="7664" spans="2:2" ht="15.5" x14ac:dyDescent="0.35">
      <c r="B7664" s="167"/>
    </row>
    <row r="7665" spans="2:2" ht="15.5" x14ac:dyDescent="0.35">
      <c r="B7665" s="167"/>
    </row>
    <row r="7666" spans="2:2" ht="15.5" x14ac:dyDescent="0.35">
      <c r="B7666" s="167"/>
    </row>
    <row r="7667" spans="2:2" ht="15.5" x14ac:dyDescent="0.35">
      <c r="B7667" s="167"/>
    </row>
    <row r="7668" spans="2:2" ht="15.5" x14ac:dyDescent="0.35">
      <c r="B7668" s="167"/>
    </row>
    <row r="7669" spans="2:2" ht="15.5" x14ac:dyDescent="0.35">
      <c r="B7669" s="167"/>
    </row>
    <row r="7670" spans="2:2" ht="15.5" x14ac:dyDescent="0.35">
      <c r="B7670" s="167"/>
    </row>
    <row r="7671" spans="2:2" ht="15.5" x14ac:dyDescent="0.35">
      <c r="B7671" s="167"/>
    </row>
    <row r="7672" spans="2:2" ht="15.5" x14ac:dyDescent="0.35">
      <c r="B7672" s="167"/>
    </row>
    <row r="7673" spans="2:2" ht="15.5" x14ac:dyDescent="0.35">
      <c r="B7673" s="167"/>
    </row>
    <row r="7674" spans="2:2" ht="15.5" x14ac:dyDescent="0.35">
      <c r="B7674" s="167"/>
    </row>
    <row r="7675" spans="2:2" ht="15.5" x14ac:dyDescent="0.35">
      <c r="B7675" s="167"/>
    </row>
    <row r="7676" spans="2:2" ht="15.5" x14ac:dyDescent="0.35">
      <c r="B7676" s="167"/>
    </row>
    <row r="7677" spans="2:2" ht="15.5" x14ac:dyDescent="0.35">
      <c r="B7677" s="167"/>
    </row>
    <row r="7678" spans="2:2" ht="15.5" x14ac:dyDescent="0.35">
      <c r="B7678" s="167"/>
    </row>
    <row r="7679" spans="2:2" ht="15.5" x14ac:dyDescent="0.35">
      <c r="B7679" s="167"/>
    </row>
    <row r="7680" spans="2:2" ht="15.5" x14ac:dyDescent="0.35">
      <c r="B7680" s="167"/>
    </row>
    <row r="7681" spans="2:2" ht="15.5" x14ac:dyDescent="0.35">
      <c r="B7681" s="167"/>
    </row>
    <row r="7682" spans="2:2" ht="15.5" x14ac:dyDescent="0.35">
      <c r="B7682" s="167"/>
    </row>
    <row r="7683" spans="2:2" ht="15.5" x14ac:dyDescent="0.35">
      <c r="B7683" s="167"/>
    </row>
    <row r="7684" spans="2:2" ht="15.5" x14ac:dyDescent="0.35">
      <c r="B7684" s="167"/>
    </row>
    <row r="7685" spans="2:2" ht="15.5" x14ac:dyDescent="0.35">
      <c r="B7685" s="167"/>
    </row>
    <row r="7686" spans="2:2" ht="15.5" x14ac:dyDescent="0.35">
      <c r="B7686" s="167"/>
    </row>
    <row r="7687" spans="2:2" ht="15.5" x14ac:dyDescent="0.35">
      <c r="B7687" s="167"/>
    </row>
    <row r="7688" spans="2:2" ht="15.5" x14ac:dyDescent="0.35">
      <c r="B7688" s="167"/>
    </row>
    <row r="7689" spans="2:2" ht="15.5" x14ac:dyDescent="0.35">
      <c r="B7689" s="167"/>
    </row>
    <row r="7690" spans="2:2" ht="15.5" x14ac:dyDescent="0.35">
      <c r="B7690" s="167"/>
    </row>
    <row r="7691" spans="2:2" ht="15.5" x14ac:dyDescent="0.35">
      <c r="B7691" s="167"/>
    </row>
    <row r="7692" spans="2:2" ht="15.5" x14ac:dyDescent="0.35">
      <c r="B7692" s="167"/>
    </row>
    <row r="7693" spans="2:2" ht="15.5" x14ac:dyDescent="0.35">
      <c r="B7693" s="167"/>
    </row>
    <row r="7694" spans="2:2" ht="15.5" x14ac:dyDescent="0.35">
      <c r="B7694" s="167"/>
    </row>
    <row r="7695" spans="2:2" ht="15.5" x14ac:dyDescent="0.35">
      <c r="B7695" s="167"/>
    </row>
    <row r="7696" spans="2:2" ht="15.5" x14ac:dyDescent="0.35">
      <c r="B7696" s="167"/>
    </row>
    <row r="7697" spans="2:2" ht="15.5" x14ac:dyDescent="0.35">
      <c r="B7697" s="167"/>
    </row>
    <row r="7698" spans="2:2" ht="15.5" x14ac:dyDescent="0.35">
      <c r="B7698" s="167"/>
    </row>
    <row r="7699" spans="2:2" ht="15.5" x14ac:dyDescent="0.35">
      <c r="B7699" s="167"/>
    </row>
    <row r="7700" spans="2:2" ht="15.5" x14ac:dyDescent="0.35">
      <c r="B7700" s="167"/>
    </row>
    <row r="7701" spans="2:2" ht="15.5" x14ac:dyDescent="0.35">
      <c r="B7701" s="167"/>
    </row>
    <row r="7702" spans="2:2" ht="15.5" x14ac:dyDescent="0.35">
      <c r="B7702" s="167"/>
    </row>
    <row r="7703" spans="2:2" ht="15.5" x14ac:dyDescent="0.35">
      <c r="B7703" s="167"/>
    </row>
    <row r="7704" spans="2:2" ht="15.5" x14ac:dyDescent="0.35">
      <c r="B7704" s="167"/>
    </row>
    <row r="7705" spans="2:2" ht="15.5" x14ac:dyDescent="0.35">
      <c r="B7705" s="167"/>
    </row>
    <row r="7706" spans="2:2" ht="15.5" x14ac:dyDescent="0.35">
      <c r="B7706" s="167"/>
    </row>
    <row r="7707" spans="2:2" ht="15.5" x14ac:dyDescent="0.35">
      <c r="B7707" s="167"/>
    </row>
    <row r="7708" spans="2:2" ht="15.5" x14ac:dyDescent="0.35">
      <c r="B7708" s="167"/>
    </row>
    <row r="7709" spans="2:2" ht="15.5" x14ac:dyDescent="0.35">
      <c r="B7709" s="167"/>
    </row>
    <row r="7710" spans="2:2" ht="15.5" x14ac:dyDescent="0.35">
      <c r="B7710" s="167"/>
    </row>
    <row r="7711" spans="2:2" ht="15.5" x14ac:dyDescent="0.35">
      <c r="B7711" s="167"/>
    </row>
    <row r="7712" spans="2:2" ht="15.5" x14ac:dyDescent="0.35">
      <c r="B7712" s="167"/>
    </row>
    <row r="7713" spans="2:2" ht="15.5" x14ac:dyDescent="0.35">
      <c r="B7713" s="167"/>
    </row>
    <row r="7714" spans="2:2" ht="15.5" x14ac:dyDescent="0.35">
      <c r="B7714" s="167"/>
    </row>
    <row r="7715" spans="2:2" ht="15.5" x14ac:dyDescent="0.35">
      <c r="B7715" s="167"/>
    </row>
    <row r="7716" spans="2:2" ht="15.5" x14ac:dyDescent="0.35">
      <c r="B7716" s="167"/>
    </row>
    <row r="7717" spans="2:2" ht="15.5" x14ac:dyDescent="0.35">
      <c r="B7717" s="167"/>
    </row>
    <row r="7718" spans="2:2" ht="15.5" x14ac:dyDescent="0.35">
      <c r="B7718" s="167"/>
    </row>
    <row r="7719" spans="2:2" ht="15.5" x14ac:dyDescent="0.35">
      <c r="B7719" s="167"/>
    </row>
    <row r="7720" spans="2:2" ht="15.5" x14ac:dyDescent="0.35">
      <c r="B7720" s="167"/>
    </row>
    <row r="7721" spans="2:2" ht="15.5" x14ac:dyDescent="0.35">
      <c r="B7721" s="167"/>
    </row>
    <row r="7722" spans="2:2" ht="15.5" x14ac:dyDescent="0.35">
      <c r="B7722" s="167"/>
    </row>
    <row r="7723" spans="2:2" ht="15.5" x14ac:dyDescent="0.35">
      <c r="B7723" s="167"/>
    </row>
    <row r="7724" spans="2:2" ht="15.5" x14ac:dyDescent="0.35">
      <c r="B7724" s="167"/>
    </row>
    <row r="7725" spans="2:2" ht="15.5" x14ac:dyDescent="0.35">
      <c r="B7725" s="167"/>
    </row>
    <row r="7726" spans="2:2" ht="15.5" x14ac:dyDescent="0.35">
      <c r="B7726" s="167"/>
    </row>
    <row r="7727" spans="2:2" ht="15.5" x14ac:dyDescent="0.35">
      <c r="B7727" s="167"/>
    </row>
    <row r="7728" spans="2:2" ht="15.5" x14ac:dyDescent="0.35">
      <c r="B7728" s="167"/>
    </row>
    <row r="7729" spans="2:2" ht="15.5" x14ac:dyDescent="0.35">
      <c r="B7729" s="167"/>
    </row>
    <row r="7730" spans="2:2" ht="15.5" x14ac:dyDescent="0.35">
      <c r="B7730" s="167"/>
    </row>
    <row r="7731" spans="2:2" ht="15.5" x14ac:dyDescent="0.35">
      <c r="B7731" s="167"/>
    </row>
    <row r="7732" spans="2:2" ht="15.5" x14ac:dyDescent="0.35">
      <c r="B7732" s="167"/>
    </row>
    <row r="7733" spans="2:2" ht="15.5" x14ac:dyDescent="0.35">
      <c r="B7733" s="167"/>
    </row>
    <row r="7734" spans="2:2" ht="15.5" x14ac:dyDescent="0.35">
      <c r="B7734" s="167"/>
    </row>
    <row r="7735" spans="2:2" ht="15.5" x14ac:dyDescent="0.35">
      <c r="B7735" s="167"/>
    </row>
    <row r="7736" spans="2:2" ht="15.5" x14ac:dyDescent="0.35">
      <c r="B7736" s="167"/>
    </row>
    <row r="7737" spans="2:2" ht="15.5" x14ac:dyDescent="0.35">
      <c r="B7737" s="167"/>
    </row>
    <row r="7738" spans="2:2" ht="15.5" x14ac:dyDescent="0.35">
      <c r="B7738" s="167"/>
    </row>
    <row r="7739" spans="2:2" ht="15.5" x14ac:dyDescent="0.35">
      <c r="B7739" s="167"/>
    </row>
    <row r="7740" spans="2:2" ht="15.5" x14ac:dyDescent="0.35">
      <c r="B7740" s="167"/>
    </row>
    <row r="7741" spans="2:2" ht="15.5" x14ac:dyDescent="0.35">
      <c r="B7741" s="167"/>
    </row>
    <row r="7742" spans="2:2" ht="15.5" x14ac:dyDescent="0.35">
      <c r="B7742" s="167"/>
    </row>
    <row r="7743" spans="2:2" ht="15.5" x14ac:dyDescent="0.35">
      <c r="B7743" s="167"/>
    </row>
    <row r="7744" spans="2:2" ht="15.5" x14ac:dyDescent="0.35">
      <c r="B7744" s="167"/>
    </row>
    <row r="7745" spans="2:2" ht="15.5" x14ac:dyDescent="0.35">
      <c r="B7745" s="167"/>
    </row>
    <row r="7746" spans="2:2" ht="15.5" x14ac:dyDescent="0.35">
      <c r="B7746" s="167"/>
    </row>
    <row r="7747" spans="2:2" ht="15.5" x14ac:dyDescent="0.35">
      <c r="B7747" s="167"/>
    </row>
    <row r="7748" spans="2:2" ht="15.5" x14ac:dyDescent="0.35">
      <c r="B7748" s="167"/>
    </row>
    <row r="7749" spans="2:2" ht="15.5" x14ac:dyDescent="0.35">
      <c r="B7749" s="167"/>
    </row>
    <row r="7750" spans="2:2" ht="15.5" x14ac:dyDescent="0.35">
      <c r="B7750" s="167"/>
    </row>
    <row r="7751" spans="2:2" ht="15.5" x14ac:dyDescent="0.35">
      <c r="B7751" s="167"/>
    </row>
    <row r="7752" spans="2:2" ht="15.5" x14ac:dyDescent="0.35">
      <c r="B7752" s="167"/>
    </row>
    <row r="7753" spans="2:2" ht="15.5" x14ac:dyDescent="0.35">
      <c r="B7753" s="167"/>
    </row>
    <row r="7754" spans="2:2" ht="15.5" x14ac:dyDescent="0.35">
      <c r="B7754" s="167"/>
    </row>
    <row r="7755" spans="2:2" ht="15.5" x14ac:dyDescent="0.35">
      <c r="B7755" s="167"/>
    </row>
    <row r="7756" spans="2:2" ht="15.5" x14ac:dyDescent="0.35">
      <c r="B7756" s="167"/>
    </row>
    <row r="7757" spans="2:2" ht="15.5" x14ac:dyDescent="0.35">
      <c r="B7757" s="167"/>
    </row>
    <row r="7758" spans="2:2" ht="15.5" x14ac:dyDescent="0.35">
      <c r="B7758" s="167"/>
    </row>
    <row r="7759" spans="2:2" ht="15.5" x14ac:dyDescent="0.35">
      <c r="B7759" s="167"/>
    </row>
    <row r="7760" spans="2:2" ht="15.5" x14ac:dyDescent="0.35">
      <c r="B7760" s="167"/>
    </row>
    <row r="7761" spans="2:2" ht="15.5" x14ac:dyDescent="0.35">
      <c r="B7761" s="167"/>
    </row>
    <row r="7762" spans="2:2" ht="15.5" x14ac:dyDescent="0.35">
      <c r="B7762" s="167"/>
    </row>
    <row r="7763" spans="2:2" ht="15.5" x14ac:dyDescent="0.35">
      <c r="B7763" s="167"/>
    </row>
    <row r="7764" spans="2:2" ht="15.5" x14ac:dyDescent="0.35">
      <c r="B7764" s="167"/>
    </row>
    <row r="7765" spans="2:2" ht="15.5" x14ac:dyDescent="0.35">
      <c r="B7765" s="167"/>
    </row>
    <row r="7766" spans="2:2" ht="15.5" x14ac:dyDescent="0.35">
      <c r="B7766" s="167"/>
    </row>
    <row r="7767" spans="2:2" ht="15.5" x14ac:dyDescent="0.35">
      <c r="B7767" s="167"/>
    </row>
    <row r="7768" spans="2:2" ht="15.5" x14ac:dyDescent="0.35">
      <c r="B7768" s="167"/>
    </row>
    <row r="7769" spans="2:2" ht="15.5" x14ac:dyDescent="0.35">
      <c r="B7769" s="167"/>
    </row>
    <row r="7770" spans="2:2" ht="15.5" x14ac:dyDescent="0.35">
      <c r="B7770" s="167"/>
    </row>
    <row r="7771" spans="2:2" ht="15.5" x14ac:dyDescent="0.35">
      <c r="B7771" s="167"/>
    </row>
    <row r="7772" spans="2:2" ht="15.5" x14ac:dyDescent="0.35">
      <c r="B7772" s="167"/>
    </row>
    <row r="7773" spans="2:2" ht="15.5" x14ac:dyDescent="0.35">
      <c r="B7773" s="167"/>
    </row>
    <row r="7774" spans="2:2" ht="15.5" x14ac:dyDescent="0.35">
      <c r="B7774" s="167"/>
    </row>
    <row r="7775" spans="2:2" ht="15.5" x14ac:dyDescent="0.35">
      <c r="B7775" s="167"/>
    </row>
    <row r="7776" spans="2:2" ht="15.5" x14ac:dyDescent="0.35">
      <c r="B7776" s="167"/>
    </row>
    <row r="7777" spans="2:2" ht="15.5" x14ac:dyDescent="0.35">
      <c r="B7777" s="167"/>
    </row>
    <row r="7778" spans="2:2" ht="15.5" x14ac:dyDescent="0.35">
      <c r="B7778" s="167"/>
    </row>
    <row r="7779" spans="2:2" ht="15.5" x14ac:dyDescent="0.35">
      <c r="B7779" s="167"/>
    </row>
    <row r="7780" spans="2:2" ht="15.5" x14ac:dyDescent="0.35">
      <c r="B7780" s="167"/>
    </row>
    <row r="7781" spans="2:2" ht="15.5" x14ac:dyDescent="0.35">
      <c r="B7781" s="167"/>
    </row>
    <row r="7782" spans="2:2" ht="15.5" x14ac:dyDescent="0.35">
      <c r="B7782" s="167"/>
    </row>
    <row r="7783" spans="2:2" ht="15.5" x14ac:dyDescent="0.35">
      <c r="B7783" s="167"/>
    </row>
    <row r="7784" spans="2:2" ht="15.5" x14ac:dyDescent="0.35">
      <c r="B7784" s="167"/>
    </row>
    <row r="7785" spans="2:2" ht="15.5" x14ac:dyDescent="0.35">
      <c r="B7785" s="167"/>
    </row>
    <row r="7786" spans="2:2" ht="15.5" x14ac:dyDescent="0.35">
      <c r="B7786" s="167"/>
    </row>
    <row r="7787" spans="2:2" ht="15.5" x14ac:dyDescent="0.35">
      <c r="B7787" s="167"/>
    </row>
    <row r="7788" spans="2:2" ht="15.5" x14ac:dyDescent="0.35">
      <c r="B7788" s="167"/>
    </row>
    <row r="7789" spans="2:2" ht="15.5" x14ac:dyDescent="0.35">
      <c r="B7789" s="167"/>
    </row>
    <row r="7790" spans="2:2" ht="15.5" x14ac:dyDescent="0.35">
      <c r="B7790" s="167"/>
    </row>
    <row r="7791" spans="2:2" ht="15.5" x14ac:dyDescent="0.35">
      <c r="B7791" s="167"/>
    </row>
    <row r="7792" spans="2:2" ht="15.5" x14ac:dyDescent="0.35">
      <c r="B7792" s="167"/>
    </row>
    <row r="7793" spans="2:2" ht="15.5" x14ac:dyDescent="0.35">
      <c r="B7793" s="167"/>
    </row>
    <row r="7794" spans="2:2" ht="15.5" x14ac:dyDescent="0.35">
      <c r="B7794" s="167"/>
    </row>
    <row r="7795" spans="2:2" ht="15.5" x14ac:dyDescent="0.35">
      <c r="B7795" s="167"/>
    </row>
    <row r="7796" spans="2:2" ht="15.5" x14ac:dyDescent="0.35">
      <c r="B7796" s="167"/>
    </row>
    <row r="7797" spans="2:2" ht="15.5" x14ac:dyDescent="0.35">
      <c r="B7797" s="167"/>
    </row>
    <row r="7798" spans="2:2" ht="15.5" x14ac:dyDescent="0.35">
      <c r="B7798" s="167"/>
    </row>
    <row r="7799" spans="2:2" ht="15.5" x14ac:dyDescent="0.35">
      <c r="B7799" s="167"/>
    </row>
    <row r="7800" spans="2:2" ht="15.5" x14ac:dyDescent="0.35">
      <c r="B7800" s="167"/>
    </row>
    <row r="7801" spans="2:2" ht="15.5" x14ac:dyDescent="0.35">
      <c r="B7801" s="167"/>
    </row>
    <row r="7802" spans="2:2" ht="15.5" x14ac:dyDescent="0.35">
      <c r="B7802" s="167"/>
    </row>
    <row r="7803" spans="2:2" ht="15.5" x14ac:dyDescent="0.35">
      <c r="B7803" s="167"/>
    </row>
    <row r="7804" spans="2:2" ht="15.5" x14ac:dyDescent="0.35">
      <c r="B7804" s="167"/>
    </row>
    <row r="7805" spans="2:2" ht="15.5" x14ac:dyDescent="0.35">
      <c r="B7805" s="167"/>
    </row>
    <row r="7806" spans="2:2" ht="15.5" x14ac:dyDescent="0.35">
      <c r="B7806" s="167"/>
    </row>
    <row r="7807" spans="2:2" ht="15.5" x14ac:dyDescent="0.35">
      <c r="B7807" s="167"/>
    </row>
    <row r="7808" spans="2:2" ht="15.5" x14ac:dyDescent="0.35">
      <c r="B7808" s="167"/>
    </row>
    <row r="7809" spans="2:2" ht="15.5" x14ac:dyDescent="0.35">
      <c r="B7809" s="167"/>
    </row>
    <row r="7810" spans="2:2" ht="15.5" x14ac:dyDescent="0.35">
      <c r="B7810" s="167"/>
    </row>
    <row r="7811" spans="2:2" ht="15.5" x14ac:dyDescent="0.35">
      <c r="B7811" s="167"/>
    </row>
    <row r="7812" spans="2:2" ht="15.5" x14ac:dyDescent="0.35">
      <c r="B7812" s="167"/>
    </row>
    <row r="7813" spans="2:2" ht="15.5" x14ac:dyDescent="0.35">
      <c r="B7813" s="167"/>
    </row>
    <row r="7814" spans="2:2" ht="15.5" x14ac:dyDescent="0.35">
      <c r="B7814" s="167"/>
    </row>
    <row r="7815" spans="2:2" ht="15.5" x14ac:dyDescent="0.35">
      <c r="B7815" s="167"/>
    </row>
    <row r="7816" spans="2:2" ht="15.5" x14ac:dyDescent="0.35">
      <c r="B7816" s="167"/>
    </row>
    <row r="7817" spans="2:2" ht="15.5" x14ac:dyDescent="0.35">
      <c r="B7817" s="167"/>
    </row>
    <row r="7818" spans="2:2" ht="15.5" x14ac:dyDescent="0.35">
      <c r="B7818" s="167"/>
    </row>
    <row r="7819" spans="2:2" ht="15.5" x14ac:dyDescent="0.35">
      <c r="B7819" s="167"/>
    </row>
    <row r="7820" spans="2:2" ht="15.5" x14ac:dyDescent="0.35">
      <c r="B7820" s="167"/>
    </row>
    <row r="7821" spans="2:2" ht="15.5" x14ac:dyDescent="0.35">
      <c r="B7821" s="167"/>
    </row>
    <row r="7822" spans="2:2" ht="15.5" x14ac:dyDescent="0.35">
      <c r="B7822" s="167"/>
    </row>
    <row r="7823" spans="2:2" ht="15.5" x14ac:dyDescent="0.35">
      <c r="B7823" s="167"/>
    </row>
    <row r="7824" spans="2:2" ht="15.5" x14ac:dyDescent="0.35">
      <c r="B7824" s="167"/>
    </row>
    <row r="7825" spans="2:2" ht="15.5" x14ac:dyDescent="0.35">
      <c r="B7825" s="167"/>
    </row>
    <row r="7826" spans="2:2" ht="15.5" x14ac:dyDescent="0.35">
      <c r="B7826" s="167"/>
    </row>
    <row r="7827" spans="2:2" ht="15.5" x14ac:dyDescent="0.35">
      <c r="B7827" s="167"/>
    </row>
    <row r="7828" spans="2:2" ht="15.5" x14ac:dyDescent="0.35">
      <c r="B7828" s="167"/>
    </row>
    <row r="7829" spans="2:2" ht="15.5" x14ac:dyDescent="0.35">
      <c r="B7829" s="167"/>
    </row>
    <row r="7830" spans="2:2" ht="15.5" x14ac:dyDescent="0.35">
      <c r="B7830" s="167"/>
    </row>
    <row r="7831" spans="2:2" ht="15.5" x14ac:dyDescent="0.35">
      <c r="B7831" s="167"/>
    </row>
    <row r="7832" spans="2:2" ht="15.5" x14ac:dyDescent="0.35">
      <c r="B7832" s="167"/>
    </row>
    <row r="7833" spans="2:2" ht="15.5" x14ac:dyDescent="0.35">
      <c r="B7833" s="167"/>
    </row>
    <row r="7834" spans="2:2" ht="15.5" x14ac:dyDescent="0.35">
      <c r="B7834" s="167"/>
    </row>
    <row r="7835" spans="2:2" ht="15.5" x14ac:dyDescent="0.35">
      <c r="B7835" s="167"/>
    </row>
    <row r="7836" spans="2:2" ht="15.5" x14ac:dyDescent="0.35">
      <c r="B7836" s="167"/>
    </row>
    <row r="7837" spans="2:2" ht="15.5" x14ac:dyDescent="0.35">
      <c r="B7837" s="167"/>
    </row>
    <row r="7838" spans="2:2" ht="15.5" x14ac:dyDescent="0.35">
      <c r="B7838" s="167"/>
    </row>
    <row r="7839" spans="2:2" ht="15.5" x14ac:dyDescent="0.35">
      <c r="B7839" s="167"/>
    </row>
    <row r="7840" spans="2:2" ht="15.5" x14ac:dyDescent="0.35">
      <c r="B7840" s="167"/>
    </row>
    <row r="7841" spans="2:2" ht="15.5" x14ac:dyDescent="0.35">
      <c r="B7841" s="167"/>
    </row>
    <row r="7842" spans="2:2" ht="15.5" x14ac:dyDescent="0.35">
      <c r="B7842" s="167"/>
    </row>
    <row r="7843" spans="2:2" ht="15.5" x14ac:dyDescent="0.35">
      <c r="B7843" s="167"/>
    </row>
    <row r="7844" spans="2:2" ht="15.5" x14ac:dyDescent="0.35">
      <c r="B7844" s="167"/>
    </row>
    <row r="7845" spans="2:2" ht="15.5" x14ac:dyDescent="0.35">
      <c r="B7845" s="167"/>
    </row>
    <row r="7846" spans="2:2" ht="15.5" x14ac:dyDescent="0.35">
      <c r="B7846" s="167"/>
    </row>
    <row r="7847" spans="2:2" ht="15.5" x14ac:dyDescent="0.35">
      <c r="B7847" s="167"/>
    </row>
    <row r="7848" spans="2:2" ht="15.5" x14ac:dyDescent="0.35">
      <c r="B7848" s="167"/>
    </row>
    <row r="7849" spans="2:2" ht="15.5" x14ac:dyDescent="0.35">
      <c r="B7849" s="167"/>
    </row>
    <row r="7850" spans="2:2" ht="15.5" x14ac:dyDescent="0.35">
      <c r="B7850" s="167"/>
    </row>
    <row r="7851" spans="2:2" ht="15.5" x14ac:dyDescent="0.35">
      <c r="B7851" s="167"/>
    </row>
    <row r="7852" spans="2:2" ht="15.5" x14ac:dyDescent="0.35">
      <c r="B7852" s="167"/>
    </row>
    <row r="7853" spans="2:2" ht="15.5" x14ac:dyDescent="0.35">
      <c r="B7853" s="167"/>
    </row>
    <row r="7854" spans="2:2" ht="15.5" x14ac:dyDescent="0.35">
      <c r="B7854" s="167"/>
    </row>
    <row r="7855" spans="2:2" ht="15.5" x14ac:dyDescent="0.35">
      <c r="B7855" s="167"/>
    </row>
    <row r="7856" spans="2:2" ht="15.5" x14ac:dyDescent="0.35">
      <c r="B7856" s="167"/>
    </row>
    <row r="7857" spans="2:2" ht="15.5" x14ac:dyDescent="0.35">
      <c r="B7857" s="167"/>
    </row>
    <row r="7858" spans="2:2" ht="15.5" x14ac:dyDescent="0.35">
      <c r="B7858" s="167"/>
    </row>
    <row r="7859" spans="2:2" ht="15.5" x14ac:dyDescent="0.35">
      <c r="B7859" s="167"/>
    </row>
    <row r="7860" spans="2:2" ht="15.5" x14ac:dyDescent="0.35">
      <c r="B7860" s="167"/>
    </row>
    <row r="7861" spans="2:2" ht="15.5" x14ac:dyDescent="0.35">
      <c r="B7861" s="167"/>
    </row>
    <row r="7862" spans="2:2" ht="15.5" x14ac:dyDescent="0.35">
      <c r="B7862" s="167"/>
    </row>
    <row r="7863" spans="2:2" ht="15.5" x14ac:dyDescent="0.35">
      <c r="B7863" s="167"/>
    </row>
    <row r="7864" spans="2:2" ht="15.5" x14ac:dyDescent="0.35">
      <c r="B7864" s="167"/>
    </row>
    <row r="7865" spans="2:2" ht="15.5" x14ac:dyDescent="0.35">
      <c r="B7865" s="167"/>
    </row>
    <row r="7866" spans="2:2" ht="15.5" x14ac:dyDescent="0.35">
      <c r="B7866" s="167"/>
    </row>
    <row r="7867" spans="2:2" ht="15.5" x14ac:dyDescent="0.35">
      <c r="B7867" s="167"/>
    </row>
    <row r="7868" spans="2:2" ht="15.5" x14ac:dyDescent="0.35">
      <c r="B7868" s="167"/>
    </row>
    <row r="7869" spans="2:2" ht="15.5" x14ac:dyDescent="0.35">
      <c r="B7869" s="167"/>
    </row>
    <row r="7870" spans="2:2" ht="15.5" x14ac:dyDescent="0.35">
      <c r="B7870" s="167"/>
    </row>
    <row r="7871" spans="2:2" ht="15.5" x14ac:dyDescent="0.35">
      <c r="B7871" s="167"/>
    </row>
    <row r="7872" spans="2:2" ht="15.5" x14ac:dyDescent="0.35">
      <c r="B7872" s="167"/>
    </row>
    <row r="7873" spans="2:2" ht="15.5" x14ac:dyDescent="0.35">
      <c r="B7873" s="167"/>
    </row>
    <row r="7874" spans="2:2" ht="15.5" x14ac:dyDescent="0.35">
      <c r="B7874" s="167"/>
    </row>
    <row r="7875" spans="2:2" ht="15.5" x14ac:dyDescent="0.35">
      <c r="B7875" s="167"/>
    </row>
    <row r="7876" spans="2:2" ht="15.5" x14ac:dyDescent="0.35">
      <c r="B7876" s="167"/>
    </row>
    <row r="7877" spans="2:2" ht="15.5" x14ac:dyDescent="0.35">
      <c r="B7877" s="167"/>
    </row>
    <row r="7878" spans="2:2" ht="15.5" x14ac:dyDescent="0.35">
      <c r="B7878" s="167"/>
    </row>
    <row r="7879" spans="2:2" ht="15.5" x14ac:dyDescent="0.35">
      <c r="B7879" s="167"/>
    </row>
    <row r="7880" spans="2:2" ht="15.5" x14ac:dyDescent="0.35">
      <c r="B7880" s="167"/>
    </row>
    <row r="7881" spans="2:2" ht="15.5" x14ac:dyDescent="0.35">
      <c r="B7881" s="167"/>
    </row>
    <row r="7882" spans="2:2" ht="15.5" x14ac:dyDescent="0.35">
      <c r="B7882" s="167"/>
    </row>
    <row r="7883" spans="2:2" ht="15.5" x14ac:dyDescent="0.35">
      <c r="B7883" s="167"/>
    </row>
    <row r="7884" spans="2:2" ht="15.5" x14ac:dyDescent="0.35">
      <c r="B7884" s="167"/>
    </row>
    <row r="7885" spans="2:2" ht="15.5" x14ac:dyDescent="0.35">
      <c r="B7885" s="167"/>
    </row>
    <row r="7886" spans="2:2" ht="15.5" x14ac:dyDescent="0.35">
      <c r="B7886" s="167"/>
    </row>
    <row r="7887" spans="2:2" ht="15.5" x14ac:dyDescent="0.35">
      <c r="B7887" s="167"/>
    </row>
    <row r="7888" spans="2:2" ht="15.5" x14ac:dyDescent="0.35">
      <c r="B7888" s="167"/>
    </row>
    <row r="7889" spans="2:2" ht="15.5" x14ac:dyDescent="0.35">
      <c r="B7889" s="167"/>
    </row>
    <row r="7890" spans="2:2" ht="15.5" x14ac:dyDescent="0.35">
      <c r="B7890" s="167"/>
    </row>
    <row r="7891" spans="2:2" ht="15.5" x14ac:dyDescent="0.35">
      <c r="B7891" s="167"/>
    </row>
    <row r="7892" spans="2:2" ht="15.5" x14ac:dyDescent="0.35">
      <c r="B7892" s="167"/>
    </row>
    <row r="7893" spans="2:2" ht="15.5" x14ac:dyDescent="0.35">
      <c r="B7893" s="167"/>
    </row>
    <row r="7894" spans="2:2" ht="15.5" x14ac:dyDescent="0.35">
      <c r="B7894" s="167"/>
    </row>
    <row r="7895" spans="2:2" ht="15.5" x14ac:dyDescent="0.35">
      <c r="B7895" s="167"/>
    </row>
    <row r="7896" spans="2:2" ht="15.5" x14ac:dyDescent="0.35">
      <c r="B7896" s="167"/>
    </row>
    <row r="7897" spans="2:2" ht="15.5" x14ac:dyDescent="0.35">
      <c r="B7897" s="167"/>
    </row>
    <row r="7898" spans="2:2" ht="15.5" x14ac:dyDescent="0.35">
      <c r="B7898" s="167"/>
    </row>
    <row r="7899" spans="2:2" ht="15.5" x14ac:dyDescent="0.35">
      <c r="B7899" s="167"/>
    </row>
    <row r="7900" spans="2:2" ht="15.5" x14ac:dyDescent="0.35">
      <c r="B7900" s="167"/>
    </row>
    <row r="7901" spans="2:2" ht="15.5" x14ac:dyDescent="0.35">
      <c r="B7901" s="167"/>
    </row>
    <row r="7902" spans="2:2" ht="15.5" x14ac:dyDescent="0.35">
      <c r="B7902" s="167"/>
    </row>
    <row r="7903" spans="2:2" ht="15.5" x14ac:dyDescent="0.35">
      <c r="B7903" s="167"/>
    </row>
    <row r="7904" spans="2:2" ht="15.5" x14ac:dyDescent="0.35">
      <c r="B7904" s="167"/>
    </row>
    <row r="7905" spans="2:2" ht="15.5" x14ac:dyDescent="0.35">
      <c r="B7905" s="167"/>
    </row>
    <row r="7906" spans="2:2" ht="15.5" x14ac:dyDescent="0.35">
      <c r="B7906" s="167"/>
    </row>
    <row r="7907" spans="2:2" ht="15.5" x14ac:dyDescent="0.35">
      <c r="B7907" s="167"/>
    </row>
    <row r="7908" spans="2:2" ht="15.5" x14ac:dyDescent="0.35">
      <c r="B7908" s="167"/>
    </row>
    <row r="7909" spans="2:2" ht="15.5" x14ac:dyDescent="0.35">
      <c r="B7909" s="167"/>
    </row>
    <row r="7910" spans="2:2" ht="15.5" x14ac:dyDescent="0.35">
      <c r="B7910" s="167"/>
    </row>
    <row r="7911" spans="2:2" ht="15.5" x14ac:dyDescent="0.35">
      <c r="B7911" s="167"/>
    </row>
    <row r="7912" spans="2:2" ht="15.5" x14ac:dyDescent="0.35">
      <c r="B7912" s="167"/>
    </row>
    <row r="7913" spans="2:2" ht="15.5" x14ac:dyDescent="0.35">
      <c r="B7913" s="167"/>
    </row>
    <row r="7914" spans="2:2" ht="15.5" x14ac:dyDescent="0.35">
      <c r="B7914" s="167"/>
    </row>
    <row r="7915" spans="2:2" ht="15.5" x14ac:dyDescent="0.35">
      <c r="B7915" s="167"/>
    </row>
    <row r="7916" spans="2:2" ht="15.5" x14ac:dyDescent="0.35">
      <c r="B7916" s="167"/>
    </row>
    <row r="7917" spans="2:2" ht="15.5" x14ac:dyDescent="0.35">
      <c r="B7917" s="167"/>
    </row>
    <row r="7918" spans="2:2" ht="15.5" x14ac:dyDescent="0.35">
      <c r="B7918" s="167"/>
    </row>
    <row r="7919" spans="2:2" ht="15.5" x14ac:dyDescent="0.35">
      <c r="B7919" s="167"/>
    </row>
    <row r="7920" spans="2:2" ht="15.5" x14ac:dyDescent="0.35">
      <c r="B7920" s="167"/>
    </row>
    <row r="7921" spans="2:2" ht="15.5" x14ac:dyDescent="0.35">
      <c r="B7921" s="167"/>
    </row>
    <row r="7922" spans="2:2" ht="15.5" x14ac:dyDescent="0.35">
      <c r="B7922" s="167"/>
    </row>
    <row r="7923" spans="2:2" ht="15.5" x14ac:dyDescent="0.35">
      <c r="B7923" s="167"/>
    </row>
    <row r="7924" spans="2:2" ht="15.5" x14ac:dyDescent="0.35">
      <c r="B7924" s="167"/>
    </row>
    <row r="7925" spans="2:2" ht="15.5" x14ac:dyDescent="0.35">
      <c r="B7925" s="167"/>
    </row>
    <row r="7926" spans="2:2" ht="15.5" x14ac:dyDescent="0.35">
      <c r="B7926" s="167"/>
    </row>
    <row r="7927" spans="2:2" ht="15.5" x14ac:dyDescent="0.35">
      <c r="B7927" s="167"/>
    </row>
    <row r="7928" spans="2:2" ht="15.5" x14ac:dyDescent="0.35">
      <c r="B7928" s="167"/>
    </row>
    <row r="7929" spans="2:2" ht="15.5" x14ac:dyDescent="0.35">
      <c r="B7929" s="167"/>
    </row>
    <row r="7930" spans="2:2" ht="15.5" x14ac:dyDescent="0.35">
      <c r="B7930" s="167"/>
    </row>
    <row r="7931" spans="2:2" ht="15.5" x14ac:dyDescent="0.35">
      <c r="B7931" s="167"/>
    </row>
    <row r="7932" spans="2:2" ht="15.5" x14ac:dyDescent="0.35">
      <c r="B7932" s="167"/>
    </row>
    <row r="7933" spans="2:2" ht="15.5" x14ac:dyDescent="0.35">
      <c r="B7933" s="167"/>
    </row>
    <row r="7934" spans="2:2" ht="15.5" x14ac:dyDescent="0.35">
      <c r="B7934" s="167"/>
    </row>
    <row r="7935" spans="2:2" ht="15.5" x14ac:dyDescent="0.35">
      <c r="B7935" s="167"/>
    </row>
    <row r="7936" spans="2:2" ht="15.5" x14ac:dyDescent="0.35">
      <c r="B7936" s="167"/>
    </row>
    <row r="7937" spans="2:2" ht="15.5" x14ac:dyDescent="0.35">
      <c r="B7937" s="167"/>
    </row>
    <row r="7938" spans="2:2" ht="15.5" x14ac:dyDescent="0.35">
      <c r="B7938" s="167"/>
    </row>
    <row r="7939" spans="2:2" ht="15.5" x14ac:dyDescent="0.35">
      <c r="B7939" s="167"/>
    </row>
    <row r="7940" spans="2:2" ht="15.5" x14ac:dyDescent="0.35">
      <c r="B7940" s="167"/>
    </row>
    <row r="7941" spans="2:2" ht="15.5" x14ac:dyDescent="0.35">
      <c r="B7941" s="167"/>
    </row>
    <row r="7942" spans="2:2" ht="15.5" x14ac:dyDescent="0.35">
      <c r="B7942" s="167"/>
    </row>
    <row r="7943" spans="2:2" ht="15.5" x14ac:dyDescent="0.35">
      <c r="B7943" s="167"/>
    </row>
    <row r="7944" spans="2:2" ht="15.5" x14ac:dyDescent="0.35">
      <c r="B7944" s="167"/>
    </row>
    <row r="7945" spans="2:2" ht="15.5" x14ac:dyDescent="0.35">
      <c r="B7945" s="167"/>
    </row>
    <row r="7946" spans="2:2" ht="15.5" x14ac:dyDescent="0.35">
      <c r="B7946" s="167"/>
    </row>
    <row r="7947" spans="2:2" ht="15.5" x14ac:dyDescent="0.35">
      <c r="B7947" s="167"/>
    </row>
    <row r="7948" spans="2:2" ht="15.5" x14ac:dyDescent="0.35">
      <c r="B7948" s="167"/>
    </row>
    <row r="7949" spans="2:2" ht="15.5" x14ac:dyDescent="0.35">
      <c r="B7949" s="167"/>
    </row>
    <row r="7950" spans="2:2" ht="15.5" x14ac:dyDescent="0.35">
      <c r="B7950" s="167"/>
    </row>
    <row r="7951" spans="2:2" ht="15.5" x14ac:dyDescent="0.35">
      <c r="B7951" s="167"/>
    </row>
    <row r="7952" spans="2:2" ht="15.5" x14ac:dyDescent="0.35">
      <c r="B7952" s="167"/>
    </row>
    <row r="7953" spans="2:2" ht="15.5" x14ac:dyDescent="0.35">
      <c r="B7953" s="167"/>
    </row>
    <row r="7954" spans="2:2" ht="15.5" x14ac:dyDescent="0.35">
      <c r="B7954" s="167"/>
    </row>
    <row r="7955" spans="2:2" ht="15.5" x14ac:dyDescent="0.35">
      <c r="B7955" s="167"/>
    </row>
    <row r="7956" spans="2:2" ht="15.5" x14ac:dyDescent="0.35">
      <c r="B7956" s="167"/>
    </row>
    <row r="7957" spans="2:2" ht="15.5" x14ac:dyDescent="0.35">
      <c r="B7957" s="167"/>
    </row>
    <row r="7958" spans="2:2" ht="15.5" x14ac:dyDescent="0.35">
      <c r="B7958" s="167"/>
    </row>
    <row r="7959" spans="2:2" ht="15.5" x14ac:dyDescent="0.35">
      <c r="B7959" s="167"/>
    </row>
    <row r="7960" spans="2:2" ht="15.5" x14ac:dyDescent="0.35">
      <c r="B7960" s="167"/>
    </row>
    <row r="7961" spans="2:2" ht="15.5" x14ac:dyDescent="0.35">
      <c r="B7961" s="167"/>
    </row>
    <row r="7962" spans="2:2" ht="15.5" x14ac:dyDescent="0.35">
      <c r="B7962" s="167"/>
    </row>
    <row r="7963" spans="2:2" ht="15.5" x14ac:dyDescent="0.35">
      <c r="B7963" s="167"/>
    </row>
    <row r="7964" spans="2:2" ht="15.5" x14ac:dyDescent="0.35">
      <c r="B7964" s="167"/>
    </row>
    <row r="7965" spans="2:2" ht="15.5" x14ac:dyDescent="0.35">
      <c r="B7965" s="167"/>
    </row>
    <row r="7966" spans="2:2" ht="15.5" x14ac:dyDescent="0.35">
      <c r="B7966" s="167"/>
    </row>
    <row r="7967" spans="2:2" ht="15.5" x14ac:dyDescent="0.35">
      <c r="B7967" s="167"/>
    </row>
    <row r="7968" spans="2:2" ht="15.5" x14ac:dyDescent="0.35">
      <c r="B7968" s="167"/>
    </row>
    <row r="7969" spans="2:2" ht="15.5" x14ac:dyDescent="0.35">
      <c r="B7969" s="167"/>
    </row>
    <row r="7970" spans="2:2" ht="15.5" x14ac:dyDescent="0.35">
      <c r="B7970" s="167"/>
    </row>
    <row r="7971" spans="2:2" ht="15.5" x14ac:dyDescent="0.35">
      <c r="B7971" s="167"/>
    </row>
    <row r="7972" spans="2:2" ht="15.5" x14ac:dyDescent="0.35">
      <c r="B7972" s="167"/>
    </row>
    <row r="7973" spans="2:2" ht="15.5" x14ac:dyDescent="0.35">
      <c r="B7973" s="167"/>
    </row>
    <row r="7974" spans="2:2" ht="15.5" x14ac:dyDescent="0.35">
      <c r="B7974" s="167"/>
    </row>
    <row r="7975" spans="2:2" ht="15.5" x14ac:dyDescent="0.35">
      <c r="B7975" s="167"/>
    </row>
    <row r="7976" spans="2:2" ht="15.5" x14ac:dyDescent="0.35">
      <c r="B7976" s="167"/>
    </row>
    <row r="7977" spans="2:2" ht="15.5" x14ac:dyDescent="0.35">
      <c r="B7977" s="167"/>
    </row>
    <row r="7978" spans="2:2" ht="15.5" x14ac:dyDescent="0.35">
      <c r="B7978" s="167"/>
    </row>
    <row r="7979" spans="2:2" ht="15.5" x14ac:dyDescent="0.35">
      <c r="B7979" s="167"/>
    </row>
    <row r="7980" spans="2:2" ht="15.5" x14ac:dyDescent="0.35">
      <c r="B7980" s="167"/>
    </row>
    <row r="7981" spans="2:2" ht="15.5" x14ac:dyDescent="0.35">
      <c r="B7981" s="167"/>
    </row>
    <row r="7982" spans="2:2" ht="15.5" x14ac:dyDescent="0.35">
      <c r="B7982" s="167"/>
    </row>
    <row r="7983" spans="2:2" ht="15.5" x14ac:dyDescent="0.35">
      <c r="B7983" s="167"/>
    </row>
    <row r="7984" spans="2:2" ht="15.5" x14ac:dyDescent="0.35">
      <c r="B7984" s="167"/>
    </row>
    <row r="7985" spans="2:2" ht="15.5" x14ac:dyDescent="0.35">
      <c r="B7985" s="167"/>
    </row>
    <row r="7986" spans="2:2" ht="15.5" x14ac:dyDescent="0.35">
      <c r="B7986" s="167"/>
    </row>
    <row r="7987" spans="2:2" ht="15.5" x14ac:dyDescent="0.35">
      <c r="B7987" s="167"/>
    </row>
    <row r="7988" spans="2:2" ht="15.5" x14ac:dyDescent="0.35">
      <c r="B7988" s="167"/>
    </row>
    <row r="7989" spans="2:2" ht="15.5" x14ac:dyDescent="0.35">
      <c r="B7989" s="167"/>
    </row>
    <row r="7990" spans="2:2" ht="15.5" x14ac:dyDescent="0.35">
      <c r="B7990" s="167"/>
    </row>
    <row r="7991" spans="2:2" ht="15.5" x14ac:dyDescent="0.35">
      <c r="B7991" s="167"/>
    </row>
    <row r="7992" spans="2:2" ht="15.5" x14ac:dyDescent="0.35">
      <c r="B7992" s="167"/>
    </row>
    <row r="7993" spans="2:2" ht="15.5" x14ac:dyDescent="0.35">
      <c r="B7993" s="167"/>
    </row>
    <row r="7994" spans="2:2" ht="15.5" x14ac:dyDescent="0.35">
      <c r="B7994" s="167"/>
    </row>
    <row r="7995" spans="2:2" ht="15.5" x14ac:dyDescent="0.35">
      <c r="B7995" s="167"/>
    </row>
    <row r="7996" spans="2:2" ht="15.5" x14ac:dyDescent="0.35">
      <c r="B7996" s="167"/>
    </row>
    <row r="7997" spans="2:2" ht="15.5" x14ac:dyDescent="0.35">
      <c r="B7997" s="167"/>
    </row>
    <row r="7998" spans="2:2" ht="15.5" x14ac:dyDescent="0.35">
      <c r="B7998" s="167"/>
    </row>
    <row r="7999" spans="2:2" ht="15.5" x14ac:dyDescent="0.35">
      <c r="B7999" s="167"/>
    </row>
    <row r="8000" spans="2:2" ht="15.5" x14ac:dyDescent="0.35">
      <c r="B8000" s="167"/>
    </row>
    <row r="8001" spans="2:2" ht="15.5" x14ac:dyDescent="0.35">
      <c r="B8001" s="167"/>
    </row>
    <row r="8002" spans="2:2" ht="15.5" x14ac:dyDescent="0.35">
      <c r="B8002" s="167"/>
    </row>
    <row r="8003" spans="2:2" ht="15.5" x14ac:dyDescent="0.35">
      <c r="B8003" s="167"/>
    </row>
    <row r="8004" spans="2:2" ht="15.5" x14ac:dyDescent="0.35">
      <c r="B8004" s="167"/>
    </row>
    <row r="8005" spans="2:2" ht="15.5" x14ac:dyDescent="0.35">
      <c r="B8005" s="167"/>
    </row>
    <row r="8006" spans="2:2" ht="15.5" x14ac:dyDescent="0.35">
      <c r="B8006" s="167"/>
    </row>
    <row r="8007" spans="2:2" ht="15.5" x14ac:dyDescent="0.35">
      <c r="B8007" s="167"/>
    </row>
    <row r="8008" spans="2:2" ht="15.5" x14ac:dyDescent="0.35">
      <c r="B8008" s="167"/>
    </row>
    <row r="8009" spans="2:2" ht="15.5" x14ac:dyDescent="0.35">
      <c r="B8009" s="167"/>
    </row>
    <row r="8010" spans="2:2" ht="15.5" x14ac:dyDescent="0.35">
      <c r="B8010" s="167"/>
    </row>
    <row r="8011" spans="2:2" ht="15.5" x14ac:dyDescent="0.35">
      <c r="B8011" s="167"/>
    </row>
    <row r="8012" spans="2:2" ht="15.5" x14ac:dyDescent="0.35">
      <c r="B8012" s="167"/>
    </row>
    <row r="8013" spans="2:2" ht="15.5" x14ac:dyDescent="0.35">
      <c r="B8013" s="167"/>
    </row>
    <row r="8014" spans="2:2" ht="15.5" x14ac:dyDescent="0.35">
      <c r="B8014" s="167"/>
    </row>
    <row r="8015" spans="2:2" ht="15.5" x14ac:dyDescent="0.35">
      <c r="B8015" s="167"/>
    </row>
    <row r="8016" spans="2:2" ht="15.5" x14ac:dyDescent="0.35">
      <c r="B8016" s="167"/>
    </row>
    <row r="8017" spans="2:2" ht="15.5" x14ac:dyDescent="0.35">
      <c r="B8017" s="167"/>
    </row>
    <row r="8018" spans="2:2" ht="15.5" x14ac:dyDescent="0.35">
      <c r="B8018" s="167"/>
    </row>
    <row r="8019" spans="2:2" ht="15.5" x14ac:dyDescent="0.35">
      <c r="B8019" s="167"/>
    </row>
    <row r="8020" spans="2:2" ht="15.5" x14ac:dyDescent="0.35">
      <c r="B8020" s="167"/>
    </row>
    <row r="8021" spans="2:2" ht="15.5" x14ac:dyDescent="0.35">
      <c r="B8021" s="167"/>
    </row>
    <row r="8022" spans="2:2" ht="15.5" x14ac:dyDescent="0.35">
      <c r="B8022" s="167"/>
    </row>
    <row r="8023" spans="2:2" ht="15.5" x14ac:dyDescent="0.35">
      <c r="B8023" s="167"/>
    </row>
    <row r="8024" spans="2:2" ht="15.5" x14ac:dyDescent="0.35">
      <c r="B8024" s="167"/>
    </row>
    <row r="8025" spans="2:2" ht="15.5" x14ac:dyDescent="0.35">
      <c r="B8025" s="167"/>
    </row>
    <row r="8026" spans="2:2" ht="15.5" x14ac:dyDescent="0.35">
      <c r="B8026" s="167"/>
    </row>
    <row r="8027" spans="2:2" ht="15.5" x14ac:dyDescent="0.35">
      <c r="B8027" s="167"/>
    </row>
    <row r="8028" spans="2:2" ht="15.5" x14ac:dyDescent="0.35">
      <c r="B8028" s="167"/>
    </row>
    <row r="8029" spans="2:2" ht="15.5" x14ac:dyDescent="0.35">
      <c r="B8029" s="167"/>
    </row>
    <row r="8030" spans="2:2" ht="15.5" x14ac:dyDescent="0.35">
      <c r="B8030" s="167"/>
    </row>
    <row r="8031" spans="2:2" ht="15.5" x14ac:dyDescent="0.35">
      <c r="B8031" s="167"/>
    </row>
    <row r="8032" spans="2:2" ht="15.5" x14ac:dyDescent="0.35">
      <c r="B8032" s="167"/>
    </row>
    <row r="8033" spans="2:2" ht="15.5" x14ac:dyDescent="0.35">
      <c r="B8033" s="167"/>
    </row>
    <row r="8034" spans="2:2" ht="15.5" x14ac:dyDescent="0.35">
      <c r="B8034" s="167"/>
    </row>
    <row r="8035" spans="2:2" ht="15.5" x14ac:dyDescent="0.35">
      <c r="B8035" s="167"/>
    </row>
    <row r="8036" spans="2:2" ht="15.5" x14ac:dyDescent="0.35">
      <c r="B8036" s="167"/>
    </row>
    <row r="8037" spans="2:2" ht="15.5" x14ac:dyDescent="0.35">
      <c r="B8037" s="167"/>
    </row>
    <row r="8038" spans="2:2" ht="15.5" x14ac:dyDescent="0.35">
      <c r="B8038" s="167"/>
    </row>
    <row r="8039" spans="2:2" ht="15.5" x14ac:dyDescent="0.35">
      <c r="B8039" s="167"/>
    </row>
    <row r="8040" spans="2:2" ht="15.5" x14ac:dyDescent="0.35">
      <c r="B8040" s="167"/>
    </row>
    <row r="8041" spans="2:2" ht="15.5" x14ac:dyDescent="0.35">
      <c r="B8041" s="167"/>
    </row>
    <row r="8042" spans="2:2" ht="15.5" x14ac:dyDescent="0.35">
      <c r="B8042" s="167"/>
    </row>
    <row r="8043" spans="2:2" ht="15.5" x14ac:dyDescent="0.35">
      <c r="B8043" s="167"/>
    </row>
    <row r="8044" spans="2:2" ht="15.5" x14ac:dyDescent="0.35">
      <c r="B8044" s="167"/>
    </row>
    <row r="8045" spans="2:2" ht="15.5" x14ac:dyDescent="0.35">
      <c r="B8045" s="167"/>
    </row>
    <row r="8046" spans="2:2" ht="15.5" x14ac:dyDescent="0.35">
      <c r="B8046" s="167"/>
    </row>
    <row r="8047" spans="2:2" ht="15.5" x14ac:dyDescent="0.35">
      <c r="B8047" s="167"/>
    </row>
    <row r="8048" spans="2:2" ht="15.5" x14ac:dyDescent="0.35">
      <c r="B8048" s="167"/>
    </row>
    <row r="8049" spans="2:2" ht="15.5" x14ac:dyDescent="0.35">
      <c r="B8049" s="167"/>
    </row>
    <row r="8050" spans="2:2" ht="15.5" x14ac:dyDescent="0.35">
      <c r="B8050" s="167"/>
    </row>
    <row r="8051" spans="2:2" ht="15.5" x14ac:dyDescent="0.35">
      <c r="B8051" s="167"/>
    </row>
    <row r="8052" spans="2:2" ht="15.5" x14ac:dyDescent="0.35">
      <c r="B8052" s="167"/>
    </row>
    <row r="8053" spans="2:2" ht="15.5" x14ac:dyDescent="0.35">
      <c r="B8053" s="167"/>
    </row>
    <row r="8054" spans="2:2" ht="15.5" x14ac:dyDescent="0.35">
      <c r="B8054" s="167"/>
    </row>
    <row r="8055" spans="2:2" ht="15.5" x14ac:dyDescent="0.35">
      <c r="B8055" s="167"/>
    </row>
    <row r="8056" spans="2:2" ht="15.5" x14ac:dyDescent="0.35">
      <c r="B8056" s="167"/>
    </row>
    <row r="8057" spans="2:2" ht="15.5" x14ac:dyDescent="0.35">
      <c r="B8057" s="167"/>
    </row>
    <row r="8058" spans="2:2" ht="15.5" x14ac:dyDescent="0.35">
      <c r="B8058" s="167"/>
    </row>
    <row r="8059" spans="2:2" ht="15.5" x14ac:dyDescent="0.35">
      <c r="B8059" s="167"/>
    </row>
    <row r="8060" spans="2:2" ht="15.5" x14ac:dyDescent="0.35">
      <c r="B8060" s="167"/>
    </row>
    <row r="8061" spans="2:2" ht="15.5" x14ac:dyDescent="0.35">
      <c r="B8061" s="167"/>
    </row>
    <row r="8062" spans="2:2" ht="15.5" x14ac:dyDescent="0.35">
      <c r="B8062" s="167"/>
    </row>
    <row r="8063" spans="2:2" ht="15.5" x14ac:dyDescent="0.35">
      <c r="B8063" s="167"/>
    </row>
    <row r="8064" spans="2:2" ht="15.5" x14ac:dyDescent="0.35">
      <c r="B8064" s="167"/>
    </row>
    <row r="8065" spans="2:2" ht="15.5" x14ac:dyDescent="0.35">
      <c r="B8065" s="167"/>
    </row>
    <row r="8066" spans="2:2" ht="15.5" x14ac:dyDescent="0.35">
      <c r="B8066" s="167"/>
    </row>
    <row r="8067" spans="2:2" ht="15.5" x14ac:dyDescent="0.35">
      <c r="B8067" s="167"/>
    </row>
    <row r="8068" spans="2:2" ht="15.5" x14ac:dyDescent="0.35">
      <c r="B8068" s="167"/>
    </row>
    <row r="8069" spans="2:2" ht="15.5" x14ac:dyDescent="0.35">
      <c r="B8069" s="167"/>
    </row>
    <row r="8070" spans="2:2" ht="15.5" x14ac:dyDescent="0.35">
      <c r="B8070" s="167"/>
    </row>
    <row r="8071" spans="2:2" ht="15.5" x14ac:dyDescent="0.35">
      <c r="B8071" s="167"/>
    </row>
    <row r="8072" spans="2:2" ht="15.5" x14ac:dyDescent="0.35">
      <c r="B8072" s="167"/>
    </row>
    <row r="8073" spans="2:2" ht="15.5" x14ac:dyDescent="0.35">
      <c r="B8073" s="167"/>
    </row>
    <row r="8074" spans="2:2" ht="15.5" x14ac:dyDescent="0.35">
      <c r="B8074" s="167"/>
    </row>
    <row r="8075" spans="2:2" ht="15.5" x14ac:dyDescent="0.35">
      <c r="B8075" s="167"/>
    </row>
    <row r="8076" spans="2:2" ht="15.5" x14ac:dyDescent="0.35">
      <c r="B8076" s="167"/>
    </row>
    <row r="8077" spans="2:2" ht="15.5" x14ac:dyDescent="0.35">
      <c r="B8077" s="167"/>
    </row>
    <row r="8078" spans="2:2" ht="15.5" x14ac:dyDescent="0.35">
      <c r="B8078" s="167"/>
    </row>
    <row r="8079" spans="2:2" ht="15.5" x14ac:dyDescent="0.35">
      <c r="B8079" s="167"/>
    </row>
    <row r="8080" spans="2:2" ht="15.5" x14ac:dyDescent="0.35">
      <c r="B8080" s="167"/>
    </row>
    <row r="8081" spans="2:2" ht="15.5" x14ac:dyDescent="0.35">
      <c r="B8081" s="167"/>
    </row>
    <row r="8082" spans="2:2" ht="15.5" x14ac:dyDescent="0.35">
      <c r="B8082" s="167"/>
    </row>
    <row r="8083" spans="2:2" ht="15.5" x14ac:dyDescent="0.35">
      <c r="B8083" s="167"/>
    </row>
    <row r="8084" spans="2:2" ht="15.5" x14ac:dyDescent="0.35">
      <c r="B8084" s="167"/>
    </row>
    <row r="8085" spans="2:2" ht="15.5" x14ac:dyDescent="0.35">
      <c r="B8085" s="167"/>
    </row>
    <row r="8086" spans="2:2" ht="15.5" x14ac:dyDescent="0.35">
      <c r="B8086" s="167"/>
    </row>
    <row r="8087" spans="2:2" ht="15.5" x14ac:dyDescent="0.35">
      <c r="B8087" s="167"/>
    </row>
    <row r="8088" spans="2:2" ht="15.5" x14ac:dyDescent="0.35">
      <c r="B8088" s="167"/>
    </row>
    <row r="8089" spans="2:2" ht="15.5" x14ac:dyDescent="0.35">
      <c r="B8089" s="167"/>
    </row>
    <row r="8090" spans="2:2" ht="15.5" x14ac:dyDescent="0.35">
      <c r="B8090" s="167"/>
    </row>
    <row r="8091" spans="2:2" ht="15.5" x14ac:dyDescent="0.35">
      <c r="B8091" s="167"/>
    </row>
    <row r="8092" spans="2:2" ht="15.5" x14ac:dyDescent="0.35">
      <c r="B8092" s="167"/>
    </row>
    <row r="8093" spans="2:2" ht="15.5" x14ac:dyDescent="0.35">
      <c r="B8093" s="167"/>
    </row>
    <row r="8094" spans="2:2" ht="15.5" x14ac:dyDescent="0.35">
      <c r="B8094" s="167"/>
    </row>
    <row r="8095" spans="2:2" ht="15.5" x14ac:dyDescent="0.35">
      <c r="B8095" s="167"/>
    </row>
    <row r="8096" spans="2:2" ht="15.5" x14ac:dyDescent="0.35">
      <c r="B8096" s="167"/>
    </row>
    <row r="8097" spans="2:2" ht="15.5" x14ac:dyDescent="0.35">
      <c r="B8097" s="167"/>
    </row>
    <row r="8098" spans="2:2" ht="15.5" x14ac:dyDescent="0.35">
      <c r="B8098" s="167"/>
    </row>
    <row r="8099" spans="2:2" ht="15.5" x14ac:dyDescent="0.35">
      <c r="B8099" s="167"/>
    </row>
    <row r="8100" spans="2:2" ht="15.5" x14ac:dyDescent="0.35">
      <c r="B8100" s="167"/>
    </row>
    <row r="8101" spans="2:2" ht="15.5" x14ac:dyDescent="0.35">
      <c r="B8101" s="167"/>
    </row>
    <row r="8102" spans="2:2" ht="15.5" x14ac:dyDescent="0.35">
      <c r="B8102" s="167"/>
    </row>
    <row r="8103" spans="2:2" ht="15.5" x14ac:dyDescent="0.35">
      <c r="B8103" s="167"/>
    </row>
    <row r="8104" spans="2:2" ht="15.5" x14ac:dyDescent="0.35">
      <c r="B8104" s="167"/>
    </row>
    <row r="8105" spans="2:2" ht="15.5" x14ac:dyDescent="0.35">
      <c r="B8105" s="167"/>
    </row>
    <row r="8106" spans="2:2" ht="15.5" x14ac:dyDescent="0.35">
      <c r="B8106" s="167"/>
    </row>
    <row r="8107" spans="2:2" ht="15.5" x14ac:dyDescent="0.35">
      <c r="B8107" s="167"/>
    </row>
    <row r="8108" spans="2:2" ht="15.5" x14ac:dyDescent="0.35">
      <c r="B8108" s="167"/>
    </row>
    <row r="8109" spans="2:2" ht="15.5" x14ac:dyDescent="0.35">
      <c r="B8109" s="167"/>
    </row>
    <row r="8110" spans="2:2" ht="15.5" x14ac:dyDescent="0.35">
      <c r="B8110" s="167"/>
    </row>
    <row r="8111" spans="2:2" ht="15.5" x14ac:dyDescent="0.35">
      <c r="B8111" s="167"/>
    </row>
    <row r="8112" spans="2:2" ht="15.5" x14ac:dyDescent="0.35">
      <c r="B8112" s="167"/>
    </row>
    <row r="8113" spans="2:2" ht="15.5" x14ac:dyDescent="0.35">
      <c r="B8113" s="167"/>
    </row>
    <row r="8114" spans="2:2" ht="15.5" x14ac:dyDescent="0.35">
      <c r="B8114" s="167"/>
    </row>
    <row r="8115" spans="2:2" ht="15.5" x14ac:dyDescent="0.35">
      <c r="B8115" s="167"/>
    </row>
    <row r="8116" spans="2:2" ht="15.5" x14ac:dyDescent="0.35">
      <c r="B8116" s="167"/>
    </row>
    <row r="8117" spans="2:2" ht="15.5" x14ac:dyDescent="0.35">
      <c r="B8117" s="167"/>
    </row>
    <row r="8118" spans="2:2" ht="15.5" x14ac:dyDescent="0.35">
      <c r="B8118" s="167"/>
    </row>
    <row r="8119" spans="2:2" ht="15.5" x14ac:dyDescent="0.35">
      <c r="B8119" s="167"/>
    </row>
    <row r="8120" spans="2:2" ht="15.5" x14ac:dyDescent="0.35">
      <c r="B8120" s="167"/>
    </row>
    <row r="8121" spans="2:2" ht="15.5" x14ac:dyDescent="0.35">
      <c r="B8121" s="167"/>
    </row>
    <row r="8122" spans="2:2" ht="15.5" x14ac:dyDescent="0.35">
      <c r="B8122" s="167"/>
    </row>
    <row r="8123" spans="2:2" ht="15.5" x14ac:dyDescent="0.35">
      <c r="B8123" s="167"/>
    </row>
    <row r="8124" spans="2:2" ht="15.5" x14ac:dyDescent="0.35">
      <c r="B8124" s="167"/>
    </row>
    <row r="8125" spans="2:2" ht="15.5" x14ac:dyDescent="0.35">
      <c r="B8125" s="167"/>
    </row>
    <row r="8126" spans="2:2" ht="15.5" x14ac:dyDescent="0.35">
      <c r="B8126" s="167"/>
    </row>
    <row r="8127" spans="2:2" ht="15.5" x14ac:dyDescent="0.35">
      <c r="B8127" s="167"/>
    </row>
    <row r="8128" spans="2:2" ht="15.5" x14ac:dyDescent="0.35">
      <c r="B8128" s="167"/>
    </row>
    <row r="8129" spans="2:2" ht="15.5" x14ac:dyDescent="0.35">
      <c r="B8129" s="167"/>
    </row>
    <row r="8130" spans="2:2" ht="15.5" x14ac:dyDescent="0.35">
      <c r="B8130" s="167"/>
    </row>
    <row r="8131" spans="2:2" ht="15.5" x14ac:dyDescent="0.35">
      <c r="B8131" s="167"/>
    </row>
    <row r="8132" spans="2:2" ht="15.5" x14ac:dyDescent="0.35">
      <c r="B8132" s="167"/>
    </row>
    <row r="8133" spans="2:2" ht="15.5" x14ac:dyDescent="0.35">
      <c r="B8133" s="167"/>
    </row>
    <row r="8134" spans="2:2" ht="15.5" x14ac:dyDescent="0.35">
      <c r="B8134" s="167"/>
    </row>
    <row r="8135" spans="2:2" ht="15.5" x14ac:dyDescent="0.35">
      <c r="B8135" s="167"/>
    </row>
    <row r="8136" spans="2:2" ht="15.5" x14ac:dyDescent="0.35">
      <c r="B8136" s="167"/>
    </row>
    <row r="8137" spans="2:2" ht="15.5" x14ac:dyDescent="0.35">
      <c r="B8137" s="167"/>
    </row>
    <row r="8138" spans="2:2" ht="15.5" x14ac:dyDescent="0.35">
      <c r="B8138" s="167"/>
    </row>
    <row r="8139" spans="2:2" ht="15.5" x14ac:dyDescent="0.35">
      <c r="B8139" s="167"/>
    </row>
    <row r="8140" spans="2:2" ht="15.5" x14ac:dyDescent="0.35">
      <c r="B8140" s="167"/>
    </row>
    <row r="8141" spans="2:2" ht="15.5" x14ac:dyDescent="0.35">
      <c r="B8141" s="167"/>
    </row>
    <row r="8142" spans="2:2" ht="15.5" x14ac:dyDescent="0.35">
      <c r="B8142" s="167"/>
    </row>
    <row r="8143" spans="2:2" ht="15.5" x14ac:dyDescent="0.35">
      <c r="B8143" s="167"/>
    </row>
    <row r="8144" spans="2:2" ht="15.5" x14ac:dyDescent="0.35">
      <c r="B8144" s="167"/>
    </row>
    <row r="8145" spans="2:2" ht="15.5" x14ac:dyDescent="0.35">
      <c r="B8145" s="167"/>
    </row>
    <row r="8146" spans="2:2" ht="15.5" x14ac:dyDescent="0.35">
      <c r="B8146" s="167"/>
    </row>
    <row r="8147" spans="2:2" ht="15.5" x14ac:dyDescent="0.35">
      <c r="B8147" s="167"/>
    </row>
    <row r="8148" spans="2:2" ht="15.5" x14ac:dyDescent="0.35">
      <c r="B8148" s="167"/>
    </row>
    <row r="8149" spans="2:2" ht="15.5" x14ac:dyDescent="0.35">
      <c r="B8149" s="167"/>
    </row>
    <row r="8150" spans="2:2" ht="15.5" x14ac:dyDescent="0.35">
      <c r="B8150" s="167"/>
    </row>
    <row r="8151" spans="2:2" ht="15.5" x14ac:dyDescent="0.35">
      <c r="B8151" s="167"/>
    </row>
    <row r="8152" spans="2:2" ht="15.5" x14ac:dyDescent="0.35">
      <c r="B8152" s="167"/>
    </row>
    <row r="8153" spans="2:2" ht="15.5" x14ac:dyDescent="0.35">
      <c r="B8153" s="167"/>
    </row>
    <row r="8154" spans="2:2" ht="15.5" x14ac:dyDescent="0.35">
      <c r="B8154" s="167"/>
    </row>
    <row r="8155" spans="2:2" ht="15.5" x14ac:dyDescent="0.35">
      <c r="B8155" s="167"/>
    </row>
    <row r="8156" spans="2:2" ht="15.5" x14ac:dyDescent="0.35">
      <c r="B8156" s="167"/>
    </row>
    <row r="8157" spans="2:2" ht="15.5" x14ac:dyDescent="0.35">
      <c r="B8157" s="167"/>
    </row>
    <row r="8158" spans="2:2" ht="15.5" x14ac:dyDescent="0.35">
      <c r="B8158" s="167"/>
    </row>
    <row r="8159" spans="2:2" ht="15.5" x14ac:dyDescent="0.35">
      <c r="B8159" s="167"/>
    </row>
    <row r="8160" spans="2:2" ht="15.5" x14ac:dyDescent="0.35">
      <c r="B8160" s="167"/>
    </row>
    <row r="8161" spans="2:2" ht="15.5" x14ac:dyDescent="0.35">
      <c r="B8161" s="167"/>
    </row>
    <row r="8162" spans="2:2" ht="15.5" x14ac:dyDescent="0.35">
      <c r="B8162" s="167"/>
    </row>
    <row r="8163" spans="2:2" ht="15.5" x14ac:dyDescent="0.35">
      <c r="B8163" s="167"/>
    </row>
    <row r="8164" spans="2:2" ht="15.5" x14ac:dyDescent="0.35">
      <c r="B8164" s="167"/>
    </row>
    <row r="8165" spans="2:2" ht="15.5" x14ac:dyDescent="0.35">
      <c r="B8165" s="167"/>
    </row>
    <row r="8166" spans="2:2" ht="15.5" x14ac:dyDescent="0.35">
      <c r="B8166" s="167"/>
    </row>
    <row r="8167" spans="2:2" ht="15.5" x14ac:dyDescent="0.35">
      <c r="B8167" s="167"/>
    </row>
    <row r="8168" spans="2:2" ht="15.5" x14ac:dyDescent="0.35">
      <c r="B8168" s="167"/>
    </row>
    <row r="8169" spans="2:2" ht="15.5" x14ac:dyDescent="0.35">
      <c r="B8169" s="167"/>
    </row>
    <row r="8170" spans="2:2" ht="15.5" x14ac:dyDescent="0.35">
      <c r="B8170" s="167"/>
    </row>
    <row r="8171" spans="2:2" ht="15.5" x14ac:dyDescent="0.35">
      <c r="B8171" s="167"/>
    </row>
    <row r="8172" spans="2:2" ht="15.5" x14ac:dyDescent="0.35">
      <c r="B8172" s="167"/>
    </row>
    <row r="8173" spans="2:2" ht="15.5" x14ac:dyDescent="0.35">
      <c r="B8173" s="167"/>
    </row>
    <row r="8174" spans="2:2" ht="15.5" x14ac:dyDescent="0.35">
      <c r="B8174" s="167"/>
    </row>
    <row r="8175" spans="2:2" ht="15.5" x14ac:dyDescent="0.35">
      <c r="B8175" s="167"/>
    </row>
    <row r="8176" spans="2:2" ht="15.5" x14ac:dyDescent="0.35">
      <c r="B8176" s="167"/>
    </row>
    <row r="8177" spans="2:2" ht="15.5" x14ac:dyDescent="0.35">
      <c r="B8177" s="167"/>
    </row>
    <row r="8178" spans="2:2" ht="15.5" x14ac:dyDescent="0.35">
      <c r="B8178" s="167"/>
    </row>
    <row r="8179" spans="2:2" ht="15.5" x14ac:dyDescent="0.35">
      <c r="B8179" s="167"/>
    </row>
    <row r="8180" spans="2:2" ht="15.5" x14ac:dyDescent="0.35">
      <c r="B8180" s="167"/>
    </row>
    <row r="8181" spans="2:2" ht="15.5" x14ac:dyDescent="0.35">
      <c r="B8181" s="167"/>
    </row>
    <row r="8182" spans="2:2" ht="15.5" x14ac:dyDescent="0.35">
      <c r="B8182" s="167"/>
    </row>
    <row r="8183" spans="2:2" ht="15.5" x14ac:dyDescent="0.35">
      <c r="B8183" s="167"/>
    </row>
    <row r="8184" spans="2:2" ht="15.5" x14ac:dyDescent="0.35">
      <c r="B8184" s="167"/>
    </row>
    <row r="8185" spans="2:2" ht="15.5" x14ac:dyDescent="0.35">
      <c r="B8185" s="167"/>
    </row>
    <row r="8186" spans="2:2" ht="15.5" x14ac:dyDescent="0.35">
      <c r="B8186" s="167"/>
    </row>
    <row r="8187" spans="2:2" ht="15.5" x14ac:dyDescent="0.35">
      <c r="B8187" s="167"/>
    </row>
    <row r="8188" spans="2:2" ht="15.5" x14ac:dyDescent="0.35">
      <c r="B8188" s="167"/>
    </row>
    <row r="8189" spans="2:2" ht="15.5" x14ac:dyDescent="0.35">
      <c r="B8189" s="167"/>
    </row>
    <row r="8190" spans="2:2" ht="15.5" x14ac:dyDescent="0.35">
      <c r="B8190" s="167"/>
    </row>
    <row r="8191" spans="2:2" ht="15.5" x14ac:dyDescent="0.35">
      <c r="B8191" s="167"/>
    </row>
    <row r="8192" spans="2:2" ht="15.5" x14ac:dyDescent="0.35">
      <c r="B8192" s="167"/>
    </row>
    <row r="8193" spans="2:2" ht="15.5" x14ac:dyDescent="0.35">
      <c r="B8193" s="167"/>
    </row>
    <row r="8194" spans="2:2" ht="15.5" x14ac:dyDescent="0.35">
      <c r="B8194" s="167"/>
    </row>
    <row r="8195" spans="2:2" ht="15.5" x14ac:dyDescent="0.35">
      <c r="B8195" s="167"/>
    </row>
    <row r="8196" spans="2:2" ht="15.5" x14ac:dyDescent="0.35">
      <c r="B8196" s="167"/>
    </row>
    <row r="8197" spans="2:2" ht="15.5" x14ac:dyDescent="0.35">
      <c r="B8197" s="167"/>
    </row>
    <row r="8198" spans="2:2" ht="15.5" x14ac:dyDescent="0.35">
      <c r="B8198" s="167"/>
    </row>
    <row r="8199" spans="2:2" ht="15.5" x14ac:dyDescent="0.35">
      <c r="B8199" s="167"/>
    </row>
    <row r="8200" spans="2:2" ht="15.5" x14ac:dyDescent="0.35">
      <c r="B8200" s="167"/>
    </row>
    <row r="8201" spans="2:2" ht="15.5" x14ac:dyDescent="0.35">
      <c r="B8201" s="167"/>
    </row>
    <row r="8202" spans="2:2" ht="15.5" x14ac:dyDescent="0.35">
      <c r="B8202" s="167"/>
    </row>
    <row r="8203" spans="2:2" ht="15.5" x14ac:dyDescent="0.35">
      <c r="B8203" s="167"/>
    </row>
    <row r="8204" spans="2:2" ht="15.5" x14ac:dyDescent="0.35">
      <c r="B8204" s="167"/>
    </row>
    <row r="8205" spans="2:2" ht="15.5" x14ac:dyDescent="0.35">
      <c r="B8205" s="167"/>
    </row>
    <row r="8206" spans="2:2" ht="15.5" x14ac:dyDescent="0.35">
      <c r="B8206" s="167"/>
    </row>
    <row r="8207" spans="2:2" ht="15.5" x14ac:dyDescent="0.35">
      <c r="B8207" s="167"/>
    </row>
    <row r="8208" spans="2:2" ht="15.5" x14ac:dyDescent="0.35">
      <c r="B8208" s="167"/>
    </row>
    <row r="8209" spans="2:2" ht="15.5" x14ac:dyDescent="0.35">
      <c r="B8209" s="167"/>
    </row>
    <row r="8210" spans="2:2" ht="15.5" x14ac:dyDescent="0.35">
      <c r="B8210" s="167"/>
    </row>
    <row r="8211" spans="2:2" ht="15.5" x14ac:dyDescent="0.35">
      <c r="B8211" s="167"/>
    </row>
    <row r="8212" spans="2:2" ht="15.5" x14ac:dyDescent="0.35">
      <c r="B8212" s="167"/>
    </row>
    <row r="8213" spans="2:2" ht="15.5" x14ac:dyDescent="0.35">
      <c r="B8213" s="167"/>
    </row>
    <row r="8214" spans="2:2" ht="15.5" x14ac:dyDescent="0.35">
      <c r="B8214" s="167"/>
    </row>
    <row r="8215" spans="2:2" ht="15.5" x14ac:dyDescent="0.35">
      <c r="B8215" s="167"/>
    </row>
    <row r="8216" spans="2:2" ht="15.5" x14ac:dyDescent="0.35">
      <c r="B8216" s="167"/>
    </row>
    <row r="8217" spans="2:2" ht="15.5" x14ac:dyDescent="0.35">
      <c r="B8217" s="167"/>
    </row>
    <row r="8218" spans="2:2" ht="15.5" x14ac:dyDescent="0.35">
      <c r="B8218" s="167"/>
    </row>
    <row r="8219" spans="2:2" ht="15.5" x14ac:dyDescent="0.35">
      <c r="B8219" s="167"/>
    </row>
    <row r="8220" spans="2:2" ht="15.5" x14ac:dyDescent="0.35">
      <c r="B8220" s="167"/>
    </row>
    <row r="8221" spans="2:2" ht="15.5" x14ac:dyDescent="0.35">
      <c r="B8221" s="167"/>
    </row>
    <row r="8222" spans="2:2" ht="15.5" x14ac:dyDescent="0.35">
      <c r="B8222" s="167"/>
    </row>
    <row r="8223" spans="2:2" ht="15.5" x14ac:dyDescent="0.35">
      <c r="B8223" s="167"/>
    </row>
    <row r="8224" spans="2:2" ht="15.5" x14ac:dyDescent="0.35">
      <c r="B8224" s="167"/>
    </row>
    <row r="8225" spans="2:2" ht="15.5" x14ac:dyDescent="0.35">
      <c r="B8225" s="167"/>
    </row>
    <row r="8226" spans="2:2" ht="15.5" x14ac:dyDescent="0.35">
      <c r="B8226" s="167"/>
    </row>
    <row r="8227" spans="2:2" ht="15.5" x14ac:dyDescent="0.35">
      <c r="B8227" s="167"/>
    </row>
    <row r="8228" spans="2:2" ht="15.5" x14ac:dyDescent="0.35">
      <c r="B8228" s="167"/>
    </row>
    <row r="8229" spans="2:2" ht="15.5" x14ac:dyDescent="0.35">
      <c r="B8229" s="167"/>
    </row>
    <row r="8230" spans="2:2" ht="15.5" x14ac:dyDescent="0.35">
      <c r="B8230" s="167"/>
    </row>
    <row r="8231" spans="2:2" ht="15.5" x14ac:dyDescent="0.35">
      <c r="B8231" s="167"/>
    </row>
    <row r="8232" spans="2:2" ht="15.5" x14ac:dyDescent="0.35">
      <c r="B8232" s="167"/>
    </row>
    <row r="8233" spans="2:2" ht="15.5" x14ac:dyDescent="0.35">
      <c r="B8233" s="167"/>
    </row>
    <row r="8234" spans="2:2" ht="15.5" x14ac:dyDescent="0.35">
      <c r="B8234" s="167"/>
    </row>
    <row r="8235" spans="2:2" ht="15.5" x14ac:dyDescent="0.35">
      <c r="B8235" s="167"/>
    </row>
    <row r="8236" spans="2:2" ht="15.5" x14ac:dyDescent="0.35">
      <c r="B8236" s="167"/>
    </row>
    <row r="8237" spans="2:2" ht="15.5" x14ac:dyDescent="0.35">
      <c r="B8237" s="167"/>
    </row>
    <row r="8238" spans="2:2" ht="15.5" x14ac:dyDescent="0.35">
      <c r="B8238" s="167"/>
    </row>
    <row r="8239" spans="2:2" ht="15.5" x14ac:dyDescent="0.35">
      <c r="B8239" s="167"/>
    </row>
    <row r="8240" spans="2:2" ht="15.5" x14ac:dyDescent="0.35">
      <c r="B8240" s="167"/>
    </row>
    <row r="8241" spans="2:2" ht="15.5" x14ac:dyDescent="0.35">
      <c r="B8241" s="167"/>
    </row>
    <row r="8242" spans="2:2" ht="15.5" x14ac:dyDescent="0.35">
      <c r="B8242" s="167"/>
    </row>
    <row r="8243" spans="2:2" ht="15.5" x14ac:dyDescent="0.35">
      <c r="B8243" s="167"/>
    </row>
    <row r="8244" spans="2:2" ht="15.5" x14ac:dyDescent="0.35">
      <c r="B8244" s="167"/>
    </row>
    <row r="8245" spans="2:2" ht="15.5" x14ac:dyDescent="0.35">
      <c r="B8245" s="167"/>
    </row>
    <row r="8246" spans="2:2" ht="15.5" x14ac:dyDescent="0.35">
      <c r="B8246" s="167"/>
    </row>
    <row r="8247" spans="2:2" ht="15.5" x14ac:dyDescent="0.35">
      <c r="B8247" s="167"/>
    </row>
    <row r="8248" spans="2:2" ht="15.5" x14ac:dyDescent="0.35">
      <c r="B8248" s="167"/>
    </row>
    <row r="8249" spans="2:2" ht="15.5" x14ac:dyDescent="0.35">
      <c r="B8249" s="167"/>
    </row>
    <row r="8250" spans="2:2" ht="15.5" x14ac:dyDescent="0.35">
      <c r="B8250" s="167"/>
    </row>
    <row r="8251" spans="2:2" ht="15.5" x14ac:dyDescent="0.35">
      <c r="B8251" s="167"/>
    </row>
    <row r="8252" spans="2:2" ht="15.5" x14ac:dyDescent="0.35">
      <c r="B8252" s="167"/>
    </row>
    <row r="8253" spans="2:2" ht="15.5" x14ac:dyDescent="0.35">
      <c r="B8253" s="167"/>
    </row>
    <row r="8254" spans="2:2" ht="15.5" x14ac:dyDescent="0.35">
      <c r="B8254" s="167"/>
    </row>
    <row r="8255" spans="2:2" ht="15.5" x14ac:dyDescent="0.35">
      <c r="B8255" s="167"/>
    </row>
    <row r="8256" spans="2:2" ht="15.5" x14ac:dyDescent="0.35">
      <c r="B8256" s="167"/>
    </row>
    <row r="8257" spans="2:2" ht="15.5" x14ac:dyDescent="0.35">
      <c r="B8257" s="167"/>
    </row>
    <row r="8258" spans="2:2" ht="15.5" x14ac:dyDescent="0.35">
      <c r="B8258" s="167"/>
    </row>
    <row r="8259" spans="2:2" ht="15.5" x14ac:dyDescent="0.35">
      <c r="B8259" s="167"/>
    </row>
    <row r="8260" spans="2:2" ht="15.5" x14ac:dyDescent="0.35">
      <c r="B8260" s="167"/>
    </row>
    <row r="8261" spans="2:2" ht="15.5" x14ac:dyDescent="0.35">
      <c r="B8261" s="167"/>
    </row>
    <row r="8262" spans="2:2" ht="15.5" x14ac:dyDescent="0.35">
      <c r="B8262" s="167"/>
    </row>
    <row r="8263" spans="2:2" ht="15.5" x14ac:dyDescent="0.35">
      <c r="B8263" s="167"/>
    </row>
    <row r="8264" spans="2:2" ht="15.5" x14ac:dyDescent="0.35">
      <c r="B8264" s="167"/>
    </row>
    <row r="8265" spans="2:2" ht="15.5" x14ac:dyDescent="0.35">
      <c r="B8265" s="167"/>
    </row>
    <row r="8266" spans="2:2" ht="15.5" x14ac:dyDescent="0.35">
      <c r="B8266" s="167"/>
    </row>
    <row r="8267" spans="2:2" ht="15.5" x14ac:dyDescent="0.35">
      <c r="B8267" s="167"/>
    </row>
    <row r="8268" spans="2:2" ht="15.5" x14ac:dyDescent="0.35">
      <c r="B8268" s="167"/>
    </row>
    <row r="8269" spans="2:2" ht="15.5" x14ac:dyDescent="0.35">
      <c r="B8269" s="167"/>
    </row>
    <row r="8270" spans="2:2" ht="15.5" x14ac:dyDescent="0.35">
      <c r="B8270" s="167"/>
    </row>
    <row r="8271" spans="2:2" ht="15.5" x14ac:dyDescent="0.35">
      <c r="B8271" s="167"/>
    </row>
    <row r="8272" spans="2:2" ht="15.5" x14ac:dyDescent="0.35">
      <c r="B8272" s="167"/>
    </row>
    <row r="8273" spans="2:2" ht="15.5" x14ac:dyDescent="0.35">
      <c r="B8273" s="167"/>
    </row>
    <row r="8274" spans="2:2" ht="15.5" x14ac:dyDescent="0.35">
      <c r="B8274" s="167"/>
    </row>
    <row r="8275" spans="2:2" ht="15.5" x14ac:dyDescent="0.35">
      <c r="B8275" s="167"/>
    </row>
    <row r="8276" spans="2:2" ht="15.5" x14ac:dyDescent="0.35">
      <c r="B8276" s="167"/>
    </row>
    <row r="8277" spans="2:2" ht="15.5" x14ac:dyDescent="0.35">
      <c r="B8277" s="167"/>
    </row>
    <row r="8278" spans="2:2" ht="15.5" x14ac:dyDescent="0.35">
      <c r="B8278" s="167"/>
    </row>
    <row r="8279" spans="2:2" ht="15.5" x14ac:dyDescent="0.35">
      <c r="B8279" s="167"/>
    </row>
    <row r="8280" spans="2:2" ht="15.5" x14ac:dyDescent="0.35">
      <c r="B8280" s="167"/>
    </row>
    <row r="8281" spans="2:2" ht="15.5" x14ac:dyDescent="0.35">
      <c r="B8281" s="167"/>
    </row>
    <row r="8282" spans="2:2" ht="15.5" x14ac:dyDescent="0.35">
      <c r="B8282" s="167"/>
    </row>
    <row r="8283" spans="2:2" ht="15.5" x14ac:dyDescent="0.35">
      <c r="B8283" s="167"/>
    </row>
    <row r="8284" spans="2:2" ht="15.5" x14ac:dyDescent="0.35">
      <c r="B8284" s="167"/>
    </row>
    <row r="8285" spans="2:2" ht="15.5" x14ac:dyDescent="0.35">
      <c r="B8285" s="167"/>
    </row>
    <row r="8286" spans="2:2" ht="15.5" x14ac:dyDescent="0.35">
      <c r="B8286" s="167"/>
    </row>
    <row r="8287" spans="2:2" ht="15.5" x14ac:dyDescent="0.35">
      <c r="B8287" s="167"/>
    </row>
    <row r="8288" spans="2:2" ht="15.5" x14ac:dyDescent="0.35">
      <c r="B8288" s="167"/>
    </row>
    <row r="8289" spans="2:2" ht="15.5" x14ac:dyDescent="0.35">
      <c r="B8289" s="167"/>
    </row>
    <row r="8290" spans="2:2" ht="15.5" x14ac:dyDescent="0.35">
      <c r="B8290" s="167"/>
    </row>
    <row r="8291" spans="2:2" ht="15.5" x14ac:dyDescent="0.35">
      <c r="B8291" s="167"/>
    </row>
    <row r="8292" spans="2:2" ht="15.5" x14ac:dyDescent="0.35">
      <c r="B8292" s="167"/>
    </row>
    <row r="8293" spans="2:2" ht="15.5" x14ac:dyDescent="0.35">
      <c r="B8293" s="167"/>
    </row>
    <row r="8294" spans="2:2" ht="15.5" x14ac:dyDescent="0.35">
      <c r="B8294" s="167"/>
    </row>
    <row r="8295" spans="2:2" ht="15.5" x14ac:dyDescent="0.35">
      <c r="B8295" s="167"/>
    </row>
    <row r="8296" spans="2:2" ht="15.5" x14ac:dyDescent="0.35">
      <c r="B8296" s="167"/>
    </row>
    <row r="8297" spans="2:2" ht="15.5" x14ac:dyDescent="0.35">
      <c r="B8297" s="167"/>
    </row>
    <row r="8298" spans="2:2" ht="15.5" x14ac:dyDescent="0.35">
      <c r="B8298" s="167"/>
    </row>
    <row r="8299" spans="2:2" ht="15.5" x14ac:dyDescent="0.35">
      <c r="B8299" s="167"/>
    </row>
    <row r="8300" spans="2:2" ht="15.5" x14ac:dyDescent="0.35">
      <c r="B8300" s="167"/>
    </row>
    <row r="8301" spans="2:2" ht="15.5" x14ac:dyDescent="0.35">
      <c r="B8301" s="167"/>
    </row>
    <row r="8302" spans="2:2" ht="15.5" x14ac:dyDescent="0.35">
      <c r="B8302" s="167"/>
    </row>
    <row r="8303" spans="2:2" ht="15.5" x14ac:dyDescent="0.35">
      <c r="B8303" s="167"/>
    </row>
    <row r="8304" spans="2:2" ht="15.5" x14ac:dyDescent="0.35">
      <c r="B8304" s="167"/>
    </row>
    <row r="8305" spans="2:2" ht="15.5" x14ac:dyDescent="0.35">
      <c r="B8305" s="167"/>
    </row>
    <row r="8306" spans="2:2" ht="15.5" x14ac:dyDescent="0.35">
      <c r="B8306" s="167"/>
    </row>
    <row r="8307" spans="2:2" ht="15.5" x14ac:dyDescent="0.35">
      <c r="B8307" s="167"/>
    </row>
    <row r="8308" spans="2:2" ht="15.5" x14ac:dyDescent="0.35">
      <c r="B8308" s="167"/>
    </row>
    <row r="8309" spans="2:2" ht="15.5" x14ac:dyDescent="0.35">
      <c r="B8309" s="167"/>
    </row>
    <row r="8310" spans="2:2" ht="15.5" x14ac:dyDescent="0.35">
      <c r="B8310" s="167"/>
    </row>
    <row r="8311" spans="2:2" ht="15.5" x14ac:dyDescent="0.35">
      <c r="B8311" s="167"/>
    </row>
    <row r="8312" spans="2:2" ht="15.5" x14ac:dyDescent="0.35">
      <c r="B8312" s="167"/>
    </row>
    <row r="8313" spans="2:2" ht="15.5" x14ac:dyDescent="0.35">
      <c r="B8313" s="167"/>
    </row>
    <row r="8314" spans="2:2" ht="15.5" x14ac:dyDescent="0.35">
      <c r="B8314" s="167"/>
    </row>
    <row r="8315" spans="2:2" ht="15.5" x14ac:dyDescent="0.35">
      <c r="B8315" s="167"/>
    </row>
    <row r="8316" spans="2:2" ht="15.5" x14ac:dyDescent="0.35">
      <c r="B8316" s="167"/>
    </row>
    <row r="8317" spans="2:2" ht="15.5" x14ac:dyDescent="0.35">
      <c r="B8317" s="167"/>
    </row>
    <row r="8318" spans="2:2" ht="15.5" x14ac:dyDescent="0.35">
      <c r="B8318" s="167"/>
    </row>
    <row r="8319" spans="2:2" ht="15.5" x14ac:dyDescent="0.35">
      <c r="B8319" s="167"/>
    </row>
    <row r="8320" spans="2:2" ht="15.5" x14ac:dyDescent="0.35">
      <c r="B8320" s="167"/>
    </row>
    <row r="8321" spans="2:2" ht="15.5" x14ac:dyDescent="0.35">
      <c r="B8321" s="167"/>
    </row>
    <row r="8322" spans="2:2" ht="15.5" x14ac:dyDescent="0.35">
      <c r="B8322" s="167"/>
    </row>
    <row r="8323" spans="2:2" ht="15.5" x14ac:dyDescent="0.35">
      <c r="B8323" s="167"/>
    </row>
    <row r="8324" spans="2:2" ht="15.5" x14ac:dyDescent="0.35">
      <c r="B8324" s="167"/>
    </row>
    <row r="8325" spans="2:2" ht="15.5" x14ac:dyDescent="0.35">
      <c r="B8325" s="167"/>
    </row>
    <row r="8326" spans="2:2" ht="15.5" x14ac:dyDescent="0.35">
      <c r="B8326" s="167"/>
    </row>
    <row r="8327" spans="2:2" ht="15.5" x14ac:dyDescent="0.35">
      <c r="B8327" s="167"/>
    </row>
    <row r="8328" spans="2:2" ht="15.5" x14ac:dyDescent="0.35">
      <c r="B8328" s="167"/>
    </row>
    <row r="8329" spans="2:2" ht="15.5" x14ac:dyDescent="0.35">
      <c r="B8329" s="167"/>
    </row>
    <row r="8330" spans="2:2" ht="15.5" x14ac:dyDescent="0.35">
      <c r="B8330" s="167"/>
    </row>
    <row r="8331" spans="2:2" ht="15.5" x14ac:dyDescent="0.35">
      <c r="B8331" s="167"/>
    </row>
    <row r="8332" spans="2:2" ht="15.5" x14ac:dyDescent="0.35">
      <c r="B8332" s="167"/>
    </row>
    <row r="8333" spans="2:2" ht="15.5" x14ac:dyDescent="0.35">
      <c r="B8333" s="167"/>
    </row>
    <row r="8334" spans="2:2" ht="15.5" x14ac:dyDescent="0.35">
      <c r="B8334" s="167"/>
    </row>
    <row r="8335" spans="2:2" ht="15.5" x14ac:dyDescent="0.35">
      <c r="B8335" s="167"/>
    </row>
    <row r="8336" spans="2:2" ht="15.5" x14ac:dyDescent="0.35">
      <c r="B8336" s="167"/>
    </row>
    <row r="8337" spans="2:2" ht="15.5" x14ac:dyDescent="0.35">
      <c r="B8337" s="167"/>
    </row>
    <row r="8338" spans="2:2" ht="15.5" x14ac:dyDescent="0.35">
      <c r="B8338" s="167"/>
    </row>
    <row r="8339" spans="2:2" ht="15.5" x14ac:dyDescent="0.35">
      <c r="B8339" s="167"/>
    </row>
    <row r="8340" spans="2:2" ht="15.5" x14ac:dyDescent="0.35">
      <c r="B8340" s="167"/>
    </row>
    <row r="8341" spans="2:2" ht="15.5" x14ac:dyDescent="0.35">
      <c r="B8341" s="167"/>
    </row>
    <row r="8342" spans="2:2" ht="15.5" x14ac:dyDescent="0.35">
      <c r="B8342" s="167"/>
    </row>
    <row r="8343" spans="2:2" ht="15.5" x14ac:dyDescent="0.35">
      <c r="B8343" s="167"/>
    </row>
    <row r="8344" spans="2:2" ht="15.5" x14ac:dyDescent="0.35">
      <c r="B8344" s="167"/>
    </row>
    <row r="8345" spans="2:2" ht="15.5" x14ac:dyDescent="0.35">
      <c r="B8345" s="167"/>
    </row>
    <row r="8346" spans="2:2" ht="15.5" x14ac:dyDescent="0.35">
      <c r="B8346" s="167"/>
    </row>
    <row r="8347" spans="2:2" ht="15.5" x14ac:dyDescent="0.35">
      <c r="B8347" s="167"/>
    </row>
    <row r="8348" spans="2:2" ht="15.5" x14ac:dyDescent="0.35">
      <c r="B8348" s="167"/>
    </row>
    <row r="8349" spans="2:2" ht="15.5" x14ac:dyDescent="0.35">
      <c r="B8349" s="167"/>
    </row>
    <row r="8350" spans="2:2" ht="15.5" x14ac:dyDescent="0.35">
      <c r="B8350" s="167"/>
    </row>
    <row r="8351" spans="2:2" ht="15.5" x14ac:dyDescent="0.35">
      <c r="B8351" s="167"/>
    </row>
    <row r="8352" spans="2:2" ht="15.5" x14ac:dyDescent="0.35">
      <c r="B8352" s="167"/>
    </row>
    <row r="8353" spans="2:2" ht="15.5" x14ac:dyDescent="0.35">
      <c r="B8353" s="167"/>
    </row>
    <row r="8354" spans="2:2" ht="15.5" x14ac:dyDescent="0.35">
      <c r="B8354" s="167"/>
    </row>
    <row r="8355" spans="2:2" ht="15.5" x14ac:dyDescent="0.35">
      <c r="B8355" s="167"/>
    </row>
    <row r="8356" spans="2:2" ht="15.5" x14ac:dyDescent="0.35">
      <c r="B8356" s="167"/>
    </row>
    <row r="8357" spans="2:2" ht="15.5" x14ac:dyDescent="0.35">
      <c r="B8357" s="167"/>
    </row>
    <row r="8358" spans="2:2" ht="15.5" x14ac:dyDescent="0.35">
      <c r="B8358" s="167"/>
    </row>
    <row r="8359" spans="2:2" ht="15.5" x14ac:dyDescent="0.35">
      <c r="B8359" s="167"/>
    </row>
    <row r="8360" spans="2:2" ht="15.5" x14ac:dyDescent="0.35">
      <c r="B8360" s="167"/>
    </row>
    <row r="8361" spans="2:2" ht="15.5" x14ac:dyDescent="0.35">
      <c r="B8361" s="167"/>
    </row>
    <row r="8362" spans="2:2" ht="15.5" x14ac:dyDescent="0.35">
      <c r="B8362" s="167"/>
    </row>
    <row r="8363" spans="2:2" ht="15.5" x14ac:dyDescent="0.35">
      <c r="B8363" s="167"/>
    </row>
    <row r="8364" spans="2:2" ht="15.5" x14ac:dyDescent="0.35">
      <c r="B8364" s="167"/>
    </row>
    <row r="8365" spans="2:2" ht="15.5" x14ac:dyDescent="0.35">
      <c r="B8365" s="167"/>
    </row>
    <row r="8366" spans="2:2" ht="15.5" x14ac:dyDescent="0.35">
      <c r="B8366" s="167"/>
    </row>
    <row r="8367" spans="2:2" ht="15.5" x14ac:dyDescent="0.35">
      <c r="B8367" s="167"/>
    </row>
    <row r="8368" spans="2:2" ht="15.5" x14ac:dyDescent="0.35">
      <c r="B8368" s="167"/>
    </row>
    <row r="8369" spans="2:2" ht="15.5" x14ac:dyDescent="0.35">
      <c r="B8369" s="167"/>
    </row>
    <row r="8370" spans="2:2" ht="15.5" x14ac:dyDescent="0.35">
      <c r="B8370" s="167"/>
    </row>
    <row r="8371" spans="2:2" ht="15.5" x14ac:dyDescent="0.35">
      <c r="B8371" s="167"/>
    </row>
    <row r="8372" spans="2:2" ht="15.5" x14ac:dyDescent="0.35">
      <c r="B8372" s="167"/>
    </row>
    <row r="8373" spans="2:2" ht="15.5" x14ac:dyDescent="0.35">
      <c r="B8373" s="167"/>
    </row>
    <row r="8374" spans="2:2" ht="15.5" x14ac:dyDescent="0.35">
      <c r="B8374" s="167"/>
    </row>
    <row r="8375" spans="2:2" ht="15.5" x14ac:dyDescent="0.35">
      <c r="B8375" s="167"/>
    </row>
    <row r="8376" spans="2:2" ht="15.5" x14ac:dyDescent="0.35">
      <c r="B8376" s="167"/>
    </row>
    <row r="8377" spans="2:2" ht="15.5" x14ac:dyDescent="0.35">
      <c r="B8377" s="167"/>
    </row>
    <row r="8378" spans="2:2" ht="15.5" x14ac:dyDescent="0.35">
      <c r="B8378" s="167"/>
    </row>
    <row r="8379" spans="2:2" ht="15.5" x14ac:dyDescent="0.35">
      <c r="B8379" s="167"/>
    </row>
    <row r="8380" spans="2:2" ht="15.5" x14ac:dyDescent="0.35">
      <c r="B8380" s="167"/>
    </row>
    <row r="8381" spans="2:2" ht="15.5" x14ac:dyDescent="0.35">
      <c r="B8381" s="167"/>
    </row>
    <row r="8382" spans="2:2" ht="15.5" x14ac:dyDescent="0.35">
      <c r="B8382" s="167"/>
    </row>
    <row r="8383" spans="2:2" ht="15.5" x14ac:dyDescent="0.35">
      <c r="B8383" s="167"/>
    </row>
    <row r="8384" spans="2:2" ht="15.5" x14ac:dyDescent="0.35">
      <c r="B8384" s="167"/>
    </row>
    <row r="8385" spans="2:2" ht="15.5" x14ac:dyDescent="0.35">
      <c r="B8385" s="167"/>
    </row>
    <row r="8386" spans="2:2" ht="15.5" x14ac:dyDescent="0.35">
      <c r="B8386" s="167"/>
    </row>
    <row r="8387" spans="2:2" ht="15.5" x14ac:dyDescent="0.35">
      <c r="B8387" s="167"/>
    </row>
    <row r="8388" spans="2:2" ht="15.5" x14ac:dyDescent="0.35">
      <c r="B8388" s="167"/>
    </row>
    <row r="8389" spans="2:2" ht="15.5" x14ac:dyDescent="0.35">
      <c r="B8389" s="167"/>
    </row>
    <row r="8390" spans="2:2" ht="15.5" x14ac:dyDescent="0.35">
      <c r="B8390" s="167"/>
    </row>
    <row r="8391" spans="2:2" ht="15.5" x14ac:dyDescent="0.35">
      <c r="B8391" s="167"/>
    </row>
    <row r="8392" spans="2:2" ht="15.5" x14ac:dyDescent="0.35">
      <c r="B8392" s="167"/>
    </row>
    <row r="8393" spans="2:2" ht="15.5" x14ac:dyDescent="0.35">
      <c r="B8393" s="167"/>
    </row>
    <row r="8394" spans="2:2" ht="15.5" x14ac:dyDescent="0.35">
      <c r="B8394" s="167"/>
    </row>
    <row r="8395" spans="2:2" ht="15.5" x14ac:dyDescent="0.35">
      <c r="B8395" s="167"/>
    </row>
    <row r="8396" spans="2:2" ht="15.5" x14ac:dyDescent="0.35">
      <c r="B8396" s="167"/>
    </row>
    <row r="8397" spans="2:2" ht="15.5" x14ac:dyDescent="0.35">
      <c r="B8397" s="167"/>
    </row>
    <row r="8398" spans="2:2" ht="15.5" x14ac:dyDescent="0.35">
      <c r="B8398" s="167"/>
    </row>
    <row r="8399" spans="2:2" ht="15.5" x14ac:dyDescent="0.35">
      <c r="B8399" s="167"/>
    </row>
    <row r="8400" spans="2:2" ht="15.5" x14ac:dyDescent="0.35">
      <c r="B8400" s="167"/>
    </row>
    <row r="8401" spans="2:2" ht="15.5" x14ac:dyDescent="0.35">
      <c r="B8401" s="167"/>
    </row>
    <row r="8402" spans="2:2" ht="15.5" x14ac:dyDescent="0.35">
      <c r="B8402" s="167"/>
    </row>
    <row r="8403" spans="2:2" ht="15.5" x14ac:dyDescent="0.35">
      <c r="B8403" s="167"/>
    </row>
    <row r="8404" spans="2:2" ht="15.5" x14ac:dyDescent="0.35">
      <c r="B8404" s="167"/>
    </row>
    <row r="8405" spans="2:2" ht="15.5" x14ac:dyDescent="0.35">
      <c r="B8405" s="167"/>
    </row>
    <row r="8406" spans="2:2" ht="15.5" x14ac:dyDescent="0.35">
      <c r="B8406" s="167"/>
    </row>
    <row r="8407" spans="2:2" ht="15.5" x14ac:dyDescent="0.35">
      <c r="B8407" s="167"/>
    </row>
    <row r="8408" spans="2:2" ht="15.5" x14ac:dyDescent="0.35">
      <c r="B8408" s="167"/>
    </row>
    <row r="8409" spans="2:2" ht="15.5" x14ac:dyDescent="0.35">
      <c r="B8409" s="167"/>
    </row>
    <row r="8410" spans="2:2" ht="15.5" x14ac:dyDescent="0.35">
      <c r="B8410" s="167"/>
    </row>
    <row r="8411" spans="2:2" ht="15.5" x14ac:dyDescent="0.35">
      <c r="B8411" s="167"/>
    </row>
    <row r="8412" spans="2:2" ht="15.5" x14ac:dyDescent="0.35">
      <c r="B8412" s="167"/>
    </row>
    <row r="8413" spans="2:2" ht="15.5" x14ac:dyDescent="0.35">
      <c r="B8413" s="167"/>
    </row>
    <row r="8414" spans="2:2" ht="15.5" x14ac:dyDescent="0.35">
      <c r="B8414" s="167"/>
    </row>
    <row r="8415" spans="2:2" ht="15.5" x14ac:dyDescent="0.35">
      <c r="B8415" s="167"/>
    </row>
    <row r="8416" spans="2:2" ht="15.5" x14ac:dyDescent="0.35">
      <c r="B8416" s="167"/>
    </row>
    <row r="8417" spans="2:2" ht="15.5" x14ac:dyDescent="0.35">
      <c r="B8417" s="167"/>
    </row>
    <row r="8418" spans="2:2" ht="15.5" x14ac:dyDescent="0.35">
      <c r="B8418" s="167"/>
    </row>
    <row r="8419" spans="2:2" ht="15.5" x14ac:dyDescent="0.35">
      <c r="B8419" s="167"/>
    </row>
    <row r="8420" spans="2:2" ht="15.5" x14ac:dyDescent="0.35">
      <c r="B8420" s="167"/>
    </row>
    <row r="8421" spans="2:2" ht="15.5" x14ac:dyDescent="0.35">
      <c r="B8421" s="167"/>
    </row>
    <row r="8422" spans="2:2" ht="15.5" x14ac:dyDescent="0.35">
      <c r="B8422" s="167"/>
    </row>
    <row r="8423" spans="2:2" ht="15.5" x14ac:dyDescent="0.35">
      <c r="B8423" s="167"/>
    </row>
    <row r="8424" spans="2:2" ht="15.5" x14ac:dyDescent="0.35">
      <c r="B8424" s="167"/>
    </row>
    <row r="8425" spans="2:2" ht="15.5" x14ac:dyDescent="0.35">
      <c r="B8425" s="167"/>
    </row>
    <row r="8426" spans="2:2" ht="15.5" x14ac:dyDescent="0.35">
      <c r="B8426" s="167"/>
    </row>
    <row r="8427" spans="2:2" ht="15.5" x14ac:dyDescent="0.35">
      <c r="B8427" s="167"/>
    </row>
    <row r="8428" spans="2:2" ht="15.5" x14ac:dyDescent="0.35">
      <c r="B8428" s="167"/>
    </row>
    <row r="8429" spans="2:2" ht="15.5" x14ac:dyDescent="0.35">
      <c r="B8429" s="167"/>
    </row>
    <row r="8430" spans="2:2" ht="15.5" x14ac:dyDescent="0.35">
      <c r="B8430" s="167"/>
    </row>
    <row r="8431" spans="2:2" ht="15.5" x14ac:dyDescent="0.35">
      <c r="B8431" s="167"/>
    </row>
    <row r="8432" spans="2:2" ht="15.5" x14ac:dyDescent="0.35">
      <c r="B8432" s="167"/>
    </row>
    <row r="8433" spans="2:2" ht="15.5" x14ac:dyDescent="0.35">
      <c r="B8433" s="167"/>
    </row>
    <row r="8434" spans="2:2" ht="15.5" x14ac:dyDescent="0.35">
      <c r="B8434" s="167"/>
    </row>
    <row r="8435" spans="2:2" ht="15.5" x14ac:dyDescent="0.35">
      <c r="B8435" s="167"/>
    </row>
    <row r="8436" spans="2:2" ht="15.5" x14ac:dyDescent="0.35">
      <c r="B8436" s="167"/>
    </row>
    <row r="8437" spans="2:2" ht="15.5" x14ac:dyDescent="0.35">
      <c r="B8437" s="167"/>
    </row>
    <row r="8438" spans="2:2" ht="15.5" x14ac:dyDescent="0.35">
      <c r="B8438" s="167"/>
    </row>
    <row r="8439" spans="2:2" ht="15.5" x14ac:dyDescent="0.35">
      <c r="B8439" s="167"/>
    </row>
    <row r="8440" spans="2:2" ht="15.5" x14ac:dyDescent="0.35">
      <c r="B8440" s="167"/>
    </row>
    <row r="8441" spans="2:2" ht="15.5" x14ac:dyDescent="0.35">
      <c r="B8441" s="167"/>
    </row>
    <row r="8442" spans="2:2" ht="15.5" x14ac:dyDescent="0.35">
      <c r="B8442" s="167"/>
    </row>
    <row r="8443" spans="2:2" ht="15.5" x14ac:dyDescent="0.35">
      <c r="B8443" s="167"/>
    </row>
    <row r="8444" spans="2:2" ht="15.5" x14ac:dyDescent="0.35">
      <c r="B8444" s="167"/>
    </row>
    <row r="8445" spans="2:2" ht="15.5" x14ac:dyDescent="0.35">
      <c r="B8445" s="167"/>
    </row>
    <row r="8446" spans="2:2" ht="15.5" x14ac:dyDescent="0.35">
      <c r="B8446" s="167"/>
    </row>
    <row r="8447" spans="2:2" ht="15.5" x14ac:dyDescent="0.35">
      <c r="B8447" s="167"/>
    </row>
    <row r="8448" spans="2:2" ht="15.5" x14ac:dyDescent="0.35">
      <c r="B8448" s="167"/>
    </row>
    <row r="8449" spans="2:2" ht="15.5" x14ac:dyDescent="0.35">
      <c r="B8449" s="167"/>
    </row>
    <row r="8450" spans="2:2" ht="15.5" x14ac:dyDescent="0.35">
      <c r="B8450" s="167"/>
    </row>
    <row r="8451" spans="2:2" ht="15.5" x14ac:dyDescent="0.35">
      <c r="B8451" s="167"/>
    </row>
    <row r="8452" spans="2:2" ht="15.5" x14ac:dyDescent="0.35">
      <c r="B8452" s="167"/>
    </row>
    <row r="8453" spans="2:2" ht="15.5" x14ac:dyDescent="0.35">
      <c r="B8453" s="167"/>
    </row>
    <row r="8454" spans="2:2" ht="15.5" x14ac:dyDescent="0.35">
      <c r="B8454" s="167"/>
    </row>
    <row r="8455" spans="2:2" ht="15.5" x14ac:dyDescent="0.35">
      <c r="B8455" s="167"/>
    </row>
    <row r="8456" spans="2:2" ht="15.5" x14ac:dyDescent="0.35">
      <c r="B8456" s="167"/>
    </row>
    <row r="8457" spans="2:2" ht="15.5" x14ac:dyDescent="0.35">
      <c r="B8457" s="167"/>
    </row>
    <row r="8458" spans="2:2" ht="15.5" x14ac:dyDescent="0.35">
      <c r="B8458" s="167"/>
    </row>
    <row r="8459" spans="2:2" ht="15.5" x14ac:dyDescent="0.35">
      <c r="B8459" s="167"/>
    </row>
    <row r="8460" spans="2:2" ht="15.5" x14ac:dyDescent="0.35">
      <c r="B8460" s="167"/>
    </row>
    <row r="8461" spans="2:2" ht="15.5" x14ac:dyDescent="0.35">
      <c r="B8461" s="167"/>
    </row>
    <row r="8462" spans="2:2" ht="15.5" x14ac:dyDescent="0.35">
      <c r="B8462" s="167"/>
    </row>
    <row r="8463" spans="2:2" ht="15.5" x14ac:dyDescent="0.35">
      <c r="B8463" s="167"/>
    </row>
    <row r="8464" spans="2:2" ht="15.5" x14ac:dyDescent="0.35">
      <c r="B8464" s="167"/>
    </row>
    <row r="8465" spans="2:2" ht="15.5" x14ac:dyDescent="0.35">
      <c r="B8465" s="167"/>
    </row>
    <row r="8466" spans="2:2" ht="15.5" x14ac:dyDescent="0.35">
      <c r="B8466" s="167"/>
    </row>
    <row r="8467" spans="2:2" ht="15.5" x14ac:dyDescent="0.35">
      <c r="B8467" s="167"/>
    </row>
    <row r="8468" spans="2:2" ht="15.5" x14ac:dyDescent="0.35">
      <c r="B8468" s="167"/>
    </row>
    <row r="8469" spans="2:2" ht="15.5" x14ac:dyDescent="0.35">
      <c r="B8469" s="167"/>
    </row>
    <row r="8470" spans="2:2" ht="15.5" x14ac:dyDescent="0.35">
      <c r="B8470" s="167"/>
    </row>
    <row r="8471" spans="2:2" ht="15.5" x14ac:dyDescent="0.35">
      <c r="B8471" s="167"/>
    </row>
    <row r="8472" spans="2:2" ht="15.5" x14ac:dyDescent="0.35">
      <c r="B8472" s="167"/>
    </row>
    <row r="8473" spans="2:2" ht="15.5" x14ac:dyDescent="0.35">
      <c r="B8473" s="167"/>
    </row>
    <row r="8474" spans="2:2" ht="15.5" x14ac:dyDescent="0.35">
      <c r="B8474" s="167"/>
    </row>
    <row r="8475" spans="2:2" ht="15.5" x14ac:dyDescent="0.35">
      <c r="B8475" s="167"/>
    </row>
    <row r="8476" spans="2:2" ht="15.5" x14ac:dyDescent="0.35">
      <c r="B8476" s="167"/>
    </row>
    <row r="8477" spans="2:2" ht="15.5" x14ac:dyDescent="0.35">
      <c r="B8477" s="167"/>
    </row>
    <row r="8478" spans="2:2" ht="15.5" x14ac:dyDescent="0.35">
      <c r="B8478" s="167"/>
    </row>
    <row r="8479" spans="2:2" ht="15.5" x14ac:dyDescent="0.35">
      <c r="B8479" s="167"/>
    </row>
    <row r="8480" spans="2:2" ht="15.5" x14ac:dyDescent="0.35">
      <c r="B8480" s="167"/>
    </row>
    <row r="8481" spans="2:2" ht="15.5" x14ac:dyDescent="0.35">
      <c r="B8481" s="167"/>
    </row>
    <row r="8482" spans="2:2" ht="15.5" x14ac:dyDescent="0.35">
      <c r="B8482" s="167"/>
    </row>
    <row r="8483" spans="2:2" ht="15.5" x14ac:dyDescent="0.35">
      <c r="B8483" s="167"/>
    </row>
    <row r="8484" spans="2:2" ht="15.5" x14ac:dyDescent="0.35">
      <c r="B8484" s="167"/>
    </row>
    <row r="8485" spans="2:2" ht="15.5" x14ac:dyDescent="0.35">
      <c r="B8485" s="167"/>
    </row>
    <row r="8486" spans="2:2" ht="15.5" x14ac:dyDescent="0.35">
      <c r="B8486" s="167"/>
    </row>
    <row r="8487" spans="2:2" ht="15.5" x14ac:dyDescent="0.35">
      <c r="B8487" s="167"/>
    </row>
    <row r="8488" spans="2:2" ht="15.5" x14ac:dyDescent="0.35">
      <c r="B8488" s="167"/>
    </row>
    <row r="8489" spans="2:2" ht="15.5" x14ac:dyDescent="0.35">
      <c r="B8489" s="167"/>
    </row>
    <row r="8490" spans="2:2" ht="15.5" x14ac:dyDescent="0.35">
      <c r="B8490" s="167"/>
    </row>
    <row r="8491" spans="2:2" ht="15.5" x14ac:dyDescent="0.35">
      <c r="B8491" s="167"/>
    </row>
    <row r="8492" spans="2:2" ht="15.5" x14ac:dyDescent="0.35">
      <c r="B8492" s="167"/>
    </row>
    <row r="8493" spans="2:2" ht="15.5" x14ac:dyDescent="0.35">
      <c r="B8493" s="167"/>
    </row>
    <row r="8494" spans="2:2" ht="15.5" x14ac:dyDescent="0.35">
      <c r="B8494" s="167"/>
    </row>
    <row r="8495" spans="2:2" ht="15.5" x14ac:dyDescent="0.35">
      <c r="B8495" s="167"/>
    </row>
    <row r="8496" spans="2:2" ht="15.5" x14ac:dyDescent="0.35">
      <c r="B8496" s="167"/>
    </row>
    <row r="8497" spans="2:2" ht="15.5" x14ac:dyDescent="0.35">
      <c r="B8497" s="167"/>
    </row>
    <row r="8498" spans="2:2" ht="15.5" x14ac:dyDescent="0.35">
      <c r="B8498" s="167"/>
    </row>
    <row r="8499" spans="2:2" ht="15.5" x14ac:dyDescent="0.35">
      <c r="B8499" s="167"/>
    </row>
    <row r="8500" spans="2:2" ht="15.5" x14ac:dyDescent="0.35">
      <c r="B8500" s="167"/>
    </row>
    <row r="8501" spans="2:2" ht="15.5" x14ac:dyDescent="0.35">
      <c r="B8501" s="167"/>
    </row>
    <row r="8502" spans="2:2" ht="15.5" x14ac:dyDescent="0.35">
      <c r="B8502" s="167"/>
    </row>
    <row r="8503" spans="2:2" ht="15.5" x14ac:dyDescent="0.35">
      <c r="B8503" s="167"/>
    </row>
    <row r="8504" spans="2:2" ht="15.5" x14ac:dyDescent="0.35">
      <c r="B8504" s="167"/>
    </row>
    <row r="8505" spans="2:2" ht="15.5" x14ac:dyDescent="0.35">
      <c r="B8505" s="167"/>
    </row>
    <row r="8506" spans="2:2" ht="15.5" x14ac:dyDescent="0.35">
      <c r="B8506" s="167"/>
    </row>
    <row r="8507" spans="2:2" ht="15.5" x14ac:dyDescent="0.35">
      <c r="B8507" s="167"/>
    </row>
    <row r="8508" spans="2:2" ht="15.5" x14ac:dyDescent="0.35">
      <c r="B8508" s="167"/>
    </row>
    <row r="8509" spans="2:2" ht="15.5" x14ac:dyDescent="0.35">
      <c r="B8509" s="167"/>
    </row>
    <row r="8510" spans="2:2" ht="15.5" x14ac:dyDescent="0.35">
      <c r="B8510" s="167"/>
    </row>
    <row r="8511" spans="2:2" ht="15.5" x14ac:dyDescent="0.35">
      <c r="B8511" s="167"/>
    </row>
    <row r="8512" spans="2:2" ht="15.5" x14ac:dyDescent="0.35">
      <c r="B8512" s="167"/>
    </row>
    <row r="8513" spans="2:2" ht="15.5" x14ac:dyDescent="0.35">
      <c r="B8513" s="167"/>
    </row>
    <row r="8514" spans="2:2" ht="15.5" x14ac:dyDescent="0.35">
      <c r="B8514" s="167"/>
    </row>
    <row r="8515" spans="2:2" ht="15.5" x14ac:dyDescent="0.35">
      <c r="B8515" s="167"/>
    </row>
    <row r="8516" spans="2:2" ht="15.5" x14ac:dyDescent="0.35">
      <c r="B8516" s="167"/>
    </row>
    <row r="8517" spans="2:2" ht="15.5" x14ac:dyDescent="0.35">
      <c r="B8517" s="167"/>
    </row>
    <row r="8518" spans="2:2" ht="15.5" x14ac:dyDescent="0.35">
      <c r="B8518" s="167"/>
    </row>
    <row r="8519" spans="2:2" ht="15.5" x14ac:dyDescent="0.35">
      <c r="B8519" s="167"/>
    </row>
    <row r="8520" spans="2:2" ht="15.5" x14ac:dyDescent="0.35">
      <c r="B8520" s="167"/>
    </row>
    <row r="8521" spans="2:2" ht="15.5" x14ac:dyDescent="0.35">
      <c r="B8521" s="167"/>
    </row>
    <row r="8522" spans="2:2" ht="15.5" x14ac:dyDescent="0.35">
      <c r="B8522" s="167"/>
    </row>
    <row r="8523" spans="2:2" ht="15.5" x14ac:dyDescent="0.35">
      <c r="B8523" s="167"/>
    </row>
    <row r="8524" spans="2:2" ht="15.5" x14ac:dyDescent="0.35">
      <c r="B8524" s="167"/>
    </row>
    <row r="8525" spans="2:2" ht="15.5" x14ac:dyDescent="0.35">
      <c r="B8525" s="167"/>
    </row>
    <row r="8526" spans="2:2" ht="15.5" x14ac:dyDescent="0.35">
      <c r="B8526" s="167"/>
    </row>
    <row r="8527" spans="2:2" ht="15.5" x14ac:dyDescent="0.35">
      <c r="B8527" s="167"/>
    </row>
    <row r="8528" spans="2:2" ht="15.5" x14ac:dyDescent="0.35">
      <c r="B8528" s="167"/>
    </row>
    <row r="8529" spans="2:2" ht="15.5" x14ac:dyDescent="0.35">
      <c r="B8529" s="167"/>
    </row>
    <row r="8530" spans="2:2" ht="15.5" x14ac:dyDescent="0.35">
      <c r="B8530" s="167"/>
    </row>
    <row r="8531" spans="2:2" ht="15.5" x14ac:dyDescent="0.35">
      <c r="B8531" s="167"/>
    </row>
    <row r="8532" spans="2:2" ht="15.5" x14ac:dyDescent="0.35">
      <c r="B8532" s="167"/>
    </row>
    <row r="8533" spans="2:2" ht="15.5" x14ac:dyDescent="0.35">
      <c r="B8533" s="167"/>
    </row>
    <row r="8534" spans="2:2" ht="15.5" x14ac:dyDescent="0.35">
      <c r="B8534" s="167"/>
    </row>
    <row r="8535" spans="2:2" ht="15.5" x14ac:dyDescent="0.35">
      <c r="B8535" s="167"/>
    </row>
    <row r="8536" spans="2:2" ht="15.5" x14ac:dyDescent="0.35">
      <c r="B8536" s="167"/>
    </row>
    <row r="8537" spans="2:2" ht="15.5" x14ac:dyDescent="0.35">
      <c r="B8537" s="167"/>
    </row>
    <row r="8538" spans="2:2" ht="15.5" x14ac:dyDescent="0.35">
      <c r="B8538" s="167"/>
    </row>
    <row r="8539" spans="2:2" ht="15.5" x14ac:dyDescent="0.35">
      <c r="B8539" s="167"/>
    </row>
    <row r="8540" spans="2:2" ht="15.5" x14ac:dyDescent="0.35">
      <c r="B8540" s="167"/>
    </row>
    <row r="8541" spans="2:2" ht="15.5" x14ac:dyDescent="0.35">
      <c r="B8541" s="167"/>
    </row>
    <row r="8542" spans="2:2" ht="15.5" x14ac:dyDescent="0.35">
      <c r="B8542" s="167"/>
    </row>
    <row r="8543" spans="2:2" ht="15.5" x14ac:dyDescent="0.35">
      <c r="B8543" s="167"/>
    </row>
    <row r="8544" spans="2:2" ht="15.5" x14ac:dyDescent="0.35">
      <c r="B8544" s="167"/>
    </row>
    <row r="8545" spans="2:2" ht="15.5" x14ac:dyDescent="0.35">
      <c r="B8545" s="167"/>
    </row>
    <row r="8546" spans="2:2" ht="15.5" x14ac:dyDescent="0.35">
      <c r="B8546" s="167"/>
    </row>
    <row r="8547" spans="2:2" ht="15.5" x14ac:dyDescent="0.35">
      <c r="B8547" s="167"/>
    </row>
    <row r="8548" spans="2:2" ht="15.5" x14ac:dyDescent="0.35">
      <c r="B8548" s="167"/>
    </row>
    <row r="8549" spans="2:2" ht="15.5" x14ac:dyDescent="0.35">
      <c r="B8549" s="167"/>
    </row>
    <row r="8550" spans="2:2" ht="15.5" x14ac:dyDescent="0.35">
      <c r="B8550" s="167"/>
    </row>
    <row r="8551" spans="2:2" ht="15.5" x14ac:dyDescent="0.35">
      <c r="B8551" s="167"/>
    </row>
    <row r="8552" spans="2:2" ht="15.5" x14ac:dyDescent="0.35">
      <c r="B8552" s="167"/>
    </row>
    <row r="8553" spans="2:2" ht="15.5" x14ac:dyDescent="0.35">
      <c r="B8553" s="167"/>
    </row>
    <row r="8554" spans="2:2" ht="15.5" x14ac:dyDescent="0.35">
      <c r="B8554" s="167"/>
    </row>
    <row r="8555" spans="2:2" ht="15.5" x14ac:dyDescent="0.35">
      <c r="B8555" s="167"/>
    </row>
    <row r="8556" spans="2:2" ht="15.5" x14ac:dyDescent="0.35">
      <c r="B8556" s="167"/>
    </row>
    <row r="8557" spans="2:2" ht="15.5" x14ac:dyDescent="0.35">
      <c r="B8557" s="167"/>
    </row>
    <row r="8558" spans="2:2" ht="15.5" x14ac:dyDescent="0.35">
      <c r="B8558" s="167"/>
    </row>
    <row r="8559" spans="2:2" ht="15.5" x14ac:dyDescent="0.35">
      <c r="B8559" s="167"/>
    </row>
    <row r="8560" spans="2:2" ht="15.5" x14ac:dyDescent="0.35">
      <c r="B8560" s="167"/>
    </row>
    <row r="8561" spans="2:2" ht="15.5" x14ac:dyDescent="0.35">
      <c r="B8561" s="167"/>
    </row>
    <row r="8562" spans="2:2" ht="15.5" x14ac:dyDescent="0.35">
      <c r="B8562" s="167"/>
    </row>
    <row r="8563" spans="2:2" ht="15.5" x14ac:dyDescent="0.35">
      <c r="B8563" s="167"/>
    </row>
    <row r="8564" spans="2:2" ht="15.5" x14ac:dyDescent="0.35">
      <c r="B8564" s="167"/>
    </row>
    <row r="8565" spans="2:2" ht="15.5" x14ac:dyDescent="0.35">
      <c r="B8565" s="167"/>
    </row>
    <row r="8566" spans="2:2" ht="15.5" x14ac:dyDescent="0.35">
      <c r="B8566" s="167"/>
    </row>
    <row r="8567" spans="2:2" ht="15.5" x14ac:dyDescent="0.35">
      <c r="B8567" s="167"/>
    </row>
    <row r="8568" spans="2:2" ht="15.5" x14ac:dyDescent="0.35">
      <c r="B8568" s="167"/>
    </row>
    <row r="8569" spans="2:2" ht="15.5" x14ac:dyDescent="0.35">
      <c r="B8569" s="167"/>
    </row>
    <row r="8570" spans="2:2" ht="15.5" x14ac:dyDescent="0.35">
      <c r="B8570" s="167"/>
    </row>
    <row r="8571" spans="2:2" ht="15.5" x14ac:dyDescent="0.35">
      <c r="B8571" s="167"/>
    </row>
    <row r="8572" spans="2:2" ht="15.5" x14ac:dyDescent="0.35">
      <c r="B8572" s="167"/>
    </row>
    <row r="8573" spans="2:2" ht="15.5" x14ac:dyDescent="0.35">
      <c r="B8573" s="167"/>
    </row>
    <row r="8574" spans="2:2" ht="15.5" x14ac:dyDescent="0.35">
      <c r="B8574" s="167"/>
    </row>
    <row r="8575" spans="2:2" ht="15.5" x14ac:dyDescent="0.35">
      <c r="B8575" s="167"/>
    </row>
    <row r="8576" spans="2:2" ht="15.5" x14ac:dyDescent="0.35">
      <c r="B8576" s="167"/>
    </row>
    <row r="8577" spans="2:2" ht="15.5" x14ac:dyDescent="0.35">
      <c r="B8577" s="167"/>
    </row>
    <row r="8578" spans="2:2" ht="15.5" x14ac:dyDescent="0.35">
      <c r="B8578" s="167"/>
    </row>
    <row r="8579" spans="2:2" ht="15.5" x14ac:dyDescent="0.35">
      <c r="B8579" s="167"/>
    </row>
    <row r="8580" spans="2:2" ht="15.5" x14ac:dyDescent="0.35">
      <c r="B8580" s="167"/>
    </row>
    <row r="8581" spans="2:2" ht="15.5" x14ac:dyDescent="0.35">
      <c r="B8581" s="167"/>
    </row>
    <row r="8582" spans="2:2" ht="15.5" x14ac:dyDescent="0.35">
      <c r="B8582" s="167"/>
    </row>
    <row r="8583" spans="2:2" ht="15.5" x14ac:dyDescent="0.35">
      <c r="B8583" s="167"/>
    </row>
    <row r="8584" spans="2:2" ht="15.5" x14ac:dyDescent="0.35">
      <c r="B8584" s="167"/>
    </row>
    <row r="8585" spans="2:2" ht="15.5" x14ac:dyDescent="0.35">
      <c r="B8585" s="167"/>
    </row>
    <row r="8586" spans="2:2" ht="15.5" x14ac:dyDescent="0.35">
      <c r="B8586" s="167"/>
    </row>
    <row r="8587" spans="2:2" ht="15.5" x14ac:dyDescent="0.35">
      <c r="B8587" s="167"/>
    </row>
    <row r="8588" spans="2:2" ht="15.5" x14ac:dyDescent="0.35">
      <c r="B8588" s="167"/>
    </row>
    <row r="8589" spans="2:2" ht="15.5" x14ac:dyDescent="0.35">
      <c r="B8589" s="167"/>
    </row>
    <row r="8590" spans="2:2" ht="15.5" x14ac:dyDescent="0.35">
      <c r="B8590" s="167"/>
    </row>
    <row r="8591" spans="2:2" ht="15.5" x14ac:dyDescent="0.35">
      <c r="B8591" s="167"/>
    </row>
    <row r="8592" spans="2:2" ht="15.5" x14ac:dyDescent="0.35">
      <c r="B8592" s="167"/>
    </row>
    <row r="8593" spans="2:2" ht="15.5" x14ac:dyDescent="0.35">
      <c r="B8593" s="167"/>
    </row>
    <row r="8594" spans="2:2" ht="15.5" x14ac:dyDescent="0.35">
      <c r="B8594" s="167"/>
    </row>
    <row r="8595" spans="2:2" ht="15.5" x14ac:dyDescent="0.35">
      <c r="B8595" s="167"/>
    </row>
    <row r="8596" spans="2:2" ht="15.5" x14ac:dyDescent="0.35">
      <c r="B8596" s="167"/>
    </row>
    <row r="8597" spans="2:2" ht="15.5" x14ac:dyDescent="0.35">
      <c r="B8597" s="167"/>
    </row>
    <row r="8598" spans="2:2" ht="15.5" x14ac:dyDescent="0.35">
      <c r="B8598" s="167"/>
    </row>
    <row r="8599" spans="2:2" ht="15.5" x14ac:dyDescent="0.35">
      <c r="B8599" s="167"/>
    </row>
    <row r="8600" spans="2:2" ht="15.5" x14ac:dyDescent="0.35">
      <c r="B8600" s="167"/>
    </row>
    <row r="8601" spans="2:2" ht="15.5" x14ac:dyDescent="0.35">
      <c r="B8601" s="167"/>
    </row>
    <row r="8602" spans="2:2" ht="15.5" x14ac:dyDescent="0.35">
      <c r="B8602" s="167"/>
    </row>
    <row r="8603" spans="2:2" ht="15.5" x14ac:dyDescent="0.35">
      <c r="B8603" s="167"/>
    </row>
    <row r="8604" spans="2:2" ht="15.5" x14ac:dyDescent="0.35">
      <c r="B8604" s="167"/>
    </row>
    <row r="8605" spans="2:2" ht="15.5" x14ac:dyDescent="0.35">
      <c r="B8605" s="167"/>
    </row>
    <row r="8606" spans="2:2" ht="15.5" x14ac:dyDescent="0.35">
      <c r="B8606" s="167"/>
    </row>
    <row r="8607" spans="2:2" ht="15.5" x14ac:dyDescent="0.35">
      <c r="B8607" s="167"/>
    </row>
    <row r="8608" spans="2:2" ht="15.5" x14ac:dyDescent="0.35">
      <c r="B8608" s="167"/>
    </row>
    <row r="8609" spans="2:2" ht="15.5" x14ac:dyDescent="0.35">
      <c r="B8609" s="167"/>
    </row>
    <row r="8610" spans="2:2" ht="15.5" x14ac:dyDescent="0.35">
      <c r="B8610" s="167"/>
    </row>
    <row r="8611" spans="2:2" ht="15.5" x14ac:dyDescent="0.35">
      <c r="B8611" s="167"/>
    </row>
    <row r="8612" spans="2:2" ht="15.5" x14ac:dyDescent="0.35">
      <c r="B8612" s="167"/>
    </row>
    <row r="8613" spans="2:2" ht="15.5" x14ac:dyDescent="0.35">
      <c r="B8613" s="167"/>
    </row>
    <row r="8614" spans="2:2" ht="15.5" x14ac:dyDescent="0.35">
      <c r="B8614" s="167"/>
    </row>
    <row r="8615" spans="2:2" ht="15.5" x14ac:dyDescent="0.35">
      <c r="B8615" s="167"/>
    </row>
    <row r="8616" spans="2:2" ht="15.5" x14ac:dyDescent="0.35">
      <c r="B8616" s="167"/>
    </row>
    <row r="8617" spans="2:2" ht="15.5" x14ac:dyDescent="0.35">
      <c r="B8617" s="167"/>
    </row>
    <row r="8618" spans="2:2" ht="15.5" x14ac:dyDescent="0.35">
      <c r="B8618" s="167"/>
    </row>
    <row r="8619" spans="2:2" ht="15.5" x14ac:dyDescent="0.35">
      <c r="B8619" s="167"/>
    </row>
    <row r="8620" spans="2:2" ht="15.5" x14ac:dyDescent="0.35">
      <c r="B8620" s="167"/>
    </row>
    <row r="8621" spans="2:2" ht="15.5" x14ac:dyDescent="0.35">
      <c r="B8621" s="167"/>
    </row>
    <row r="8622" spans="2:2" ht="15.5" x14ac:dyDescent="0.35">
      <c r="B8622" s="167"/>
    </row>
    <row r="8623" spans="2:2" ht="15.5" x14ac:dyDescent="0.35">
      <c r="B8623" s="167"/>
    </row>
    <row r="8624" spans="2:2" ht="15.5" x14ac:dyDescent="0.35">
      <c r="B8624" s="167"/>
    </row>
    <row r="8625" spans="2:2" ht="15.5" x14ac:dyDescent="0.35">
      <c r="B8625" s="167"/>
    </row>
    <row r="8626" spans="2:2" ht="15.5" x14ac:dyDescent="0.35">
      <c r="B8626" s="167"/>
    </row>
    <row r="8627" spans="2:2" ht="15.5" x14ac:dyDescent="0.35">
      <c r="B8627" s="167"/>
    </row>
    <row r="8628" spans="2:2" ht="15.5" x14ac:dyDescent="0.35">
      <c r="B8628" s="167"/>
    </row>
    <row r="8629" spans="2:2" ht="15.5" x14ac:dyDescent="0.35">
      <c r="B8629" s="167"/>
    </row>
    <row r="8630" spans="2:2" ht="15.5" x14ac:dyDescent="0.35">
      <c r="B8630" s="167"/>
    </row>
    <row r="8631" spans="2:2" ht="15.5" x14ac:dyDescent="0.35">
      <c r="B8631" s="167"/>
    </row>
    <row r="8632" spans="2:2" ht="15.5" x14ac:dyDescent="0.35">
      <c r="B8632" s="167"/>
    </row>
    <row r="8633" spans="2:2" ht="15.5" x14ac:dyDescent="0.35">
      <c r="B8633" s="167"/>
    </row>
    <row r="8634" spans="2:2" ht="15.5" x14ac:dyDescent="0.35">
      <c r="B8634" s="167"/>
    </row>
    <row r="8635" spans="2:2" ht="15.5" x14ac:dyDescent="0.35">
      <c r="B8635" s="167"/>
    </row>
    <row r="8636" spans="2:2" ht="15.5" x14ac:dyDescent="0.35">
      <c r="B8636" s="167"/>
    </row>
    <row r="8637" spans="2:2" ht="15.5" x14ac:dyDescent="0.35">
      <c r="B8637" s="167"/>
    </row>
    <row r="8638" spans="2:2" ht="15.5" x14ac:dyDescent="0.35">
      <c r="B8638" s="167"/>
    </row>
    <row r="8639" spans="2:2" ht="15.5" x14ac:dyDescent="0.35">
      <c r="B8639" s="167"/>
    </row>
    <row r="8640" spans="2:2" ht="15.5" x14ac:dyDescent="0.35">
      <c r="B8640" s="167"/>
    </row>
    <row r="8641" spans="2:2" ht="15.5" x14ac:dyDescent="0.35">
      <c r="B8641" s="167"/>
    </row>
    <row r="8642" spans="2:2" ht="15.5" x14ac:dyDescent="0.35">
      <c r="B8642" s="167"/>
    </row>
    <row r="8643" spans="2:2" ht="15.5" x14ac:dyDescent="0.35">
      <c r="B8643" s="167"/>
    </row>
    <row r="8644" spans="2:2" ht="15.5" x14ac:dyDescent="0.35">
      <c r="B8644" s="167"/>
    </row>
    <row r="8645" spans="2:2" ht="15.5" x14ac:dyDescent="0.35">
      <c r="B8645" s="167"/>
    </row>
    <row r="8646" spans="2:2" ht="15.5" x14ac:dyDescent="0.35">
      <c r="B8646" s="167"/>
    </row>
    <row r="8647" spans="2:2" ht="15.5" x14ac:dyDescent="0.35">
      <c r="B8647" s="167"/>
    </row>
    <row r="8648" spans="2:2" ht="15.5" x14ac:dyDescent="0.35">
      <c r="B8648" s="167"/>
    </row>
    <row r="8649" spans="2:2" ht="15.5" x14ac:dyDescent="0.35">
      <c r="B8649" s="167"/>
    </row>
    <row r="8650" spans="2:2" ht="15.5" x14ac:dyDescent="0.35">
      <c r="B8650" s="167"/>
    </row>
    <row r="8651" spans="2:2" ht="15.5" x14ac:dyDescent="0.35">
      <c r="B8651" s="167"/>
    </row>
    <row r="8652" spans="2:2" ht="15.5" x14ac:dyDescent="0.35">
      <c r="B8652" s="167"/>
    </row>
    <row r="8653" spans="2:2" ht="15.5" x14ac:dyDescent="0.35">
      <c r="B8653" s="167"/>
    </row>
    <row r="8654" spans="2:2" ht="15.5" x14ac:dyDescent="0.35">
      <c r="B8654" s="167"/>
    </row>
    <row r="8655" spans="2:2" ht="15.5" x14ac:dyDescent="0.35">
      <c r="B8655" s="167"/>
    </row>
    <row r="8656" spans="2:2" ht="15.5" x14ac:dyDescent="0.35">
      <c r="B8656" s="167"/>
    </row>
    <row r="8657" spans="2:2" ht="15.5" x14ac:dyDescent="0.35">
      <c r="B8657" s="167"/>
    </row>
    <row r="8658" spans="2:2" ht="15.5" x14ac:dyDescent="0.35">
      <c r="B8658" s="167"/>
    </row>
    <row r="8659" spans="2:2" ht="15.5" x14ac:dyDescent="0.35">
      <c r="B8659" s="167"/>
    </row>
    <row r="8660" spans="2:2" ht="15.5" x14ac:dyDescent="0.35">
      <c r="B8660" s="167"/>
    </row>
    <row r="8661" spans="2:2" ht="15.5" x14ac:dyDescent="0.35">
      <c r="B8661" s="167"/>
    </row>
    <row r="8662" spans="2:2" ht="15.5" x14ac:dyDescent="0.35">
      <c r="B8662" s="167"/>
    </row>
    <row r="8663" spans="2:2" ht="15.5" x14ac:dyDescent="0.35">
      <c r="B8663" s="167"/>
    </row>
    <row r="8664" spans="2:2" ht="15.5" x14ac:dyDescent="0.35">
      <c r="B8664" s="167"/>
    </row>
    <row r="8665" spans="2:2" ht="15.5" x14ac:dyDescent="0.35">
      <c r="B8665" s="167"/>
    </row>
    <row r="8666" spans="2:2" ht="15.5" x14ac:dyDescent="0.35">
      <c r="B8666" s="167"/>
    </row>
    <row r="8667" spans="2:2" ht="15.5" x14ac:dyDescent="0.35">
      <c r="B8667" s="167"/>
    </row>
    <row r="8668" spans="2:2" ht="15.5" x14ac:dyDescent="0.35">
      <c r="B8668" s="167"/>
    </row>
    <row r="8669" spans="2:2" ht="15.5" x14ac:dyDescent="0.35">
      <c r="B8669" s="167"/>
    </row>
    <row r="8670" spans="2:2" ht="15.5" x14ac:dyDescent="0.35">
      <c r="B8670" s="167"/>
    </row>
    <row r="8671" spans="2:2" ht="15.5" x14ac:dyDescent="0.35">
      <c r="B8671" s="167"/>
    </row>
    <row r="8672" spans="2:2" ht="15.5" x14ac:dyDescent="0.35">
      <c r="B8672" s="167"/>
    </row>
    <row r="8673" spans="2:2" ht="15.5" x14ac:dyDescent="0.35">
      <c r="B8673" s="167"/>
    </row>
    <row r="8674" spans="2:2" ht="15.5" x14ac:dyDescent="0.35">
      <c r="B8674" s="167"/>
    </row>
    <row r="8675" spans="2:2" ht="15.5" x14ac:dyDescent="0.35">
      <c r="B8675" s="167"/>
    </row>
    <row r="8676" spans="2:2" ht="15.5" x14ac:dyDescent="0.35">
      <c r="B8676" s="167"/>
    </row>
    <row r="8677" spans="2:2" ht="15.5" x14ac:dyDescent="0.35">
      <c r="B8677" s="167"/>
    </row>
    <row r="8678" spans="2:2" ht="15.5" x14ac:dyDescent="0.35">
      <c r="B8678" s="167"/>
    </row>
    <row r="8679" spans="2:2" ht="15.5" x14ac:dyDescent="0.35">
      <c r="B8679" s="167"/>
    </row>
    <row r="8680" spans="2:2" ht="15.5" x14ac:dyDescent="0.35">
      <c r="B8680" s="167"/>
    </row>
    <row r="8681" spans="2:2" ht="15.5" x14ac:dyDescent="0.35">
      <c r="B8681" s="167"/>
    </row>
    <row r="8682" spans="2:2" ht="15.5" x14ac:dyDescent="0.35">
      <c r="B8682" s="167"/>
    </row>
    <row r="8683" spans="2:2" ht="15.5" x14ac:dyDescent="0.35">
      <c r="B8683" s="167"/>
    </row>
    <row r="8684" spans="2:2" ht="15.5" x14ac:dyDescent="0.35">
      <c r="B8684" s="167"/>
    </row>
    <row r="8685" spans="2:2" ht="15.5" x14ac:dyDescent="0.35">
      <c r="B8685" s="167"/>
    </row>
    <row r="8686" spans="2:2" ht="15.5" x14ac:dyDescent="0.35">
      <c r="B8686" s="167"/>
    </row>
    <row r="8687" spans="2:2" ht="15.5" x14ac:dyDescent="0.35">
      <c r="B8687" s="167"/>
    </row>
    <row r="8688" spans="2:2" ht="15.5" x14ac:dyDescent="0.35">
      <c r="B8688" s="167"/>
    </row>
    <row r="8689" spans="2:2" ht="15.5" x14ac:dyDescent="0.35">
      <c r="B8689" s="167"/>
    </row>
    <row r="8690" spans="2:2" ht="15.5" x14ac:dyDescent="0.35">
      <c r="B8690" s="167"/>
    </row>
    <row r="8691" spans="2:2" ht="15.5" x14ac:dyDescent="0.35">
      <c r="B8691" s="167"/>
    </row>
    <row r="8692" spans="2:2" ht="15.5" x14ac:dyDescent="0.35">
      <c r="B8692" s="167"/>
    </row>
    <row r="8693" spans="2:2" ht="15.5" x14ac:dyDescent="0.35">
      <c r="B8693" s="167"/>
    </row>
    <row r="8694" spans="2:2" ht="15.5" x14ac:dyDescent="0.35">
      <c r="B8694" s="167"/>
    </row>
    <row r="8695" spans="2:2" ht="15.5" x14ac:dyDescent="0.35">
      <c r="B8695" s="167"/>
    </row>
    <row r="8696" spans="2:2" ht="15.5" x14ac:dyDescent="0.35">
      <c r="B8696" s="167"/>
    </row>
    <row r="8697" spans="2:2" ht="15.5" x14ac:dyDescent="0.35">
      <c r="B8697" s="167"/>
    </row>
    <row r="8698" spans="2:2" ht="15.5" x14ac:dyDescent="0.35">
      <c r="B8698" s="167"/>
    </row>
    <row r="8699" spans="2:2" ht="15.5" x14ac:dyDescent="0.35">
      <c r="B8699" s="167"/>
    </row>
    <row r="8700" spans="2:2" ht="15.5" x14ac:dyDescent="0.35">
      <c r="B8700" s="167"/>
    </row>
    <row r="8701" spans="2:2" ht="15.5" x14ac:dyDescent="0.35">
      <c r="B8701" s="167"/>
    </row>
    <row r="8702" spans="2:2" ht="15.5" x14ac:dyDescent="0.35">
      <c r="B8702" s="167"/>
    </row>
    <row r="8703" spans="2:2" ht="15.5" x14ac:dyDescent="0.35">
      <c r="B8703" s="167"/>
    </row>
    <row r="8704" spans="2:2" ht="15.5" x14ac:dyDescent="0.35">
      <c r="B8704" s="167"/>
    </row>
    <row r="8705" spans="2:2" ht="15.5" x14ac:dyDescent="0.35">
      <c r="B8705" s="167"/>
    </row>
    <row r="8706" spans="2:2" ht="15.5" x14ac:dyDescent="0.35">
      <c r="B8706" s="167"/>
    </row>
    <row r="8707" spans="2:2" ht="15.5" x14ac:dyDescent="0.35">
      <c r="B8707" s="167"/>
    </row>
    <row r="8708" spans="2:2" ht="15.5" x14ac:dyDescent="0.35">
      <c r="B8708" s="167"/>
    </row>
    <row r="8709" spans="2:2" ht="15.5" x14ac:dyDescent="0.35">
      <c r="B8709" s="167"/>
    </row>
    <row r="8710" spans="2:2" ht="15.5" x14ac:dyDescent="0.35">
      <c r="B8710" s="167"/>
    </row>
    <row r="8711" spans="2:2" ht="15.5" x14ac:dyDescent="0.35">
      <c r="B8711" s="167"/>
    </row>
    <row r="8712" spans="2:2" ht="15.5" x14ac:dyDescent="0.35">
      <c r="B8712" s="167"/>
    </row>
    <row r="8713" spans="2:2" ht="15.5" x14ac:dyDescent="0.35">
      <c r="B8713" s="167"/>
    </row>
    <row r="8714" spans="2:2" ht="15.5" x14ac:dyDescent="0.35">
      <c r="B8714" s="167"/>
    </row>
    <row r="8715" spans="2:2" ht="15.5" x14ac:dyDescent="0.35">
      <c r="B8715" s="167"/>
    </row>
    <row r="8716" spans="2:2" ht="15.5" x14ac:dyDescent="0.35">
      <c r="B8716" s="167"/>
    </row>
    <row r="8717" spans="2:2" ht="15.5" x14ac:dyDescent="0.35">
      <c r="B8717" s="167"/>
    </row>
    <row r="8718" spans="2:2" ht="15.5" x14ac:dyDescent="0.35">
      <c r="B8718" s="167"/>
    </row>
    <row r="8719" spans="2:2" ht="15.5" x14ac:dyDescent="0.35">
      <c r="B8719" s="167"/>
    </row>
    <row r="8720" spans="2:2" ht="15.5" x14ac:dyDescent="0.35">
      <c r="B8720" s="167"/>
    </row>
    <row r="8721" spans="2:2" ht="15.5" x14ac:dyDescent="0.35">
      <c r="B8721" s="167"/>
    </row>
    <row r="8722" spans="2:2" ht="15.5" x14ac:dyDescent="0.35">
      <c r="B8722" s="167"/>
    </row>
    <row r="8723" spans="2:2" ht="15.5" x14ac:dyDescent="0.35">
      <c r="B8723" s="167"/>
    </row>
    <row r="8724" spans="2:2" ht="15.5" x14ac:dyDescent="0.35">
      <c r="B8724" s="167"/>
    </row>
    <row r="8725" spans="2:2" ht="15.5" x14ac:dyDescent="0.35">
      <c r="B8725" s="167"/>
    </row>
    <row r="8726" spans="2:2" ht="15.5" x14ac:dyDescent="0.35">
      <c r="B8726" s="167"/>
    </row>
    <row r="8727" spans="2:2" ht="15.5" x14ac:dyDescent="0.35">
      <c r="B8727" s="167"/>
    </row>
    <row r="8728" spans="2:2" ht="15.5" x14ac:dyDescent="0.35">
      <c r="B8728" s="167"/>
    </row>
    <row r="8729" spans="2:2" ht="15.5" x14ac:dyDescent="0.35">
      <c r="B8729" s="167"/>
    </row>
    <row r="8730" spans="2:2" ht="15.5" x14ac:dyDescent="0.35">
      <c r="B8730" s="167"/>
    </row>
    <row r="8731" spans="2:2" ht="15.5" x14ac:dyDescent="0.35">
      <c r="B8731" s="167"/>
    </row>
    <row r="8732" spans="2:2" ht="15.5" x14ac:dyDescent="0.35">
      <c r="B8732" s="167"/>
    </row>
    <row r="8733" spans="2:2" ht="15.5" x14ac:dyDescent="0.35">
      <c r="B8733" s="167"/>
    </row>
    <row r="8734" spans="2:2" ht="15.5" x14ac:dyDescent="0.35">
      <c r="B8734" s="167"/>
    </row>
    <row r="8735" spans="2:2" ht="15.5" x14ac:dyDescent="0.35">
      <c r="B8735" s="167"/>
    </row>
    <row r="8736" spans="2:2" ht="15.5" x14ac:dyDescent="0.35">
      <c r="B8736" s="167"/>
    </row>
    <row r="8737" spans="2:2" ht="15.5" x14ac:dyDescent="0.35">
      <c r="B8737" s="167"/>
    </row>
    <row r="8738" spans="2:2" ht="15.5" x14ac:dyDescent="0.35">
      <c r="B8738" s="167"/>
    </row>
    <row r="8739" spans="2:2" ht="15.5" x14ac:dyDescent="0.35">
      <c r="B8739" s="167"/>
    </row>
    <row r="8740" spans="2:2" ht="15.5" x14ac:dyDescent="0.35">
      <c r="B8740" s="167"/>
    </row>
    <row r="8741" spans="2:2" ht="15.5" x14ac:dyDescent="0.35">
      <c r="B8741" s="167"/>
    </row>
    <row r="8742" spans="2:2" ht="15.5" x14ac:dyDescent="0.35">
      <c r="B8742" s="167"/>
    </row>
    <row r="8743" spans="2:2" ht="15.5" x14ac:dyDescent="0.35">
      <c r="B8743" s="167"/>
    </row>
    <row r="8744" spans="2:2" ht="15.5" x14ac:dyDescent="0.35">
      <c r="B8744" s="167"/>
    </row>
    <row r="8745" spans="2:2" ht="15.5" x14ac:dyDescent="0.35">
      <c r="B8745" s="167"/>
    </row>
    <row r="8746" spans="2:2" ht="15.5" x14ac:dyDescent="0.35">
      <c r="B8746" s="167"/>
    </row>
    <row r="8747" spans="2:2" ht="15.5" x14ac:dyDescent="0.35">
      <c r="B8747" s="167"/>
    </row>
    <row r="8748" spans="2:2" ht="15.5" x14ac:dyDescent="0.35">
      <c r="B8748" s="167"/>
    </row>
    <row r="8749" spans="2:2" ht="15.5" x14ac:dyDescent="0.35">
      <c r="B8749" s="167"/>
    </row>
    <row r="8750" spans="2:2" ht="15.5" x14ac:dyDescent="0.35">
      <c r="B8750" s="167"/>
    </row>
    <row r="8751" spans="2:2" ht="15.5" x14ac:dyDescent="0.35">
      <c r="B8751" s="167"/>
    </row>
    <row r="8752" spans="2:2" ht="15.5" x14ac:dyDescent="0.35">
      <c r="B8752" s="167"/>
    </row>
    <row r="8753" spans="2:2" ht="15.5" x14ac:dyDescent="0.35">
      <c r="B8753" s="167"/>
    </row>
    <row r="8754" spans="2:2" ht="15.5" x14ac:dyDescent="0.35">
      <c r="B8754" s="167"/>
    </row>
    <row r="8755" spans="2:2" ht="15.5" x14ac:dyDescent="0.35">
      <c r="B8755" s="167"/>
    </row>
    <row r="8756" spans="2:2" ht="15.5" x14ac:dyDescent="0.35">
      <c r="B8756" s="167"/>
    </row>
    <row r="8757" spans="2:2" ht="15.5" x14ac:dyDescent="0.35">
      <c r="B8757" s="167"/>
    </row>
    <row r="8758" spans="2:2" ht="15.5" x14ac:dyDescent="0.35">
      <c r="B8758" s="167"/>
    </row>
    <row r="8759" spans="2:2" ht="15.5" x14ac:dyDescent="0.35">
      <c r="B8759" s="167"/>
    </row>
    <row r="8760" spans="2:2" ht="15.5" x14ac:dyDescent="0.35">
      <c r="B8760" s="167"/>
    </row>
    <row r="8761" spans="2:2" ht="15.5" x14ac:dyDescent="0.35">
      <c r="B8761" s="167"/>
    </row>
    <row r="8762" spans="2:2" ht="15.5" x14ac:dyDescent="0.35">
      <c r="B8762" s="167"/>
    </row>
    <row r="8763" spans="2:2" ht="15.5" x14ac:dyDescent="0.35">
      <c r="B8763" s="167"/>
    </row>
    <row r="8764" spans="2:2" ht="15.5" x14ac:dyDescent="0.35">
      <c r="B8764" s="167"/>
    </row>
    <row r="8765" spans="2:2" ht="15.5" x14ac:dyDescent="0.35">
      <c r="B8765" s="167"/>
    </row>
    <row r="8766" spans="2:2" ht="15.5" x14ac:dyDescent="0.35">
      <c r="B8766" s="167"/>
    </row>
    <row r="8767" spans="2:2" ht="15.5" x14ac:dyDescent="0.35">
      <c r="B8767" s="167"/>
    </row>
    <row r="8768" spans="2:2" ht="15.5" x14ac:dyDescent="0.35">
      <c r="B8768" s="167"/>
    </row>
    <row r="8769" spans="2:2" ht="15.5" x14ac:dyDescent="0.35">
      <c r="B8769" s="167"/>
    </row>
    <row r="8770" spans="2:2" ht="15.5" x14ac:dyDescent="0.35">
      <c r="B8770" s="167"/>
    </row>
    <row r="8771" spans="2:2" ht="15.5" x14ac:dyDescent="0.35">
      <c r="B8771" s="167"/>
    </row>
    <row r="8772" spans="2:2" ht="15.5" x14ac:dyDescent="0.35">
      <c r="B8772" s="167"/>
    </row>
    <row r="8773" spans="2:2" ht="15.5" x14ac:dyDescent="0.35">
      <c r="B8773" s="167"/>
    </row>
    <row r="8774" spans="2:2" ht="15.5" x14ac:dyDescent="0.35">
      <c r="B8774" s="167"/>
    </row>
    <row r="8775" spans="2:2" ht="15.5" x14ac:dyDescent="0.35">
      <c r="B8775" s="167"/>
    </row>
    <row r="8776" spans="2:2" ht="15.5" x14ac:dyDescent="0.35">
      <c r="B8776" s="167"/>
    </row>
    <row r="8777" spans="2:2" ht="15.5" x14ac:dyDescent="0.35">
      <c r="B8777" s="167"/>
    </row>
    <row r="8778" spans="2:2" ht="15.5" x14ac:dyDescent="0.35">
      <c r="B8778" s="167"/>
    </row>
    <row r="8779" spans="2:2" ht="15.5" x14ac:dyDescent="0.35">
      <c r="B8779" s="167"/>
    </row>
    <row r="8780" spans="2:2" ht="15.5" x14ac:dyDescent="0.35">
      <c r="B8780" s="167"/>
    </row>
    <row r="8781" spans="2:2" ht="15.5" x14ac:dyDescent="0.35">
      <c r="B8781" s="167"/>
    </row>
    <row r="8782" spans="2:2" ht="15.5" x14ac:dyDescent="0.35">
      <c r="B8782" s="167"/>
    </row>
    <row r="8783" spans="2:2" ht="15.5" x14ac:dyDescent="0.35">
      <c r="B8783" s="167"/>
    </row>
    <row r="8784" spans="2:2" ht="15.5" x14ac:dyDescent="0.35">
      <c r="B8784" s="167"/>
    </row>
    <row r="8785" spans="2:2" ht="15.5" x14ac:dyDescent="0.35">
      <c r="B8785" s="167"/>
    </row>
    <row r="8786" spans="2:2" ht="15.5" x14ac:dyDescent="0.35">
      <c r="B8786" s="167"/>
    </row>
    <row r="8787" spans="2:2" ht="15.5" x14ac:dyDescent="0.35">
      <c r="B8787" s="167"/>
    </row>
    <row r="8788" spans="2:2" ht="15.5" x14ac:dyDescent="0.35">
      <c r="B8788" s="167"/>
    </row>
    <row r="8789" spans="2:2" ht="15.5" x14ac:dyDescent="0.35">
      <c r="B8789" s="167"/>
    </row>
    <row r="8790" spans="2:2" ht="15.5" x14ac:dyDescent="0.35">
      <c r="B8790" s="167"/>
    </row>
    <row r="8791" spans="2:2" ht="15.5" x14ac:dyDescent="0.35">
      <c r="B8791" s="167"/>
    </row>
    <row r="8792" spans="2:2" ht="15.5" x14ac:dyDescent="0.35">
      <c r="B8792" s="167"/>
    </row>
    <row r="8793" spans="2:2" ht="15.5" x14ac:dyDescent="0.35">
      <c r="B8793" s="167"/>
    </row>
    <row r="8794" spans="2:2" ht="15.5" x14ac:dyDescent="0.35">
      <c r="B8794" s="167"/>
    </row>
    <row r="8795" spans="2:2" ht="15.5" x14ac:dyDescent="0.35">
      <c r="B8795" s="167"/>
    </row>
    <row r="8796" spans="2:2" ht="15.5" x14ac:dyDescent="0.35">
      <c r="B8796" s="167"/>
    </row>
    <row r="8797" spans="2:2" ht="15.5" x14ac:dyDescent="0.35">
      <c r="B8797" s="167"/>
    </row>
    <row r="8798" spans="2:2" ht="15.5" x14ac:dyDescent="0.35">
      <c r="B8798" s="167"/>
    </row>
    <row r="8799" spans="2:2" ht="15.5" x14ac:dyDescent="0.35">
      <c r="B8799" s="167"/>
    </row>
    <row r="8800" spans="2:2" ht="15.5" x14ac:dyDescent="0.35">
      <c r="B8800" s="167"/>
    </row>
    <row r="8801" spans="2:2" ht="15.5" x14ac:dyDescent="0.35">
      <c r="B8801" s="167"/>
    </row>
    <row r="8802" spans="2:2" ht="15.5" x14ac:dyDescent="0.35">
      <c r="B8802" s="167"/>
    </row>
    <row r="8803" spans="2:2" ht="15.5" x14ac:dyDescent="0.35">
      <c r="B8803" s="167"/>
    </row>
    <row r="8804" spans="2:2" ht="15.5" x14ac:dyDescent="0.35">
      <c r="B8804" s="167"/>
    </row>
    <row r="8805" spans="2:2" ht="15.5" x14ac:dyDescent="0.35">
      <c r="B8805" s="167"/>
    </row>
    <row r="8806" spans="2:2" ht="15.5" x14ac:dyDescent="0.35">
      <c r="B8806" s="167"/>
    </row>
    <row r="8807" spans="2:2" ht="15.5" x14ac:dyDescent="0.35">
      <c r="B8807" s="167"/>
    </row>
    <row r="8808" spans="2:2" ht="15.5" x14ac:dyDescent="0.35">
      <c r="B8808" s="167"/>
    </row>
    <row r="8809" spans="2:2" ht="15.5" x14ac:dyDescent="0.35">
      <c r="B8809" s="167"/>
    </row>
    <row r="8810" spans="2:2" ht="15.5" x14ac:dyDescent="0.35">
      <c r="B8810" s="167"/>
    </row>
    <row r="8811" spans="2:2" ht="15.5" x14ac:dyDescent="0.35">
      <c r="B8811" s="167"/>
    </row>
    <row r="8812" spans="2:2" ht="15.5" x14ac:dyDescent="0.35">
      <c r="B8812" s="167"/>
    </row>
    <row r="8813" spans="2:2" ht="15.5" x14ac:dyDescent="0.35">
      <c r="B8813" s="167"/>
    </row>
    <row r="8814" spans="2:2" ht="15.5" x14ac:dyDescent="0.35">
      <c r="B8814" s="167"/>
    </row>
    <row r="8815" spans="2:2" ht="15.5" x14ac:dyDescent="0.35">
      <c r="B8815" s="167"/>
    </row>
    <row r="8816" spans="2:2" ht="15.5" x14ac:dyDescent="0.35">
      <c r="B8816" s="167"/>
    </row>
    <row r="8817" spans="2:2" ht="15.5" x14ac:dyDescent="0.35">
      <c r="B8817" s="167"/>
    </row>
    <row r="8818" spans="2:2" ht="15.5" x14ac:dyDescent="0.35">
      <c r="B8818" s="167"/>
    </row>
    <row r="8819" spans="2:2" ht="15.5" x14ac:dyDescent="0.35">
      <c r="B8819" s="167"/>
    </row>
    <row r="8820" spans="2:2" ht="15.5" x14ac:dyDescent="0.35">
      <c r="B8820" s="167"/>
    </row>
    <row r="8821" spans="2:2" ht="15.5" x14ac:dyDescent="0.35">
      <c r="B8821" s="167"/>
    </row>
    <row r="8822" spans="2:2" ht="15.5" x14ac:dyDescent="0.35">
      <c r="B8822" s="167"/>
    </row>
    <row r="8823" spans="2:2" ht="15.5" x14ac:dyDescent="0.35">
      <c r="B8823" s="167"/>
    </row>
    <row r="8824" spans="2:2" ht="15.5" x14ac:dyDescent="0.35">
      <c r="B8824" s="167"/>
    </row>
    <row r="8825" spans="2:2" ht="15.5" x14ac:dyDescent="0.35">
      <c r="B8825" s="167"/>
    </row>
    <row r="8826" spans="2:2" ht="15.5" x14ac:dyDescent="0.35">
      <c r="B8826" s="167"/>
    </row>
    <row r="8827" spans="2:2" ht="15.5" x14ac:dyDescent="0.35">
      <c r="B8827" s="167"/>
    </row>
    <row r="8828" spans="2:2" ht="15.5" x14ac:dyDescent="0.35">
      <c r="B8828" s="167"/>
    </row>
    <row r="8829" spans="2:2" ht="15.5" x14ac:dyDescent="0.35">
      <c r="B8829" s="167"/>
    </row>
    <row r="8830" spans="2:2" ht="15.5" x14ac:dyDescent="0.35">
      <c r="B8830" s="167"/>
    </row>
    <row r="8831" spans="2:2" ht="15.5" x14ac:dyDescent="0.35">
      <c r="B8831" s="167"/>
    </row>
    <row r="8832" spans="2:2" ht="15.5" x14ac:dyDescent="0.35">
      <c r="B8832" s="167"/>
    </row>
    <row r="8833" spans="2:2" ht="15.5" x14ac:dyDescent="0.35">
      <c r="B8833" s="167"/>
    </row>
    <row r="8834" spans="2:2" ht="15.5" x14ac:dyDescent="0.35">
      <c r="B8834" s="167"/>
    </row>
    <row r="8835" spans="2:2" ht="15.5" x14ac:dyDescent="0.35">
      <c r="B8835" s="167"/>
    </row>
    <row r="8836" spans="2:2" ht="15.5" x14ac:dyDescent="0.35">
      <c r="B8836" s="167"/>
    </row>
    <row r="8837" spans="2:2" ht="15.5" x14ac:dyDescent="0.35">
      <c r="B8837" s="167"/>
    </row>
    <row r="8838" spans="2:2" ht="15.5" x14ac:dyDescent="0.35">
      <c r="B8838" s="167"/>
    </row>
    <row r="8839" spans="2:2" ht="15.5" x14ac:dyDescent="0.35">
      <c r="B8839" s="167"/>
    </row>
    <row r="8840" spans="2:2" ht="15.5" x14ac:dyDescent="0.35">
      <c r="B8840" s="167"/>
    </row>
    <row r="8841" spans="2:2" ht="15.5" x14ac:dyDescent="0.35">
      <c r="B8841" s="167"/>
    </row>
    <row r="8842" spans="2:2" ht="15.5" x14ac:dyDescent="0.35">
      <c r="B8842" s="167"/>
    </row>
    <row r="8843" spans="2:2" ht="15.5" x14ac:dyDescent="0.35">
      <c r="B8843" s="167"/>
    </row>
    <row r="8844" spans="2:2" ht="15.5" x14ac:dyDescent="0.35">
      <c r="B8844" s="167"/>
    </row>
    <row r="8845" spans="2:2" ht="15.5" x14ac:dyDescent="0.35">
      <c r="B8845" s="167"/>
    </row>
    <row r="8846" spans="2:2" ht="15.5" x14ac:dyDescent="0.35">
      <c r="B8846" s="167"/>
    </row>
    <row r="8847" spans="2:2" ht="15.5" x14ac:dyDescent="0.35">
      <c r="B8847" s="167"/>
    </row>
    <row r="8848" spans="2:2" ht="15.5" x14ac:dyDescent="0.35">
      <c r="B8848" s="167"/>
    </row>
    <row r="8849" spans="2:2" ht="15.5" x14ac:dyDescent="0.35">
      <c r="B8849" s="167"/>
    </row>
    <row r="8850" spans="2:2" ht="15.5" x14ac:dyDescent="0.35">
      <c r="B8850" s="167"/>
    </row>
    <row r="8851" spans="2:2" ht="15.5" x14ac:dyDescent="0.35">
      <c r="B8851" s="167"/>
    </row>
    <row r="8852" spans="2:2" ht="15.5" x14ac:dyDescent="0.35">
      <c r="B8852" s="167"/>
    </row>
    <row r="8853" spans="2:2" ht="15.5" x14ac:dyDescent="0.35">
      <c r="B8853" s="167"/>
    </row>
    <row r="8854" spans="2:2" ht="15.5" x14ac:dyDescent="0.35">
      <c r="B8854" s="167"/>
    </row>
    <row r="8855" spans="2:2" ht="15.5" x14ac:dyDescent="0.35">
      <c r="B8855" s="167"/>
    </row>
    <row r="8856" spans="2:2" ht="15.5" x14ac:dyDescent="0.35">
      <c r="B8856" s="167"/>
    </row>
    <row r="8857" spans="2:2" ht="15.5" x14ac:dyDescent="0.35">
      <c r="B8857" s="167"/>
    </row>
    <row r="8858" spans="2:2" ht="15.5" x14ac:dyDescent="0.35">
      <c r="B8858" s="167"/>
    </row>
    <row r="8859" spans="2:2" ht="15.5" x14ac:dyDescent="0.35">
      <c r="B8859" s="167"/>
    </row>
    <row r="8860" spans="2:2" ht="15.5" x14ac:dyDescent="0.35">
      <c r="B8860" s="167"/>
    </row>
    <row r="8861" spans="2:2" ht="15.5" x14ac:dyDescent="0.35">
      <c r="B8861" s="167"/>
    </row>
    <row r="8862" spans="2:2" ht="15.5" x14ac:dyDescent="0.35">
      <c r="B8862" s="167"/>
    </row>
    <row r="8863" spans="2:2" ht="15.5" x14ac:dyDescent="0.35">
      <c r="B8863" s="167"/>
    </row>
    <row r="8864" spans="2:2" ht="15.5" x14ac:dyDescent="0.35">
      <c r="B8864" s="167"/>
    </row>
    <row r="8865" spans="2:2" ht="15.5" x14ac:dyDescent="0.35">
      <c r="B8865" s="167"/>
    </row>
    <row r="8866" spans="2:2" ht="15.5" x14ac:dyDescent="0.35">
      <c r="B8866" s="167"/>
    </row>
    <row r="8867" spans="2:2" ht="15.5" x14ac:dyDescent="0.35">
      <c r="B8867" s="167"/>
    </row>
    <row r="8868" spans="2:2" ht="15.5" x14ac:dyDescent="0.35">
      <c r="B8868" s="167"/>
    </row>
    <row r="8869" spans="2:2" ht="15.5" x14ac:dyDescent="0.35">
      <c r="B8869" s="167"/>
    </row>
    <row r="8870" spans="2:2" ht="15.5" x14ac:dyDescent="0.35">
      <c r="B8870" s="167"/>
    </row>
    <row r="8871" spans="2:2" ht="15.5" x14ac:dyDescent="0.35">
      <c r="B8871" s="167"/>
    </row>
    <row r="8872" spans="2:2" ht="15.5" x14ac:dyDescent="0.35">
      <c r="B8872" s="167"/>
    </row>
    <row r="8873" spans="2:2" ht="15.5" x14ac:dyDescent="0.35">
      <c r="B8873" s="167"/>
    </row>
    <row r="8874" spans="2:2" ht="15.5" x14ac:dyDescent="0.35">
      <c r="B8874" s="167"/>
    </row>
    <row r="8875" spans="2:2" ht="15.5" x14ac:dyDescent="0.35">
      <c r="B8875" s="167"/>
    </row>
    <row r="8876" spans="2:2" ht="15.5" x14ac:dyDescent="0.35">
      <c r="B8876" s="167"/>
    </row>
    <row r="8877" spans="2:2" ht="15.5" x14ac:dyDescent="0.35">
      <c r="B8877" s="167"/>
    </row>
    <row r="8878" spans="2:2" ht="15.5" x14ac:dyDescent="0.35">
      <c r="B8878" s="167"/>
    </row>
    <row r="8879" spans="2:2" ht="15.5" x14ac:dyDescent="0.35">
      <c r="B8879" s="167"/>
    </row>
    <row r="8880" spans="2:2" ht="15.5" x14ac:dyDescent="0.35">
      <c r="B8880" s="167"/>
    </row>
    <row r="8881" spans="2:2" ht="15.5" x14ac:dyDescent="0.35">
      <c r="B8881" s="167"/>
    </row>
    <row r="8882" spans="2:2" ht="15.5" x14ac:dyDescent="0.35">
      <c r="B8882" s="167"/>
    </row>
    <row r="8883" spans="2:2" ht="15.5" x14ac:dyDescent="0.35">
      <c r="B8883" s="167"/>
    </row>
    <row r="8884" spans="2:2" ht="15.5" x14ac:dyDescent="0.35">
      <c r="B8884" s="167"/>
    </row>
    <row r="8885" spans="2:2" ht="15.5" x14ac:dyDescent="0.35">
      <c r="B8885" s="167"/>
    </row>
    <row r="8886" spans="2:2" ht="15.5" x14ac:dyDescent="0.35">
      <c r="B8886" s="167"/>
    </row>
    <row r="8887" spans="2:2" ht="15.5" x14ac:dyDescent="0.35">
      <c r="B8887" s="167"/>
    </row>
    <row r="8888" spans="2:2" ht="15.5" x14ac:dyDescent="0.35">
      <c r="B8888" s="167"/>
    </row>
    <row r="8889" spans="2:2" ht="15.5" x14ac:dyDescent="0.35">
      <c r="B8889" s="167"/>
    </row>
    <row r="8890" spans="2:2" ht="15.5" x14ac:dyDescent="0.35">
      <c r="B8890" s="167"/>
    </row>
    <row r="8891" spans="2:2" ht="15.5" x14ac:dyDescent="0.35">
      <c r="B8891" s="167"/>
    </row>
    <row r="8892" spans="2:2" ht="15.5" x14ac:dyDescent="0.35">
      <c r="B8892" s="167"/>
    </row>
    <row r="8893" spans="2:2" ht="15.5" x14ac:dyDescent="0.35">
      <c r="B8893" s="167"/>
    </row>
    <row r="8894" spans="2:2" ht="15.5" x14ac:dyDescent="0.35">
      <c r="B8894" s="167"/>
    </row>
    <row r="8895" spans="2:2" ht="15.5" x14ac:dyDescent="0.35">
      <c r="B8895" s="167"/>
    </row>
    <row r="8896" spans="2:2" ht="15.5" x14ac:dyDescent="0.35">
      <c r="B8896" s="167"/>
    </row>
    <row r="8897" spans="2:2" ht="15.5" x14ac:dyDescent="0.35">
      <c r="B8897" s="167"/>
    </row>
    <row r="8898" spans="2:2" ht="15.5" x14ac:dyDescent="0.35">
      <c r="B8898" s="167"/>
    </row>
    <row r="8899" spans="2:2" ht="15.5" x14ac:dyDescent="0.35">
      <c r="B8899" s="167"/>
    </row>
    <row r="8900" spans="2:2" ht="15.5" x14ac:dyDescent="0.35">
      <c r="B8900" s="167"/>
    </row>
    <row r="8901" spans="2:2" ht="15.5" x14ac:dyDescent="0.35">
      <c r="B8901" s="167"/>
    </row>
    <row r="8902" spans="2:2" ht="15.5" x14ac:dyDescent="0.35">
      <c r="B8902" s="167"/>
    </row>
    <row r="8903" spans="2:2" ht="15.5" x14ac:dyDescent="0.35">
      <c r="B8903" s="167"/>
    </row>
    <row r="8904" spans="2:2" ht="15.5" x14ac:dyDescent="0.35">
      <c r="B8904" s="167"/>
    </row>
    <row r="8905" spans="2:2" ht="15.5" x14ac:dyDescent="0.35">
      <c r="B8905" s="167"/>
    </row>
    <row r="8906" spans="2:2" ht="15.5" x14ac:dyDescent="0.35">
      <c r="B8906" s="167"/>
    </row>
    <row r="8907" spans="2:2" ht="15.5" x14ac:dyDescent="0.35">
      <c r="B8907" s="167"/>
    </row>
    <row r="8908" spans="2:2" ht="15.5" x14ac:dyDescent="0.35">
      <c r="B8908" s="167"/>
    </row>
    <row r="8909" spans="2:2" ht="15.5" x14ac:dyDescent="0.35">
      <c r="B8909" s="167"/>
    </row>
    <row r="8910" spans="2:2" ht="15.5" x14ac:dyDescent="0.35">
      <c r="B8910" s="167"/>
    </row>
    <row r="8911" spans="2:2" ht="15.5" x14ac:dyDescent="0.35">
      <c r="B8911" s="167"/>
    </row>
    <row r="8912" spans="2:2" ht="15.5" x14ac:dyDescent="0.35">
      <c r="B8912" s="167"/>
    </row>
    <row r="8913" spans="2:2" ht="15.5" x14ac:dyDescent="0.35">
      <c r="B8913" s="167"/>
    </row>
    <row r="8914" spans="2:2" ht="15.5" x14ac:dyDescent="0.35">
      <c r="B8914" s="167"/>
    </row>
    <row r="8915" spans="2:2" ht="15.5" x14ac:dyDescent="0.35">
      <c r="B8915" s="167"/>
    </row>
    <row r="8916" spans="2:2" ht="15.5" x14ac:dyDescent="0.35">
      <c r="B8916" s="167"/>
    </row>
    <row r="8917" spans="2:2" ht="15.5" x14ac:dyDescent="0.35">
      <c r="B8917" s="167"/>
    </row>
    <row r="8918" spans="2:2" ht="15.5" x14ac:dyDescent="0.35">
      <c r="B8918" s="167"/>
    </row>
    <row r="8919" spans="2:2" ht="15.5" x14ac:dyDescent="0.35">
      <c r="B8919" s="167"/>
    </row>
    <row r="8920" spans="2:2" ht="15.5" x14ac:dyDescent="0.35">
      <c r="B8920" s="167"/>
    </row>
    <row r="8921" spans="2:2" ht="15.5" x14ac:dyDescent="0.35">
      <c r="B8921" s="167"/>
    </row>
    <row r="8922" spans="2:2" ht="15.5" x14ac:dyDescent="0.35">
      <c r="B8922" s="167"/>
    </row>
    <row r="8923" spans="2:2" ht="15.5" x14ac:dyDescent="0.35">
      <c r="B8923" s="167"/>
    </row>
    <row r="8924" spans="2:2" ht="15.5" x14ac:dyDescent="0.35">
      <c r="B8924" s="167"/>
    </row>
    <row r="8925" spans="2:2" ht="15.5" x14ac:dyDescent="0.35">
      <c r="B8925" s="167"/>
    </row>
    <row r="8926" spans="2:2" ht="15.5" x14ac:dyDescent="0.35">
      <c r="B8926" s="167"/>
    </row>
    <row r="8927" spans="2:2" ht="15.5" x14ac:dyDescent="0.35">
      <c r="B8927" s="167"/>
    </row>
    <row r="8928" spans="2:2" ht="15.5" x14ac:dyDescent="0.35">
      <c r="B8928" s="167"/>
    </row>
    <row r="8929" spans="2:2" ht="15.5" x14ac:dyDescent="0.35">
      <c r="B8929" s="167"/>
    </row>
    <row r="8930" spans="2:2" ht="15.5" x14ac:dyDescent="0.35">
      <c r="B8930" s="167"/>
    </row>
    <row r="8931" spans="2:2" ht="15.5" x14ac:dyDescent="0.35">
      <c r="B8931" s="167"/>
    </row>
    <row r="8932" spans="2:2" ht="15.5" x14ac:dyDescent="0.35">
      <c r="B8932" s="167"/>
    </row>
    <row r="8933" spans="2:2" ht="15.5" x14ac:dyDescent="0.35">
      <c r="B8933" s="167"/>
    </row>
    <row r="8934" spans="2:2" ht="15.5" x14ac:dyDescent="0.35">
      <c r="B8934" s="167"/>
    </row>
    <row r="8935" spans="2:2" ht="15.5" x14ac:dyDescent="0.35">
      <c r="B8935" s="167"/>
    </row>
    <row r="8936" spans="2:2" ht="15.5" x14ac:dyDescent="0.35">
      <c r="B8936" s="167"/>
    </row>
    <row r="8937" spans="2:2" ht="15.5" x14ac:dyDescent="0.35">
      <c r="B8937" s="167"/>
    </row>
    <row r="8938" spans="2:2" ht="15.5" x14ac:dyDescent="0.35">
      <c r="B8938" s="167"/>
    </row>
    <row r="8939" spans="2:2" ht="15.5" x14ac:dyDescent="0.35">
      <c r="B8939" s="167"/>
    </row>
    <row r="8940" spans="2:2" ht="15.5" x14ac:dyDescent="0.35">
      <c r="B8940" s="167"/>
    </row>
    <row r="8941" spans="2:2" ht="15.5" x14ac:dyDescent="0.35">
      <c r="B8941" s="167"/>
    </row>
    <row r="8942" spans="2:2" ht="15.5" x14ac:dyDescent="0.35">
      <c r="B8942" s="167"/>
    </row>
    <row r="8943" spans="2:2" ht="15.5" x14ac:dyDescent="0.35">
      <c r="B8943" s="167"/>
    </row>
    <row r="8944" spans="2:2" ht="15.5" x14ac:dyDescent="0.35">
      <c r="B8944" s="167"/>
    </row>
    <row r="8945" spans="2:2" ht="15.5" x14ac:dyDescent="0.35">
      <c r="B8945" s="167"/>
    </row>
    <row r="8946" spans="2:2" ht="15.5" x14ac:dyDescent="0.35">
      <c r="B8946" s="167"/>
    </row>
    <row r="8947" spans="2:2" ht="15.5" x14ac:dyDescent="0.35">
      <c r="B8947" s="167"/>
    </row>
    <row r="8948" spans="2:2" ht="15.5" x14ac:dyDescent="0.35">
      <c r="B8948" s="167"/>
    </row>
    <row r="8949" spans="2:2" ht="15.5" x14ac:dyDescent="0.35">
      <c r="B8949" s="167"/>
    </row>
    <row r="8950" spans="2:2" ht="15.5" x14ac:dyDescent="0.35">
      <c r="B8950" s="167"/>
    </row>
    <row r="8951" spans="2:2" ht="15.5" x14ac:dyDescent="0.35">
      <c r="B8951" s="167"/>
    </row>
    <row r="8952" spans="2:2" ht="15.5" x14ac:dyDescent="0.35">
      <c r="B8952" s="167"/>
    </row>
    <row r="8953" spans="2:2" ht="15.5" x14ac:dyDescent="0.35">
      <c r="B8953" s="167"/>
    </row>
    <row r="8954" spans="2:2" ht="15.5" x14ac:dyDescent="0.35">
      <c r="B8954" s="167"/>
    </row>
    <row r="8955" spans="2:2" ht="15.5" x14ac:dyDescent="0.35">
      <c r="B8955" s="167"/>
    </row>
    <row r="8956" spans="2:2" ht="15.5" x14ac:dyDescent="0.35">
      <c r="B8956" s="167"/>
    </row>
    <row r="8957" spans="2:2" ht="15.5" x14ac:dyDescent="0.35">
      <c r="B8957" s="167"/>
    </row>
    <row r="8958" spans="2:2" ht="15.5" x14ac:dyDescent="0.35">
      <c r="B8958" s="167"/>
    </row>
    <row r="8959" spans="2:2" ht="15.5" x14ac:dyDescent="0.35">
      <c r="B8959" s="167"/>
    </row>
    <row r="8960" spans="2:2" ht="15.5" x14ac:dyDescent="0.35">
      <c r="B8960" s="167"/>
    </row>
    <row r="8961" spans="2:2" ht="15.5" x14ac:dyDescent="0.35">
      <c r="B8961" s="167"/>
    </row>
    <row r="8962" spans="2:2" ht="15.5" x14ac:dyDescent="0.35">
      <c r="B8962" s="167"/>
    </row>
    <row r="8963" spans="2:2" ht="15.5" x14ac:dyDescent="0.35">
      <c r="B8963" s="167"/>
    </row>
    <row r="8964" spans="2:2" ht="15.5" x14ac:dyDescent="0.35">
      <c r="B8964" s="167"/>
    </row>
    <row r="8965" spans="2:2" ht="15.5" x14ac:dyDescent="0.35">
      <c r="B8965" s="167"/>
    </row>
    <row r="8966" spans="2:2" ht="15.5" x14ac:dyDescent="0.35">
      <c r="B8966" s="167"/>
    </row>
    <row r="8967" spans="2:2" ht="15.5" x14ac:dyDescent="0.35">
      <c r="B8967" s="167"/>
    </row>
    <row r="8968" spans="2:2" ht="15.5" x14ac:dyDescent="0.35">
      <c r="B8968" s="167"/>
    </row>
    <row r="8969" spans="2:2" ht="15.5" x14ac:dyDescent="0.35">
      <c r="B8969" s="167"/>
    </row>
    <row r="8970" spans="2:2" ht="15.5" x14ac:dyDescent="0.35">
      <c r="B8970" s="167"/>
    </row>
    <row r="8971" spans="2:2" ht="15.5" x14ac:dyDescent="0.35">
      <c r="B8971" s="167"/>
    </row>
    <row r="8972" spans="2:2" ht="15.5" x14ac:dyDescent="0.35">
      <c r="B8972" s="167"/>
    </row>
    <row r="8973" spans="2:2" ht="15.5" x14ac:dyDescent="0.35">
      <c r="B8973" s="167"/>
    </row>
    <row r="8974" spans="2:2" ht="15.5" x14ac:dyDescent="0.35">
      <c r="B8974" s="167"/>
    </row>
    <row r="8975" spans="2:2" ht="15.5" x14ac:dyDescent="0.35">
      <c r="B8975" s="167"/>
    </row>
    <row r="8976" spans="2:2" ht="15.5" x14ac:dyDescent="0.35">
      <c r="B8976" s="167"/>
    </row>
    <row r="8977" spans="2:2" ht="15.5" x14ac:dyDescent="0.35">
      <c r="B8977" s="167"/>
    </row>
    <row r="8978" spans="2:2" ht="15.5" x14ac:dyDescent="0.35">
      <c r="B8978" s="167"/>
    </row>
    <row r="8979" spans="2:2" ht="15.5" x14ac:dyDescent="0.35">
      <c r="B8979" s="167"/>
    </row>
    <row r="8980" spans="2:2" ht="15.5" x14ac:dyDescent="0.35">
      <c r="B8980" s="167"/>
    </row>
    <row r="8981" spans="2:2" ht="15.5" x14ac:dyDescent="0.35">
      <c r="B8981" s="167"/>
    </row>
    <row r="8982" spans="2:2" ht="15.5" x14ac:dyDescent="0.35">
      <c r="B8982" s="167"/>
    </row>
    <row r="8983" spans="2:2" ht="15.5" x14ac:dyDescent="0.35">
      <c r="B8983" s="167"/>
    </row>
    <row r="8984" spans="2:2" ht="15.5" x14ac:dyDescent="0.35">
      <c r="B8984" s="167"/>
    </row>
    <row r="8985" spans="2:2" ht="15.5" x14ac:dyDescent="0.35">
      <c r="B8985" s="167"/>
    </row>
    <row r="8986" spans="2:2" ht="15.5" x14ac:dyDescent="0.35">
      <c r="B8986" s="167"/>
    </row>
    <row r="8987" spans="2:2" ht="15.5" x14ac:dyDescent="0.35">
      <c r="B8987" s="167"/>
    </row>
    <row r="8988" spans="2:2" ht="15.5" x14ac:dyDescent="0.35">
      <c r="B8988" s="167"/>
    </row>
    <row r="8989" spans="2:2" ht="15.5" x14ac:dyDescent="0.35">
      <c r="B8989" s="167"/>
    </row>
    <row r="8990" spans="2:2" ht="15.5" x14ac:dyDescent="0.35">
      <c r="B8990" s="167"/>
    </row>
    <row r="8991" spans="2:2" ht="15.5" x14ac:dyDescent="0.35">
      <c r="B8991" s="167"/>
    </row>
    <row r="8992" spans="2:2" ht="15.5" x14ac:dyDescent="0.35">
      <c r="B8992" s="167"/>
    </row>
    <row r="8993" spans="2:2" ht="15.5" x14ac:dyDescent="0.35">
      <c r="B8993" s="167"/>
    </row>
    <row r="8994" spans="2:2" ht="15.5" x14ac:dyDescent="0.35">
      <c r="B8994" s="167"/>
    </row>
    <row r="8995" spans="2:2" ht="15.5" x14ac:dyDescent="0.35">
      <c r="B8995" s="167"/>
    </row>
    <row r="8996" spans="2:2" ht="15.5" x14ac:dyDescent="0.35">
      <c r="B8996" s="167"/>
    </row>
    <row r="8997" spans="2:2" ht="15.5" x14ac:dyDescent="0.35">
      <c r="B8997" s="167"/>
    </row>
    <row r="8998" spans="2:2" ht="15.5" x14ac:dyDescent="0.35">
      <c r="B8998" s="167"/>
    </row>
    <row r="8999" spans="2:2" ht="15.5" x14ac:dyDescent="0.35">
      <c r="B8999" s="167"/>
    </row>
    <row r="9000" spans="2:2" ht="15.5" x14ac:dyDescent="0.35">
      <c r="B9000" s="167"/>
    </row>
    <row r="9001" spans="2:2" ht="15.5" x14ac:dyDescent="0.35">
      <c r="B9001" s="167"/>
    </row>
    <row r="9002" spans="2:2" ht="15.5" x14ac:dyDescent="0.35">
      <c r="B9002" s="167"/>
    </row>
    <row r="9003" spans="2:2" ht="15.5" x14ac:dyDescent="0.35">
      <c r="B9003" s="167"/>
    </row>
    <row r="9004" spans="2:2" ht="15.5" x14ac:dyDescent="0.35">
      <c r="B9004" s="167"/>
    </row>
    <row r="9005" spans="2:2" ht="15.5" x14ac:dyDescent="0.35">
      <c r="B9005" s="167"/>
    </row>
    <row r="9006" spans="2:2" ht="15.5" x14ac:dyDescent="0.35">
      <c r="B9006" s="167"/>
    </row>
    <row r="9007" spans="2:2" ht="15.5" x14ac:dyDescent="0.35">
      <c r="B9007" s="167"/>
    </row>
    <row r="9008" spans="2:2" ht="15.5" x14ac:dyDescent="0.35">
      <c r="B9008" s="167"/>
    </row>
    <row r="9009" spans="2:2" ht="15.5" x14ac:dyDescent="0.35">
      <c r="B9009" s="167"/>
    </row>
    <row r="9010" spans="2:2" ht="15.5" x14ac:dyDescent="0.35">
      <c r="B9010" s="167"/>
    </row>
    <row r="9011" spans="2:2" ht="15.5" x14ac:dyDescent="0.35">
      <c r="B9011" s="167"/>
    </row>
    <row r="9012" spans="2:2" ht="15.5" x14ac:dyDescent="0.35">
      <c r="B9012" s="167"/>
    </row>
    <row r="9013" spans="2:2" ht="15.5" x14ac:dyDescent="0.35">
      <c r="B9013" s="167"/>
    </row>
    <row r="9014" spans="2:2" ht="15.5" x14ac:dyDescent="0.35">
      <c r="B9014" s="167"/>
    </row>
    <row r="9015" spans="2:2" ht="15.5" x14ac:dyDescent="0.35">
      <c r="B9015" s="167"/>
    </row>
    <row r="9016" spans="2:2" ht="15.5" x14ac:dyDescent="0.35">
      <c r="B9016" s="167"/>
    </row>
    <row r="9017" spans="2:2" ht="15.5" x14ac:dyDescent="0.35">
      <c r="B9017" s="167"/>
    </row>
    <row r="9018" spans="2:2" ht="15.5" x14ac:dyDescent="0.35">
      <c r="B9018" s="167"/>
    </row>
    <row r="9019" spans="2:2" ht="15.5" x14ac:dyDescent="0.35">
      <c r="B9019" s="167"/>
    </row>
    <row r="9020" spans="2:2" ht="15.5" x14ac:dyDescent="0.35">
      <c r="B9020" s="167"/>
    </row>
    <row r="9021" spans="2:2" ht="15.5" x14ac:dyDescent="0.35">
      <c r="B9021" s="167"/>
    </row>
    <row r="9022" spans="2:2" ht="15.5" x14ac:dyDescent="0.35">
      <c r="B9022" s="167"/>
    </row>
    <row r="9023" spans="2:2" ht="15.5" x14ac:dyDescent="0.35">
      <c r="B9023" s="167"/>
    </row>
    <row r="9024" spans="2:2" ht="15.5" x14ac:dyDescent="0.35">
      <c r="B9024" s="167"/>
    </row>
    <row r="9025" spans="2:2" ht="15.5" x14ac:dyDescent="0.35">
      <c r="B9025" s="167"/>
    </row>
    <row r="9026" spans="2:2" ht="15.5" x14ac:dyDescent="0.35">
      <c r="B9026" s="167"/>
    </row>
    <row r="9027" spans="2:2" ht="15.5" x14ac:dyDescent="0.35">
      <c r="B9027" s="167"/>
    </row>
    <row r="9028" spans="2:2" ht="15.5" x14ac:dyDescent="0.35">
      <c r="B9028" s="167"/>
    </row>
    <row r="9029" spans="2:2" ht="15.5" x14ac:dyDescent="0.35">
      <c r="B9029" s="167"/>
    </row>
    <row r="9030" spans="2:2" ht="15.5" x14ac:dyDescent="0.35">
      <c r="B9030" s="167"/>
    </row>
    <row r="9031" spans="2:2" ht="15.5" x14ac:dyDescent="0.35">
      <c r="B9031" s="167"/>
    </row>
    <row r="9032" spans="2:2" ht="15.5" x14ac:dyDescent="0.35">
      <c r="B9032" s="167"/>
    </row>
    <row r="9033" spans="2:2" ht="15.5" x14ac:dyDescent="0.35">
      <c r="B9033" s="167"/>
    </row>
    <row r="9034" spans="2:2" ht="15.5" x14ac:dyDescent="0.35">
      <c r="B9034" s="167"/>
    </row>
    <row r="9035" spans="2:2" ht="15.5" x14ac:dyDescent="0.35">
      <c r="B9035" s="167"/>
    </row>
    <row r="9036" spans="2:2" ht="15.5" x14ac:dyDescent="0.35">
      <c r="B9036" s="167"/>
    </row>
    <row r="9037" spans="2:2" ht="15.5" x14ac:dyDescent="0.35">
      <c r="B9037" s="167"/>
    </row>
    <row r="9038" spans="2:2" ht="15.5" x14ac:dyDescent="0.35">
      <c r="B9038" s="167"/>
    </row>
    <row r="9039" spans="2:2" ht="15.5" x14ac:dyDescent="0.35">
      <c r="B9039" s="167"/>
    </row>
    <row r="9040" spans="2:2" ht="15.5" x14ac:dyDescent="0.35">
      <c r="B9040" s="167"/>
    </row>
    <row r="9041" spans="2:2" ht="15.5" x14ac:dyDescent="0.35">
      <c r="B9041" s="167"/>
    </row>
    <row r="9042" spans="2:2" ht="15.5" x14ac:dyDescent="0.35">
      <c r="B9042" s="167"/>
    </row>
    <row r="9043" spans="2:2" ht="15.5" x14ac:dyDescent="0.35">
      <c r="B9043" s="167"/>
    </row>
    <row r="9044" spans="2:2" ht="15.5" x14ac:dyDescent="0.35">
      <c r="B9044" s="167"/>
    </row>
    <row r="9045" spans="2:2" ht="15.5" x14ac:dyDescent="0.35">
      <c r="B9045" s="167"/>
    </row>
    <row r="9046" spans="2:2" ht="15.5" x14ac:dyDescent="0.35">
      <c r="B9046" s="167"/>
    </row>
    <row r="9047" spans="2:2" ht="15.5" x14ac:dyDescent="0.35">
      <c r="B9047" s="167"/>
    </row>
    <row r="9048" spans="2:2" ht="15.5" x14ac:dyDescent="0.35">
      <c r="B9048" s="167"/>
    </row>
    <row r="9049" spans="2:2" ht="15.5" x14ac:dyDescent="0.35">
      <c r="B9049" s="167"/>
    </row>
    <row r="9050" spans="2:2" ht="15.5" x14ac:dyDescent="0.35">
      <c r="B9050" s="167"/>
    </row>
    <row r="9051" spans="2:2" ht="15.5" x14ac:dyDescent="0.35">
      <c r="B9051" s="167"/>
    </row>
    <row r="9052" spans="2:2" ht="15.5" x14ac:dyDescent="0.35">
      <c r="B9052" s="167"/>
    </row>
    <row r="9053" spans="2:2" ht="15.5" x14ac:dyDescent="0.35">
      <c r="B9053" s="167"/>
    </row>
    <row r="9054" spans="2:2" ht="15.5" x14ac:dyDescent="0.35">
      <c r="B9054" s="167"/>
    </row>
    <row r="9055" spans="2:2" ht="15.5" x14ac:dyDescent="0.35">
      <c r="B9055" s="167"/>
    </row>
    <row r="9056" spans="2:2" ht="15.5" x14ac:dyDescent="0.35">
      <c r="B9056" s="167"/>
    </row>
    <row r="9057" spans="2:2" ht="15.5" x14ac:dyDescent="0.35">
      <c r="B9057" s="167"/>
    </row>
    <row r="9058" spans="2:2" ht="15.5" x14ac:dyDescent="0.35">
      <c r="B9058" s="167"/>
    </row>
    <row r="9059" spans="2:2" ht="15.5" x14ac:dyDescent="0.35">
      <c r="B9059" s="167"/>
    </row>
    <row r="9060" spans="2:2" ht="15.5" x14ac:dyDescent="0.35">
      <c r="B9060" s="167"/>
    </row>
    <row r="9061" spans="2:2" ht="15.5" x14ac:dyDescent="0.35">
      <c r="B9061" s="167"/>
    </row>
    <row r="9062" spans="2:2" ht="15.5" x14ac:dyDescent="0.35">
      <c r="B9062" s="167"/>
    </row>
    <row r="9063" spans="2:2" ht="15.5" x14ac:dyDescent="0.35">
      <c r="B9063" s="167"/>
    </row>
    <row r="9064" spans="2:2" ht="15.5" x14ac:dyDescent="0.35">
      <c r="B9064" s="167"/>
    </row>
    <row r="9065" spans="2:2" ht="15.5" x14ac:dyDescent="0.35">
      <c r="B9065" s="167"/>
    </row>
    <row r="9066" spans="2:2" ht="15.5" x14ac:dyDescent="0.35">
      <c r="B9066" s="167"/>
    </row>
    <row r="9067" spans="2:2" ht="15.5" x14ac:dyDescent="0.35">
      <c r="B9067" s="167"/>
    </row>
    <row r="9068" spans="2:2" ht="15.5" x14ac:dyDescent="0.35">
      <c r="B9068" s="167"/>
    </row>
    <row r="9069" spans="2:2" ht="15.5" x14ac:dyDescent="0.35">
      <c r="B9069" s="167"/>
    </row>
    <row r="9070" spans="2:2" ht="15.5" x14ac:dyDescent="0.35">
      <c r="B9070" s="167"/>
    </row>
    <row r="9071" spans="2:2" ht="15.5" x14ac:dyDescent="0.35">
      <c r="B9071" s="167"/>
    </row>
    <row r="9072" spans="2:2" ht="15.5" x14ac:dyDescent="0.35">
      <c r="B9072" s="167"/>
    </row>
    <row r="9073" spans="2:2" ht="15.5" x14ac:dyDescent="0.35">
      <c r="B9073" s="167"/>
    </row>
    <row r="9074" spans="2:2" ht="15.5" x14ac:dyDescent="0.35">
      <c r="B9074" s="167"/>
    </row>
    <row r="9075" spans="2:2" ht="15.5" x14ac:dyDescent="0.35">
      <c r="B9075" s="167"/>
    </row>
    <row r="9076" spans="2:2" ht="15.5" x14ac:dyDescent="0.35">
      <c r="B9076" s="167"/>
    </row>
    <row r="9077" spans="2:2" ht="15.5" x14ac:dyDescent="0.35">
      <c r="B9077" s="167"/>
    </row>
    <row r="9078" spans="2:2" ht="15.5" x14ac:dyDescent="0.35">
      <c r="B9078" s="167"/>
    </row>
    <row r="9079" spans="2:2" ht="15.5" x14ac:dyDescent="0.35">
      <c r="B9079" s="167"/>
    </row>
    <row r="9080" spans="2:2" ht="15.5" x14ac:dyDescent="0.35">
      <c r="B9080" s="167"/>
    </row>
    <row r="9081" spans="2:2" ht="15.5" x14ac:dyDescent="0.35">
      <c r="B9081" s="167"/>
    </row>
    <row r="9082" spans="2:2" ht="15.5" x14ac:dyDescent="0.35">
      <c r="B9082" s="167"/>
    </row>
    <row r="9083" spans="2:2" ht="15.5" x14ac:dyDescent="0.35">
      <c r="B9083" s="167"/>
    </row>
    <row r="9084" spans="2:2" ht="15.5" x14ac:dyDescent="0.35">
      <c r="B9084" s="167"/>
    </row>
    <row r="9085" spans="2:2" ht="15.5" x14ac:dyDescent="0.35">
      <c r="B9085" s="167"/>
    </row>
    <row r="9086" spans="2:2" ht="15.5" x14ac:dyDescent="0.35">
      <c r="B9086" s="167"/>
    </row>
    <row r="9087" spans="2:2" ht="15.5" x14ac:dyDescent="0.35">
      <c r="B9087" s="167"/>
    </row>
    <row r="9088" spans="2:2" ht="15.5" x14ac:dyDescent="0.35">
      <c r="B9088" s="167"/>
    </row>
    <row r="9089" spans="2:2" ht="15.5" x14ac:dyDescent="0.35">
      <c r="B9089" s="167"/>
    </row>
    <row r="9090" spans="2:2" ht="15.5" x14ac:dyDescent="0.35">
      <c r="B9090" s="167"/>
    </row>
    <row r="9091" spans="2:2" ht="15.5" x14ac:dyDescent="0.35">
      <c r="B9091" s="167"/>
    </row>
    <row r="9092" spans="2:2" ht="15.5" x14ac:dyDescent="0.35">
      <c r="B9092" s="167"/>
    </row>
    <row r="9093" spans="2:2" ht="15.5" x14ac:dyDescent="0.35">
      <c r="B9093" s="167"/>
    </row>
    <row r="9094" spans="2:2" ht="15.5" x14ac:dyDescent="0.35">
      <c r="B9094" s="167"/>
    </row>
    <row r="9095" spans="2:2" ht="15.5" x14ac:dyDescent="0.35">
      <c r="B9095" s="167"/>
    </row>
    <row r="9096" spans="2:2" ht="15.5" x14ac:dyDescent="0.35">
      <c r="B9096" s="167"/>
    </row>
    <row r="9097" spans="2:2" ht="15.5" x14ac:dyDescent="0.35">
      <c r="B9097" s="167"/>
    </row>
    <row r="9098" spans="2:2" ht="15.5" x14ac:dyDescent="0.35">
      <c r="B9098" s="167"/>
    </row>
    <row r="9099" spans="2:2" ht="15.5" x14ac:dyDescent="0.35">
      <c r="B9099" s="167"/>
    </row>
    <row r="9100" spans="2:2" ht="15.5" x14ac:dyDescent="0.35">
      <c r="B9100" s="167"/>
    </row>
    <row r="9101" spans="2:2" ht="15.5" x14ac:dyDescent="0.35">
      <c r="B9101" s="167"/>
    </row>
    <row r="9102" spans="2:2" ht="15.5" x14ac:dyDescent="0.35">
      <c r="B9102" s="167"/>
    </row>
    <row r="9103" spans="2:2" ht="15.5" x14ac:dyDescent="0.35">
      <c r="B9103" s="167"/>
    </row>
    <row r="9104" spans="2:2" ht="15.5" x14ac:dyDescent="0.35">
      <c r="B9104" s="167"/>
    </row>
    <row r="9105" spans="2:2" ht="15.5" x14ac:dyDescent="0.35">
      <c r="B9105" s="167"/>
    </row>
    <row r="9106" spans="2:2" ht="15.5" x14ac:dyDescent="0.35">
      <c r="B9106" s="167"/>
    </row>
    <row r="9107" spans="2:2" ht="15.5" x14ac:dyDescent="0.35">
      <c r="B9107" s="167"/>
    </row>
    <row r="9108" spans="2:2" ht="15.5" x14ac:dyDescent="0.35">
      <c r="B9108" s="167"/>
    </row>
    <row r="9109" spans="2:2" ht="15.5" x14ac:dyDescent="0.35">
      <c r="B9109" s="167"/>
    </row>
    <row r="9110" spans="2:2" ht="15.5" x14ac:dyDescent="0.35">
      <c r="B9110" s="167"/>
    </row>
    <row r="9111" spans="2:2" ht="15.5" x14ac:dyDescent="0.35">
      <c r="B9111" s="167"/>
    </row>
    <row r="9112" spans="2:2" ht="15.5" x14ac:dyDescent="0.35">
      <c r="B9112" s="167"/>
    </row>
    <row r="9113" spans="2:2" ht="15.5" x14ac:dyDescent="0.35">
      <c r="B9113" s="167"/>
    </row>
    <row r="9114" spans="2:2" ht="15.5" x14ac:dyDescent="0.35">
      <c r="B9114" s="167"/>
    </row>
    <row r="9115" spans="2:2" ht="15.5" x14ac:dyDescent="0.35">
      <c r="B9115" s="167"/>
    </row>
    <row r="9116" spans="2:2" ht="15.5" x14ac:dyDescent="0.35">
      <c r="B9116" s="167"/>
    </row>
    <row r="9117" spans="2:2" ht="15.5" x14ac:dyDescent="0.35">
      <c r="B9117" s="167"/>
    </row>
    <row r="9118" spans="2:2" ht="15.5" x14ac:dyDescent="0.35">
      <c r="B9118" s="167"/>
    </row>
    <row r="9119" spans="2:2" ht="15.5" x14ac:dyDescent="0.35">
      <c r="B9119" s="167"/>
    </row>
    <row r="9120" spans="2:2" ht="15.5" x14ac:dyDescent="0.35">
      <c r="B9120" s="167"/>
    </row>
    <row r="9121" spans="2:2" ht="15.5" x14ac:dyDescent="0.35">
      <c r="B9121" s="167"/>
    </row>
    <row r="9122" spans="2:2" ht="15.5" x14ac:dyDescent="0.35">
      <c r="B9122" s="167"/>
    </row>
    <row r="9123" spans="2:2" ht="15.5" x14ac:dyDescent="0.35">
      <c r="B9123" s="167"/>
    </row>
    <row r="9124" spans="2:2" ht="15.5" x14ac:dyDescent="0.35">
      <c r="B9124" s="167"/>
    </row>
    <row r="9125" spans="2:2" ht="15.5" x14ac:dyDescent="0.35">
      <c r="B9125" s="167"/>
    </row>
    <row r="9126" spans="2:2" ht="15.5" x14ac:dyDescent="0.35">
      <c r="B9126" s="167"/>
    </row>
    <row r="9127" spans="2:2" ht="15.5" x14ac:dyDescent="0.35">
      <c r="B9127" s="167"/>
    </row>
    <row r="9128" spans="2:2" ht="15.5" x14ac:dyDescent="0.35">
      <c r="B9128" s="167"/>
    </row>
    <row r="9129" spans="2:2" ht="15.5" x14ac:dyDescent="0.35">
      <c r="B9129" s="167"/>
    </row>
    <row r="9130" spans="2:2" ht="15.5" x14ac:dyDescent="0.35">
      <c r="B9130" s="167"/>
    </row>
    <row r="9131" spans="2:2" ht="15.5" x14ac:dyDescent="0.35">
      <c r="B9131" s="167"/>
    </row>
    <row r="9132" spans="2:2" ht="15.5" x14ac:dyDescent="0.35">
      <c r="B9132" s="167"/>
    </row>
    <row r="9133" spans="2:2" ht="15.5" x14ac:dyDescent="0.35">
      <c r="B9133" s="167"/>
    </row>
    <row r="9134" spans="2:2" ht="15.5" x14ac:dyDescent="0.35">
      <c r="B9134" s="167"/>
    </row>
    <row r="9135" spans="2:2" ht="15.5" x14ac:dyDescent="0.35">
      <c r="B9135" s="167"/>
    </row>
    <row r="9136" spans="2:2" ht="15.5" x14ac:dyDescent="0.35">
      <c r="B9136" s="167"/>
    </row>
    <row r="9137" spans="2:2" ht="15.5" x14ac:dyDescent="0.35">
      <c r="B9137" s="167"/>
    </row>
    <row r="9138" spans="2:2" ht="15.5" x14ac:dyDescent="0.35">
      <c r="B9138" s="167"/>
    </row>
    <row r="9139" spans="2:2" ht="15.5" x14ac:dyDescent="0.35">
      <c r="B9139" s="167"/>
    </row>
    <row r="9140" spans="2:2" ht="15.5" x14ac:dyDescent="0.35">
      <c r="B9140" s="167"/>
    </row>
    <row r="9141" spans="2:2" ht="15.5" x14ac:dyDescent="0.35">
      <c r="B9141" s="167"/>
    </row>
    <row r="9142" spans="2:2" ht="15.5" x14ac:dyDescent="0.35">
      <c r="B9142" s="167"/>
    </row>
    <row r="9143" spans="2:2" ht="15.5" x14ac:dyDescent="0.35">
      <c r="B9143" s="167"/>
    </row>
    <row r="9144" spans="2:2" ht="15.5" x14ac:dyDescent="0.35">
      <c r="B9144" s="167"/>
    </row>
    <row r="9145" spans="2:2" ht="15.5" x14ac:dyDescent="0.35">
      <c r="B9145" s="167"/>
    </row>
    <row r="9146" spans="2:2" ht="15.5" x14ac:dyDescent="0.35">
      <c r="B9146" s="167"/>
    </row>
    <row r="9147" spans="2:2" ht="15.5" x14ac:dyDescent="0.35">
      <c r="B9147" s="167"/>
    </row>
    <row r="9148" spans="2:2" ht="15.5" x14ac:dyDescent="0.35">
      <c r="B9148" s="167"/>
    </row>
    <row r="9149" spans="2:2" ht="15.5" x14ac:dyDescent="0.35">
      <c r="B9149" s="167"/>
    </row>
    <row r="9150" spans="2:2" ht="15.5" x14ac:dyDescent="0.35">
      <c r="B9150" s="167"/>
    </row>
    <row r="9151" spans="2:2" ht="15.5" x14ac:dyDescent="0.35">
      <c r="B9151" s="167"/>
    </row>
    <row r="9152" spans="2:2" ht="15.5" x14ac:dyDescent="0.35">
      <c r="B9152" s="167"/>
    </row>
    <row r="9153" spans="2:2" ht="15.5" x14ac:dyDescent="0.35">
      <c r="B9153" s="167"/>
    </row>
    <row r="9154" spans="2:2" ht="15.5" x14ac:dyDescent="0.35">
      <c r="B9154" s="167"/>
    </row>
    <row r="9155" spans="2:2" ht="15.5" x14ac:dyDescent="0.35">
      <c r="B9155" s="167"/>
    </row>
    <row r="9156" spans="2:2" ht="15.5" x14ac:dyDescent="0.35">
      <c r="B9156" s="167"/>
    </row>
    <row r="9157" spans="2:2" ht="15.5" x14ac:dyDescent="0.35">
      <c r="B9157" s="167"/>
    </row>
    <row r="9158" spans="2:2" ht="15.5" x14ac:dyDescent="0.35">
      <c r="B9158" s="167"/>
    </row>
    <row r="9159" spans="2:2" ht="15.5" x14ac:dyDescent="0.35">
      <c r="B9159" s="167"/>
    </row>
    <row r="9160" spans="2:2" ht="15.5" x14ac:dyDescent="0.35">
      <c r="B9160" s="167"/>
    </row>
    <row r="9161" spans="2:2" ht="15.5" x14ac:dyDescent="0.35">
      <c r="B9161" s="167"/>
    </row>
    <row r="9162" spans="2:2" ht="15.5" x14ac:dyDescent="0.35">
      <c r="B9162" s="167"/>
    </row>
    <row r="9163" spans="2:2" ht="15.5" x14ac:dyDescent="0.35">
      <c r="B9163" s="167"/>
    </row>
    <row r="9164" spans="2:2" ht="15.5" x14ac:dyDescent="0.35">
      <c r="B9164" s="167"/>
    </row>
    <row r="9165" spans="2:2" ht="15.5" x14ac:dyDescent="0.35">
      <c r="B9165" s="167"/>
    </row>
    <row r="9166" spans="2:2" ht="15.5" x14ac:dyDescent="0.35">
      <c r="B9166" s="167"/>
    </row>
    <row r="9167" spans="2:2" ht="15.5" x14ac:dyDescent="0.35">
      <c r="B9167" s="167"/>
    </row>
    <row r="9168" spans="2:2" ht="15.5" x14ac:dyDescent="0.35">
      <c r="B9168" s="167"/>
    </row>
    <row r="9169" spans="2:2" ht="15.5" x14ac:dyDescent="0.35">
      <c r="B9169" s="167"/>
    </row>
    <row r="9170" spans="2:2" ht="15.5" x14ac:dyDescent="0.35">
      <c r="B9170" s="167"/>
    </row>
    <row r="9171" spans="2:2" ht="15.5" x14ac:dyDescent="0.35">
      <c r="B9171" s="167"/>
    </row>
    <row r="9172" spans="2:2" ht="15.5" x14ac:dyDescent="0.35">
      <c r="B9172" s="167"/>
    </row>
    <row r="9173" spans="2:2" ht="15.5" x14ac:dyDescent="0.35">
      <c r="B9173" s="167"/>
    </row>
    <row r="9174" spans="2:2" ht="15.5" x14ac:dyDescent="0.35">
      <c r="B9174" s="167"/>
    </row>
    <row r="9175" spans="2:2" ht="15.5" x14ac:dyDescent="0.35">
      <c r="B9175" s="167"/>
    </row>
    <row r="9176" spans="2:2" ht="15.5" x14ac:dyDescent="0.35">
      <c r="B9176" s="167"/>
    </row>
    <row r="9177" spans="2:2" ht="15.5" x14ac:dyDescent="0.35">
      <c r="B9177" s="167"/>
    </row>
    <row r="9178" spans="2:2" ht="15.5" x14ac:dyDescent="0.35">
      <c r="B9178" s="167"/>
    </row>
    <row r="9179" spans="2:2" ht="15.5" x14ac:dyDescent="0.35">
      <c r="B9179" s="167"/>
    </row>
    <row r="9180" spans="2:2" ht="15.5" x14ac:dyDescent="0.35">
      <c r="B9180" s="167"/>
    </row>
    <row r="9181" spans="2:2" ht="15.5" x14ac:dyDescent="0.35">
      <c r="B9181" s="167"/>
    </row>
    <row r="9182" spans="2:2" ht="15.5" x14ac:dyDescent="0.35">
      <c r="B9182" s="167"/>
    </row>
    <row r="9183" spans="2:2" ht="15.5" x14ac:dyDescent="0.35">
      <c r="B9183" s="167"/>
    </row>
    <row r="9184" spans="2:2" ht="15.5" x14ac:dyDescent="0.35">
      <c r="B9184" s="167"/>
    </row>
    <row r="9185" spans="2:2" ht="15.5" x14ac:dyDescent="0.35">
      <c r="B9185" s="167"/>
    </row>
    <row r="9186" spans="2:2" ht="15.5" x14ac:dyDescent="0.35">
      <c r="B9186" s="167"/>
    </row>
    <row r="9187" spans="2:2" ht="15.5" x14ac:dyDescent="0.35">
      <c r="B9187" s="167"/>
    </row>
    <row r="9188" spans="2:2" ht="15.5" x14ac:dyDescent="0.35">
      <c r="B9188" s="167"/>
    </row>
    <row r="9189" spans="2:2" ht="15.5" x14ac:dyDescent="0.35">
      <c r="B9189" s="167"/>
    </row>
    <row r="9190" spans="2:2" ht="15.5" x14ac:dyDescent="0.35">
      <c r="B9190" s="167"/>
    </row>
    <row r="9191" spans="2:2" ht="15.5" x14ac:dyDescent="0.35">
      <c r="B9191" s="167"/>
    </row>
    <row r="9192" spans="2:2" ht="15.5" x14ac:dyDescent="0.35">
      <c r="B9192" s="167"/>
    </row>
    <row r="9193" spans="2:2" ht="15.5" x14ac:dyDescent="0.35">
      <c r="B9193" s="167"/>
    </row>
    <row r="9194" spans="2:2" ht="15.5" x14ac:dyDescent="0.35">
      <c r="B9194" s="167"/>
    </row>
    <row r="9195" spans="2:2" ht="15.5" x14ac:dyDescent="0.35">
      <c r="B9195" s="167"/>
    </row>
    <row r="9196" spans="2:2" ht="15.5" x14ac:dyDescent="0.35">
      <c r="B9196" s="167"/>
    </row>
    <row r="9197" spans="2:2" ht="15.5" x14ac:dyDescent="0.35">
      <c r="B9197" s="167"/>
    </row>
    <row r="9198" spans="2:2" ht="15.5" x14ac:dyDescent="0.35">
      <c r="B9198" s="167"/>
    </row>
    <row r="9199" spans="2:2" ht="15.5" x14ac:dyDescent="0.35">
      <c r="B9199" s="167"/>
    </row>
    <row r="9200" spans="2:2" ht="15.5" x14ac:dyDescent="0.35">
      <c r="B9200" s="167"/>
    </row>
    <row r="9201" spans="2:2" ht="15.5" x14ac:dyDescent="0.35">
      <c r="B9201" s="167"/>
    </row>
    <row r="9202" spans="2:2" ht="15.5" x14ac:dyDescent="0.35">
      <c r="B9202" s="167"/>
    </row>
    <row r="9203" spans="2:2" ht="15.5" x14ac:dyDescent="0.35">
      <c r="B9203" s="167"/>
    </row>
    <row r="9204" spans="2:2" ht="15.5" x14ac:dyDescent="0.35">
      <c r="B9204" s="167"/>
    </row>
    <row r="9205" spans="2:2" ht="15.5" x14ac:dyDescent="0.35">
      <c r="B9205" s="167"/>
    </row>
    <row r="9206" spans="2:2" ht="15.5" x14ac:dyDescent="0.35">
      <c r="B9206" s="167"/>
    </row>
    <row r="9207" spans="2:2" ht="15.5" x14ac:dyDescent="0.35">
      <c r="B9207" s="167"/>
    </row>
    <row r="9208" spans="2:2" ht="15.5" x14ac:dyDescent="0.35">
      <c r="B9208" s="167"/>
    </row>
    <row r="9209" spans="2:2" ht="15.5" x14ac:dyDescent="0.35">
      <c r="B9209" s="167"/>
    </row>
    <row r="9210" spans="2:2" ht="15.5" x14ac:dyDescent="0.35">
      <c r="B9210" s="167"/>
    </row>
    <row r="9211" spans="2:2" ht="15.5" x14ac:dyDescent="0.35">
      <c r="B9211" s="167"/>
    </row>
    <row r="9212" spans="2:2" ht="15.5" x14ac:dyDescent="0.35">
      <c r="B9212" s="167"/>
    </row>
    <row r="9213" spans="2:2" ht="15.5" x14ac:dyDescent="0.35">
      <c r="B9213" s="167"/>
    </row>
    <row r="9214" spans="2:2" ht="15.5" x14ac:dyDescent="0.35">
      <c r="B9214" s="167"/>
    </row>
    <row r="9215" spans="2:2" ht="15.5" x14ac:dyDescent="0.35">
      <c r="B9215" s="167"/>
    </row>
    <row r="9216" spans="2:2" ht="15.5" x14ac:dyDescent="0.35">
      <c r="B9216" s="167"/>
    </row>
    <row r="9217" spans="2:2" ht="15.5" x14ac:dyDescent="0.35">
      <c r="B9217" s="167"/>
    </row>
    <row r="9218" spans="2:2" ht="15.5" x14ac:dyDescent="0.35">
      <c r="B9218" s="167"/>
    </row>
    <row r="9219" spans="2:2" ht="15.5" x14ac:dyDescent="0.35">
      <c r="B9219" s="167"/>
    </row>
    <row r="9220" spans="2:2" ht="15.5" x14ac:dyDescent="0.35">
      <c r="B9220" s="167"/>
    </row>
    <row r="9221" spans="2:2" ht="15.5" x14ac:dyDescent="0.35">
      <c r="B9221" s="167"/>
    </row>
    <row r="9222" spans="2:2" ht="15.5" x14ac:dyDescent="0.35">
      <c r="B9222" s="167"/>
    </row>
    <row r="9223" spans="2:2" ht="15.5" x14ac:dyDescent="0.35">
      <c r="B9223" s="167"/>
    </row>
    <row r="9224" spans="2:2" ht="15.5" x14ac:dyDescent="0.35">
      <c r="B9224" s="167"/>
    </row>
    <row r="9225" spans="2:2" ht="15.5" x14ac:dyDescent="0.35">
      <c r="B9225" s="167"/>
    </row>
    <row r="9226" spans="2:2" ht="15.5" x14ac:dyDescent="0.35">
      <c r="B9226" s="167"/>
    </row>
    <row r="9227" spans="2:2" ht="15.5" x14ac:dyDescent="0.35">
      <c r="B9227" s="167"/>
    </row>
    <row r="9228" spans="2:2" ht="15.5" x14ac:dyDescent="0.35">
      <c r="B9228" s="167"/>
    </row>
    <row r="9229" spans="2:2" ht="15.5" x14ac:dyDescent="0.35">
      <c r="B9229" s="167"/>
    </row>
    <row r="9230" spans="2:2" ht="15.5" x14ac:dyDescent="0.35">
      <c r="B9230" s="167"/>
    </row>
    <row r="9231" spans="2:2" ht="15.5" x14ac:dyDescent="0.35">
      <c r="B9231" s="167"/>
    </row>
    <row r="9232" spans="2:2" ht="15.5" x14ac:dyDescent="0.35">
      <c r="B9232" s="167"/>
    </row>
    <row r="9233" spans="2:2" ht="15.5" x14ac:dyDescent="0.35">
      <c r="B9233" s="167"/>
    </row>
    <row r="9234" spans="2:2" ht="15.5" x14ac:dyDescent="0.35">
      <c r="B9234" s="167"/>
    </row>
    <row r="9235" spans="2:2" ht="15.5" x14ac:dyDescent="0.35">
      <c r="B9235" s="167"/>
    </row>
    <row r="9236" spans="2:2" ht="15.5" x14ac:dyDescent="0.35">
      <c r="B9236" s="167"/>
    </row>
    <row r="9237" spans="2:2" ht="15.5" x14ac:dyDescent="0.35">
      <c r="B9237" s="167"/>
    </row>
    <row r="9238" spans="2:2" ht="15.5" x14ac:dyDescent="0.35">
      <c r="B9238" s="167"/>
    </row>
    <row r="9239" spans="2:2" ht="15.5" x14ac:dyDescent="0.35">
      <c r="B9239" s="167"/>
    </row>
    <row r="9240" spans="2:2" ht="15.5" x14ac:dyDescent="0.35">
      <c r="B9240" s="167"/>
    </row>
    <row r="9241" spans="2:2" ht="15.5" x14ac:dyDescent="0.35">
      <c r="B9241" s="167"/>
    </row>
    <row r="9242" spans="2:2" ht="15.5" x14ac:dyDescent="0.35">
      <c r="B9242" s="167"/>
    </row>
    <row r="9243" spans="2:2" ht="15.5" x14ac:dyDescent="0.35">
      <c r="B9243" s="167"/>
    </row>
    <row r="9244" spans="2:2" ht="15.5" x14ac:dyDescent="0.35">
      <c r="B9244" s="167"/>
    </row>
    <row r="9245" spans="2:2" ht="15.5" x14ac:dyDescent="0.35">
      <c r="B9245" s="167"/>
    </row>
    <row r="9246" spans="2:2" ht="15.5" x14ac:dyDescent="0.35">
      <c r="B9246" s="167"/>
    </row>
    <row r="9247" spans="2:2" ht="15.5" x14ac:dyDescent="0.35">
      <c r="B9247" s="167"/>
    </row>
    <row r="9248" spans="2:2" ht="15.5" x14ac:dyDescent="0.35">
      <c r="B9248" s="167"/>
    </row>
    <row r="9249" spans="2:2" ht="15.5" x14ac:dyDescent="0.35">
      <c r="B9249" s="167"/>
    </row>
    <row r="9250" spans="2:2" ht="15.5" x14ac:dyDescent="0.35">
      <c r="B9250" s="167"/>
    </row>
    <row r="9251" spans="2:2" ht="15.5" x14ac:dyDescent="0.35">
      <c r="B9251" s="167"/>
    </row>
    <row r="9252" spans="2:2" ht="15.5" x14ac:dyDescent="0.35">
      <c r="B9252" s="167"/>
    </row>
    <row r="9253" spans="2:2" ht="15.5" x14ac:dyDescent="0.35">
      <c r="B9253" s="167"/>
    </row>
    <row r="9254" spans="2:2" ht="15.5" x14ac:dyDescent="0.35">
      <c r="B9254" s="167"/>
    </row>
    <row r="9255" spans="2:2" ht="15.5" x14ac:dyDescent="0.35">
      <c r="B9255" s="167"/>
    </row>
    <row r="9256" spans="2:2" ht="15.5" x14ac:dyDescent="0.35">
      <c r="B9256" s="167"/>
    </row>
    <row r="9257" spans="2:2" ht="15.5" x14ac:dyDescent="0.35">
      <c r="B9257" s="167"/>
    </row>
    <row r="9258" spans="2:2" ht="15.5" x14ac:dyDescent="0.35">
      <c r="B9258" s="167"/>
    </row>
    <row r="9259" spans="2:2" ht="15.5" x14ac:dyDescent="0.35">
      <c r="B9259" s="167"/>
    </row>
    <row r="9260" spans="2:2" ht="15.5" x14ac:dyDescent="0.35">
      <c r="B9260" s="167"/>
    </row>
    <row r="9261" spans="2:2" ht="15.5" x14ac:dyDescent="0.35">
      <c r="B9261" s="167"/>
    </row>
    <row r="9262" spans="2:2" ht="15.5" x14ac:dyDescent="0.35">
      <c r="B9262" s="167"/>
    </row>
    <row r="9263" spans="2:2" ht="15.5" x14ac:dyDescent="0.35">
      <c r="B9263" s="167"/>
    </row>
    <row r="9264" spans="2:2" ht="15.5" x14ac:dyDescent="0.35">
      <c r="B9264" s="167"/>
    </row>
    <row r="9265" spans="2:2" ht="15.5" x14ac:dyDescent="0.35">
      <c r="B9265" s="167"/>
    </row>
    <row r="9266" spans="2:2" ht="15.5" x14ac:dyDescent="0.35">
      <c r="B9266" s="167"/>
    </row>
    <row r="9267" spans="2:2" ht="15.5" x14ac:dyDescent="0.35">
      <c r="B9267" s="167"/>
    </row>
    <row r="9268" spans="2:2" ht="15.5" x14ac:dyDescent="0.35">
      <c r="B9268" s="167"/>
    </row>
    <row r="9269" spans="2:2" ht="15.5" x14ac:dyDescent="0.35">
      <c r="B9269" s="167"/>
    </row>
    <row r="9270" spans="2:2" ht="15.5" x14ac:dyDescent="0.35">
      <c r="B9270" s="167"/>
    </row>
    <row r="9271" spans="2:2" ht="15.5" x14ac:dyDescent="0.35">
      <c r="B9271" s="167"/>
    </row>
    <row r="9272" spans="2:2" ht="15.5" x14ac:dyDescent="0.35">
      <c r="B9272" s="167"/>
    </row>
    <row r="9273" spans="2:2" ht="15.5" x14ac:dyDescent="0.35">
      <c r="B9273" s="167"/>
    </row>
    <row r="9274" spans="2:2" ht="15.5" x14ac:dyDescent="0.35">
      <c r="B9274" s="167"/>
    </row>
    <row r="9275" spans="2:2" ht="15.5" x14ac:dyDescent="0.35">
      <c r="B9275" s="167"/>
    </row>
    <row r="9276" spans="2:2" ht="15.5" x14ac:dyDescent="0.35">
      <c r="B9276" s="167"/>
    </row>
    <row r="9277" spans="2:2" ht="15.5" x14ac:dyDescent="0.35">
      <c r="B9277" s="167"/>
    </row>
    <row r="9278" spans="2:2" ht="15.5" x14ac:dyDescent="0.35">
      <c r="B9278" s="167"/>
    </row>
    <row r="9279" spans="2:2" ht="15.5" x14ac:dyDescent="0.35">
      <c r="B9279" s="167"/>
    </row>
    <row r="9280" spans="2:2" ht="15.5" x14ac:dyDescent="0.35">
      <c r="B9280" s="167"/>
    </row>
    <row r="9281" spans="2:2" ht="15.5" x14ac:dyDescent="0.35">
      <c r="B9281" s="167"/>
    </row>
    <row r="9282" spans="2:2" ht="15.5" x14ac:dyDescent="0.35">
      <c r="B9282" s="167"/>
    </row>
    <row r="9283" spans="2:2" ht="15.5" x14ac:dyDescent="0.35">
      <c r="B9283" s="167"/>
    </row>
    <row r="9284" spans="2:2" ht="15.5" x14ac:dyDescent="0.35">
      <c r="B9284" s="167"/>
    </row>
    <row r="9285" spans="2:2" ht="15.5" x14ac:dyDescent="0.35">
      <c r="B9285" s="167"/>
    </row>
    <row r="9286" spans="2:2" ht="15.5" x14ac:dyDescent="0.35">
      <c r="B9286" s="167"/>
    </row>
    <row r="9287" spans="2:2" ht="15.5" x14ac:dyDescent="0.35">
      <c r="B9287" s="167"/>
    </row>
    <row r="9288" spans="2:2" ht="15.5" x14ac:dyDescent="0.35">
      <c r="B9288" s="167"/>
    </row>
    <row r="9289" spans="2:2" ht="15.5" x14ac:dyDescent="0.35">
      <c r="B9289" s="167"/>
    </row>
    <row r="9290" spans="2:2" ht="15.5" x14ac:dyDescent="0.35">
      <c r="B9290" s="167"/>
    </row>
    <row r="9291" spans="2:2" ht="15.5" x14ac:dyDescent="0.35">
      <c r="B9291" s="167"/>
    </row>
    <row r="9292" spans="2:2" ht="15.5" x14ac:dyDescent="0.35">
      <c r="B9292" s="167"/>
    </row>
    <row r="9293" spans="2:2" ht="15.5" x14ac:dyDescent="0.35">
      <c r="B9293" s="167"/>
    </row>
    <row r="9294" spans="2:2" ht="15.5" x14ac:dyDescent="0.35">
      <c r="B9294" s="167"/>
    </row>
    <row r="9295" spans="2:2" ht="15.5" x14ac:dyDescent="0.35">
      <c r="B9295" s="167"/>
    </row>
    <row r="9296" spans="2:2" ht="15.5" x14ac:dyDescent="0.35">
      <c r="B9296" s="167"/>
    </row>
    <row r="9297" spans="2:2" ht="15.5" x14ac:dyDescent="0.35">
      <c r="B9297" s="167"/>
    </row>
    <row r="9298" spans="2:2" ht="15.5" x14ac:dyDescent="0.35">
      <c r="B9298" s="167"/>
    </row>
    <row r="9299" spans="2:2" ht="15.5" x14ac:dyDescent="0.35">
      <c r="B9299" s="167"/>
    </row>
    <row r="9300" spans="2:2" ht="15.5" x14ac:dyDescent="0.35">
      <c r="B9300" s="167"/>
    </row>
    <row r="9301" spans="2:2" ht="15.5" x14ac:dyDescent="0.35">
      <c r="B9301" s="167"/>
    </row>
    <row r="9302" spans="2:2" ht="15.5" x14ac:dyDescent="0.35">
      <c r="B9302" s="167"/>
    </row>
    <row r="9303" spans="2:2" ht="15.5" x14ac:dyDescent="0.35">
      <c r="B9303" s="167"/>
    </row>
    <row r="9304" spans="2:2" ht="15.5" x14ac:dyDescent="0.35">
      <c r="B9304" s="167"/>
    </row>
    <row r="9305" spans="2:2" ht="15.5" x14ac:dyDescent="0.35">
      <c r="B9305" s="167"/>
    </row>
    <row r="9306" spans="2:2" ht="15.5" x14ac:dyDescent="0.35">
      <c r="B9306" s="167"/>
    </row>
    <row r="9307" spans="2:2" ht="15.5" x14ac:dyDescent="0.35">
      <c r="B9307" s="167"/>
    </row>
    <row r="9308" spans="2:2" ht="15.5" x14ac:dyDescent="0.35">
      <c r="B9308" s="167"/>
    </row>
    <row r="9309" spans="2:2" ht="15.5" x14ac:dyDescent="0.35">
      <c r="B9309" s="167"/>
    </row>
    <row r="9310" spans="2:2" ht="15.5" x14ac:dyDescent="0.35">
      <c r="B9310" s="167"/>
    </row>
    <row r="9311" spans="2:2" ht="15.5" x14ac:dyDescent="0.35">
      <c r="B9311" s="167"/>
    </row>
    <row r="9312" spans="2:2" ht="15.5" x14ac:dyDescent="0.35">
      <c r="B9312" s="167"/>
    </row>
    <row r="9313" spans="2:2" ht="15.5" x14ac:dyDescent="0.35">
      <c r="B9313" s="167"/>
    </row>
    <row r="9314" spans="2:2" ht="15.5" x14ac:dyDescent="0.35">
      <c r="B9314" s="167"/>
    </row>
    <row r="9315" spans="2:2" ht="15.5" x14ac:dyDescent="0.35">
      <c r="B9315" s="167"/>
    </row>
    <row r="9316" spans="2:2" ht="15.5" x14ac:dyDescent="0.35">
      <c r="B9316" s="167"/>
    </row>
    <row r="9317" spans="2:2" ht="15.5" x14ac:dyDescent="0.35">
      <c r="B9317" s="167"/>
    </row>
    <row r="9318" spans="2:2" ht="15.5" x14ac:dyDescent="0.35">
      <c r="B9318" s="167"/>
    </row>
    <row r="9319" spans="2:2" ht="15.5" x14ac:dyDescent="0.35">
      <c r="B9319" s="167"/>
    </row>
    <row r="9320" spans="2:2" ht="15.5" x14ac:dyDescent="0.35">
      <c r="B9320" s="167"/>
    </row>
    <row r="9321" spans="2:2" ht="15.5" x14ac:dyDescent="0.35">
      <c r="B9321" s="167"/>
    </row>
    <row r="9322" spans="2:2" ht="15.5" x14ac:dyDescent="0.35">
      <c r="B9322" s="167"/>
    </row>
    <row r="9323" spans="2:2" ht="15.5" x14ac:dyDescent="0.35">
      <c r="B9323" s="167"/>
    </row>
    <row r="9324" spans="2:2" ht="15.5" x14ac:dyDescent="0.35">
      <c r="B9324" s="167"/>
    </row>
    <row r="9325" spans="2:2" ht="15.5" x14ac:dyDescent="0.35">
      <c r="B9325" s="167"/>
    </row>
    <row r="9326" spans="2:2" ht="15.5" x14ac:dyDescent="0.35">
      <c r="B9326" s="167"/>
    </row>
    <row r="9327" spans="2:2" ht="15.5" x14ac:dyDescent="0.35">
      <c r="B9327" s="167"/>
    </row>
    <row r="9328" spans="2:2" ht="15.5" x14ac:dyDescent="0.35">
      <c r="B9328" s="167"/>
    </row>
    <row r="9329" spans="2:2" ht="15.5" x14ac:dyDescent="0.35">
      <c r="B9329" s="167"/>
    </row>
    <row r="9330" spans="2:2" ht="15.5" x14ac:dyDescent="0.35">
      <c r="B9330" s="167"/>
    </row>
    <row r="9331" spans="2:2" ht="15.5" x14ac:dyDescent="0.35">
      <c r="B9331" s="167"/>
    </row>
    <row r="9332" spans="2:2" ht="15.5" x14ac:dyDescent="0.35">
      <c r="B9332" s="167"/>
    </row>
    <row r="9333" spans="2:2" ht="15.5" x14ac:dyDescent="0.35">
      <c r="B9333" s="167"/>
    </row>
    <row r="9334" spans="2:2" ht="15.5" x14ac:dyDescent="0.35">
      <c r="B9334" s="167"/>
    </row>
    <row r="9335" spans="2:2" ht="15.5" x14ac:dyDescent="0.35">
      <c r="B9335" s="167"/>
    </row>
    <row r="9336" spans="2:2" ht="15.5" x14ac:dyDescent="0.35">
      <c r="B9336" s="167"/>
    </row>
    <row r="9337" spans="2:2" ht="15.5" x14ac:dyDescent="0.35">
      <c r="B9337" s="167"/>
    </row>
    <row r="9338" spans="2:2" ht="15.5" x14ac:dyDescent="0.35">
      <c r="B9338" s="167"/>
    </row>
    <row r="9339" spans="2:2" ht="15.5" x14ac:dyDescent="0.35">
      <c r="B9339" s="167"/>
    </row>
    <row r="9340" spans="2:2" ht="15.5" x14ac:dyDescent="0.35">
      <c r="B9340" s="167"/>
    </row>
    <row r="9341" spans="2:2" ht="15.5" x14ac:dyDescent="0.35">
      <c r="B9341" s="167"/>
    </row>
    <row r="9342" spans="2:2" ht="15.5" x14ac:dyDescent="0.35">
      <c r="B9342" s="167"/>
    </row>
    <row r="9343" spans="2:2" ht="15.5" x14ac:dyDescent="0.35">
      <c r="B9343" s="167"/>
    </row>
    <row r="9344" spans="2:2" ht="15.5" x14ac:dyDescent="0.35">
      <c r="B9344" s="167"/>
    </row>
    <row r="9345" spans="2:2" ht="15.5" x14ac:dyDescent="0.35">
      <c r="B9345" s="167"/>
    </row>
    <row r="9346" spans="2:2" ht="15.5" x14ac:dyDescent="0.35">
      <c r="B9346" s="167"/>
    </row>
    <row r="9347" spans="2:2" ht="15.5" x14ac:dyDescent="0.35">
      <c r="B9347" s="167"/>
    </row>
    <row r="9348" spans="2:2" ht="15.5" x14ac:dyDescent="0.35">
      <c r="B9348" s="167"/>
    </row>
    <row r="9349" spans="2:2" ht="15.5" x14ac:dyDescent="0.35">
      <c r="B9349" s="167"/>
    </row>
    <row r="9350" spans="2:2" ht="15.5" x14ac:dyDescent="0.35">
      <c r="B9350" s="167"/>
    </row>
    <row r="9351" spans="2:2" ht="15.5" x14ac:dyDescent="0.35">
      <c r="B9351" s="167"/>
    </row>
    <row r="9352" spans="2:2" ht="15.5" x14ac:dyDescent="0.35">
      <c r="B9352" s="167"/>
    </row>
    <row r="9353" spans="2:2" ht="15.5" x14ac:dyDescent="0.35">
      <c r="B9353" s="167"/>
    </row>
    <row r="9354" spans="2:2" ht="15.5" x14ac:dyDescent="0.35">
      <c r="B9354" s="167"/>
    </row>
    <row r="9355" spans="2:2" ht="15.5" x14ac:dyDescent="0.35">
      <c r="B9355" s="167"/>
    </row>
    <row r="9356" spans="2:2" ht="15.5" x14ac:dyDescent="0.35">
      <c r="B9356" s="167"/>
    </row>
    <row r="9357" spans="2:2" ht="15.5" x14ac:dyDescent="0.35">
      <c r="B9357" s="167"/>
    </row>
    <row r="9358" spans="2:2" ht="15.5" x14ac:dyDescent="0.35">
      <c r="B9358" s="167"/>
    </row>
    <row r="9359" spans="2:2" ht="15.5" x14ac:dyDescent="0.35">
      <c r="B9359" s="167"/>
    </row>
    <row r="9360" spans="2:2" ht="15.5" x14ac:dyDescent="0.35">
      <c r="B9360" s="167"/>
    </row>
    <row r="9361" spans="2:2" ht="15.5" x14ac:dyDescent="0.35">
      <c r="B9361" s="167"/>
    </row>
    <row r="9362" spans="2:2" ht="15.5" x14ac:dyDescent="0.35">
      <c r="B9362" s="167"/>
    </row>
    <row r="9363" spans="2:2" ht="15.5" x14ac:dyDescent="0.35">
      <c r="B9363" s="167"/>
    </row>
    <row r="9364" spans="2:2" ht="15.5" x14ac:dyDescent="0.35">
      <c r="B9364" s="167"/>
    </row>
    <row r="9365" spans="2:2" ht="15.5" x14ac:dyDescent="0.35">
      <c r="B9365" s="167"/>
    </row>
    <row r="9366" spans="2:2" ht="15.5" x14ac:dyDescent="0.35">
      <c r="B9366" s="167"/>
    </row>
    <row r="9367" spans="2:2" ht="15.5" x14ac:dyDescent="0.35">
      <c r="B9367" s="167"/>
    </row>
    <row r="9368" spans="2:2" ht="15.5" x14ac:dyDescent="0.35">
      <c r="B9368" s="167"/>
    </row>
    <row r="9369" spans="2:2" ht="15.5" x14ac:dyDescent="0.35">
      <c r="B9369" s="167"/>
    </row>
    <row r="9370" spans="2:2" ht="15.5" x14ac:dyDescent="0.35">
      <c r="B9370" s="167"/>
    </row>
    <row r="9371" spans="2:2" ht="15.5" x14ac:dyDescent="0.35">
      <c r="B9371" s="167"/>
    </row>
    <row r="9372" spans="2:2" ht="15.5" x14ac:dyDescent="0.35">
      <c r="B9372" s="167"/>
    </row>
    <row r="9373" spans="2:2" ht="15.5" x14ac:dyDescent="0.35">
      <c r="B9373" s="167"/>
    </row>
    <row r="9374" spans="2:2" ht="15.5" x14ac:dyDescent="0.35">
      <c r="B9374" s="167"/>
    </row>
    <row r="9375" spans="2:2" ht="15.5" x14ac:dyDescent="0.35">
      <c r="B9375" s="167"/>
    </row>
    <row r="9376" spans="2:2" ht="15.5" x14ac:dyDescent="0.35">
      <c r="B9376" s="167"/>
    </row>
    <row r="9377" spans="2:2" ht="15.5" x14ac:dyDescent="0.35">
      <c r="B9377" s="167"/>
    </row>
    <row r="9378" spans="2:2" ht="15.5" x14ac:dyDescent="0.35">
      <c r="B9378" s="167"/>
    </row>
    <row r="9379" spans="2:2" ht="15.5" x14ac:dyDescent="0.35">
      <c r="B9379" s="167"/>
    </row>
    <row r="9380" spans="2:2" ht="15.5" x14ac:dyDescent="0.35">
      <c r="B9380" s="167"/>
    </row>
    <row r="9381" spans="2:2" ht="15.5" x14ac:dyDescent="0.35">
      <c r="B9381" s="167"/>
    </row>
    <row r="9382" spans="2:2" ht="15.5" x14ac:dyDescent="0.35">
      <c r="B9382" s="167"/>
    </row>
    <row r="9383" spans="2:2" ht="15.5" x14ac:dyDescent="0.35">
      <c r="B9383" s="167"/>
    </row>
    <row r="9384" spans="2:2" ht="15.5" x14ac:dyDescent="0.35">
      <c r="B9384" s="167"/>
    </row>
    <row r="9385" spans="2:2" ht="15.5" x14ac:dyDescent="0.35">
      <c r="B9385" s="167"/>
    </row>
    <row r="9386" spans="2:2" ht="15.5" x14ac:dyDescent="0.35">
      <c r="B9386" s="167"/>
    </row>
    <row r="9387" spans="2:2" ht="15.5" x14ac:dyDescent="0.35">
      <c r="B9387" s="167"/>
    </row>
    <row r="9388" spans="2:2" ht="15.5" x14ac:dyDescent="0.35">
      <c r="B9388" s="167"/>
    </row>
    <row r="9389" spans="2:2" ht="15.5" x14ac:dyDescent="0.35">
      <c r="B9389" s="167"/>
    </row>
    <row r="9390" spans="2:2" ht="15.5" x14ac:dyDescent="0.35">
      <c r="B9390" s="167"/>
    </row>
    <row r="9391" spans="2:2" ht="15.5" x14ac:dyDescent="0.35">
      <c r="B9391" s="167"/>
    </row>
    <row r="9392" spans="2:2" ht="15.5" x14ac:dyDescent="0.35">
      <c r="B9392" s="167"/>
    </row>
    <row r="9393" spans="2:2" ht="15.5" x14ac:dyDescent="0.35">
      <c r="B9393" s="167"/>
    </row>
    <row r="9394" spans="2:2" ht="15.5" x14ac:dyDescent="0.35">
      <c r="B9394" s="167"/>
    </row>
    <row r="9395" spans="2:2" ht="15.5" x14ac:dyDescent="0.35">
      <c r="B9395" s="167"/>
    </row>
    <row r="9396" spans="2:2" ht="15.5" x14ac:dyDescent="0.35">
      <c r="B9396" s="167"/>
    </row>
    <row r="9397" spans="2:2" ht="15.5" x14ac:dyDescent="0.35">
      <c r="B9397" s="167"/>
    </row>
    <row r="9398" spans="2:2" ht="15.5" x14ac:dyDescent="0.35">
      <c r="B9398" s="167"/>
    </row>
    <row r="9399" spans="2:2" ht="15.5" x14ac:dyDescent="0.35">
      <c r="B9399" s="167"/>
    </row>
    <row r="9400" spans="2:2" ht="15.5" x14ac:dyDescent="0.35">
      <c r="B9400" s="167"/>
    </row>
    <row r="9401" spans="2:2" ht="15.5" x14ac:dyDescent="0.35">
      <c r="B9401" s="167"/>
    </row>
    <row r="9402" spans="2:2" ht="15.5" x14ac:dyDescent="0.35">
      <c r="B9402" s="167"/>
    </row>
    <row r="9403" spans="2:2" ht="15.5" x14ac:dyDescent="0.35">
      <c r="B9403" s="167"/>
    </row>
    <row r="9404" spans="2:2" ht="15.5" x14ac:dyDescent="0.35">
      <c r="B9404" s="167"/>
    </row>
    <row r="9405" spans="2:2" ht="15.5" x14ac:dyDescent="0.35">
      <c r="B9405" s="167"/>
    </row>
    <row r="9406" spans="2:2" ht="15.5" x14ac:dyDescent="0.35">
      <c r="B9406" s="167"/>
    </row>
    <row r="9407" spans="2:2" ht="15.5" x14ac:dyDescent="0.35">
      <c r="B9407" s="167"/>
    </row>
    <row r="9408" spans="2:2" ht="15.5" x14ac:dyDescent="0.35">
      <c r="B9408" s="167"/>
    </row>
    <row r="9409" spans="2:2" ht="15.5" x14ac:dyDescent="0.35">
      <c r="B9409" s="167"/>
    </row>
    <row r="9410" spans="2:2" ht="15.5" x14ac:dyDescent="0.35">
      <c r="B9410" s="167"/>
    </row>
    <row r="9411" spans="2:2" ht="15.5" x14ac:dyDescent="0.35">
      <c r="B9411" s="167"/>
    </row>
    <row r="9412" spans="2:2" ht="15.5" x14ac:dyDescent="0.35">
      <c r="B9412" s="167"/>
    </row>
    <row r="9413" spans="2:2" ht="15.5" x14ac:dyDescent="0.35">
      <c r="B9413" s="167"/>
    </row>
    <row r="9414" spans="2:2" ht="15.5" x14ac:dyDescent="0.35">
      <c r="B9414" s="167"/>
    </row>
    <row r="9415" spans="2:2" ht="15.5" x14ac:dyDescent="0.35">
      <c r="B9415" s="167"/>
    </row>
    <row r="9416" spans="2:2" ht="15.5" x14ac:dyDescent="0.35">
      <c r="B9416" s="167"/>
    </row>
    <row r="9417" spans="2:2" ht="15.5" x14ac:dyDescent="0.35">
      <c r="B9417" s="167"/>
    </row>
    <row r="9418" spans="2:2" ht="15.5" x14ac:dyDescent="0.35">
      <c r="B9418" s="167"/>
    </row>
    <row r="9419" spans="2:2" ht="15.5" x14ac:dyDescent="0.35">
      <c r="B9419" s="167"/>
    </row>
    <row r="9420" spans="2:2" ht="15.5" x14ac:dyDescent="0.35">
      <c r="B9420" s="167"/>
    </row>
    <row r="9421" spans="2:2" ht="15.5" x14ac:dyDescent="0.35">
      <c r="B9421" s="167"/>
    </row>
    <row r="9422" spans="2:2" ht="15.5" x14ac:dyDescent="0.35">
      <c r="B9422" s="167"/>
    </row>
    <row r="9423" spans="2:2" ht="15.5" x14ac:dyDescent="0.35">
      <c r="B9423" s="167"/>
    </row>
    <row r="9424" spans="2:2" ht="15.5" x14ac:dyDescent="0.35">
      <c r="B9424" s="167"/>
    </row>
    <row r="9425" spans="2:2" ht="15.5" x14ac:dyDescent="0.35">
      <c r="B9425" s="167"/>
    </row>
    <row r="9426" spans="2:2" ht="15.5" x14ac:dyDescent="0.35">
      <c r="B9426" s="167"/>
    </row>
    <row r="9427" spans="2:2" ht="15.5" x14ac:dyDescent="0.35">
      <c r="B9427" s="167"/>
    </row>
    <row r="9428" spans="2:2" ht="15.5" x14ac:dyDescent="0.35">
      <c r="B9428" s="167"/>
    </row>
    <row r="9429" spans="2:2" ht="15.5" x14ac:dyDescent="0.35">
      <c r="B9429" s="167"/>
    </row>
    <row r="9430" spans="2:2" ht="15.5" x14ac:dyDescent="0.35">
      <c r="B9430" s="167"/>
    </row>
    <row r="9431" spans="2:2" ht="15.5" x14ac:dyDescent="0.35">
      <c r="B9431" s="167"/>
    </row>
    <row r="9432" spans="2:2" ht="15.5" x14ac:dyDescent="0.35">
      <c r="B9432" s="167"/>
    </row>
    <row r="9433" spans="2:2" ht="15.5" x14ac:dyDescent="0.35">
      <c r="B9433" s="167"/>
    </row>
    <row r="9434" spans="2:2" ht="15.5" x14ac:dyDescent="0.35">
      <c r="B9434" s="167"/>
    </row>
    <row r="9435" spans="2:2" ht="15.5" x14ac:dyDescent="0.35">
      <c r="B9435" s="167"/>
    </row>
    <row r="9436" spans="2:2" ht="15.5" x14ac:dyDescent="0.35">
      <c r="B9436" s="167"/>
    </row>
    <row r="9437" spans="2:2" ht="15.5" x14ac:dyDescent="0.35">
      <c r="B9437" s="167"/>
    </row>
    <row r="9438" spans="2:2" ht="15.5" x14ac:dyDescent="0.35">
      <c r="B9438" s="167"/>
    </row>
    <row r="9439" spans="2:2" ht="15.5" x14ac:dyDescent="0.35">
      <c r="B9439" s="167"/>
    </row>
    <row r="9440" spans="2:2" ht="15.5" x14ac:dyDescent="0.35">
      <c r="B9440" s="167"/>
    </row>
    <row r="9441" spans="2:2" ht="15.5" x14ac:dyDescent="0.35">
      <c r="B9441" s="167"/>
    </row>
    <row r="9442" spans="2:2" ht="15.5" x14ac:dyDescent="0.35">
      <c r="B9442" s="167"/>
    </row>
    <row r="9443" spans="2:2" ht="15.5" x14ac:dyDescent="0.35">
      <c r="B9443" s="167"/>
    </row>
    <row r="9444" spans="2:2" ht="15.5" x14ac:dyDescent="0.35">
      <c r="B9444" s="167"/>
    </row>
    <row r="9445" spans="2:2" ht="15.5" x14ac:dyDescent="0.35">
      <c r="B9445" s="167"/>
    </row>
    <row r="9446" spans="2:2" ht="15.5" x14ac:dyDescent="0.35">
      <c r="B9446" s="167"/>
    </row>
    <row r="9447" spans="2:2" ht="15.5" x14ac:dyDescent="0.35">
      <c r="B9447" s="167"/>
    </row>
    <row r="9448" spans="2:2" ht="15.5" x14ac:dyDescent="0.35">
      <c r="B9448" s="167"/>
    </row>
    <row r="9449" spans="2:2" ht="15.5" x14ac:dyDescent="0.35">
      <c r="B9449" s="167"/>
    </row>
    <row r="9450" spans="2:2" ht="15.5" x14ac:dyDescent="0.35">
      <c r="B9450" s="167"/>
    </row>
    <row r="9451" spans="2:2" ht="15.5" x14ac:dyDescent="0.35">
      <c r="B9451" s="167"/>
    </row>
    <row r="9452" spans="2:2" ht="15.5" x14ac:dyDescent="0.35">
      <c r="B9452" s="167"/>
    </row>
    <row r="9453" spans="2:2" ht="15.5" x14ac:dyDescent="0.35">
      <c r="B9453" s="167"/>
    </row>
    <row r="9454" spans="2:2" ht="15.5" x14ac:dyDescent="0.35">
      <c r="B9454" s="167"/>
    </row>
    <row r="9455" spans="2:2" ht="15.5" x14ac:dyDescent="0.35">
      <c r="B9455" s="167"/>
    </row>
    <row r="9456" spans="2:2" ht="15.5" x14ac:dyDescent="0.35">
      <c r="B9456" s="167"/>
    </row>
    <row r="9457" spans="2:2" ht="15.5" x14ac:dyDescent="0.35">
      <c r="B9457" s="167"/>
    </row>
    <row r="9458" spans="2:2" ht="15.5" x14ac:dyDescent="0.35">
      <c r="B9458" s="167"/>
    </row>
    <row r="9459" spans="2:2" ht="15.5" x14ac:dyDescent="0.35">
      <c r="B9459" s="167"/>
    </row>
    <row r="9460" spans="2:2" ht="15.5" x14ac:dyDescent="0.35">
      <c r="B9460" s="167"/>
    </row>
    <row r="9461" spans="2:2" ht="15.5" x14ac:dyDescent="0.35">
      <c r="B9461" s="167"/>
    </row>
    <row r="9462" spans="2:2" ht="15.5" x14ac:dyDescent="0.35">
      <c r="B9462" s="167"/>
    </row>
    <row r="9463" spans="2:2" ht="15.5" x14ac:dyDescent="0.35">
      <c r="B9463" s="167"/>
    </row>
    <row r="9464" spans="2:2" ht="15.5" x14ac:dyDescent="0.35">
      <c r="B9464" s="167"/>
    </row>
    <row r="9465" spans="2:2" ht="15.5" x14ac:dyDescent="0.35">
      <c r="B9465" s="167"/>
    </row>
    <row r="9466" spans="2:2" ht="15.5" x14ac:dyDescent="0.35">
      <c r="B9466" s="167"/>
    </row>
    <row r="9467" spans="2:2" ht="15.5" x14ac:dyDescent="0.35">
      <c r="B9467" s="167"/>
    </row>
    <row r="9468" spans="2:2" ht="15.5" x14ac:dyDescent="0.35">
      <c r="B9468" s="167"/>
    </row>
    <row r="9469" spans="2:2" ht="15.5" x14ac:dyDescent="0.35">
      <c r="B9469" s="167"/>
    </row>
    <row r="9470" spans="2:2" ht="15.5" x14ac:dyDescent="0.35">
      <c r="B9470" s="167"/>
    </row>
    <row r="9471" spans="2:2" ht="15.5" x14ac:dyDescent="0.35">
      <c r="B9471" s="167"/>
    </row>
    <row r="9472" spans="2:2" ht="15.5" x14ac:dyDescent="0.35">
      <c r="B9472" s="167"/>
    </row>
    <row r="9473" spans="2:2" ht="15.5" x14ac:dyDescent="0.35">
      <c r="B9473" s="167"/>
    </row>
    <row r="9474" spans="2:2" ht="15.5" x14ac:dyDescent="0.35">
      <c r="B9474" s="167"/>
    </row>
    <row r="9475" spans="2:2" ht="15.5" x14ac:dyDescent="0.35">
      <c r="B9475" s="167"/>
    </row>
    <row r="9476" spans="2:2" ht="15.5" x14ac:dyDescent="0.35">
      <c r="B9476" s="167"/>
    </row>
    <row r="9477" spans="2:2" ht="15.5" x14ac:dyDescent="0.35">
      <c r="B9477" s="167"/>
    </row>
    <row r="9478" spans="2:2" ht="15.5" x14ac:dyDescent="0.35">
      <c r="B9478" s="167"/>
    </row>
    <row r="9479" spans="2:2" ht="15.5" x14ac:dyDescent="0.35">
      <c r="B9479" s="167"/>
    </row>
    <row r="9480" spans="2:2" ht="15.5" x14ac:dyDescent="0.35">
      <c r="B9480" s="167"/>
    </row>
    <row r="9481" spans="2:2" ht="15.5" x14ac:dyDescent="0.35">
      <c r="B9481" s="167"/>
    </row>
    <row r="9482" spans="2:2" ht="15.5" x14ac:dyDescent="0.35">
      <c r="B9482" s="167"/>
    </row>
    <row r="9483" spans="2:2" ht="15.5" x14ac:dyDescent="0.35">
      <c r="B9483" s="167"/>
    </row>
    <row r="9484" spans="2:2" ht="15.5" x14ac:dyDescent="0.35">
      <c r="B9484" s="167"/>
    </row>
    <row r="9485" spans="2:2" ht="15.5" x14ac:dyDescent="0.35">
      <c r="B9485" s="167"/>
    </row>
    <row r="9486" spans="2:2" ht="15.5" x14ac:dyDescent="0.35">
      <c r="B9486" s="167"/>
    </row>
    <row r="9487" spans="2:2" ht="15.5" x14ac:dyDescent="0.35">
      <c r="B9487" s="167"/>
    </row>
    <row r="9488" spans="2:2" ht="15.5" x14ac:dyDescent="0.35">
      <c r="B9488" s="167"/>
    </row>
    <row r="9489" spans="2:2" ht="15.5" x14ac:dyDescent="0.35">
      <c r="B9489" s="167"/>
    </row>
    <row r="9490" spans="2:2" ht="15.5" x14ac:dyDescent="0.35">
      <c r="B9490" s="167"/>
    </row>
    <row r="9491" spans="2:2" ht="15.5" x14ac:dyDescent="0.35">
      <c r="B9491" s="167"/>
    </row>
    <row r="9492" spans="2:2" ht="15.5" x14ac:dyDescent="0.35">
      <c r="B9492" s="167"/>
    </row>
    <row r="9493" spans="2:2" ht="15.5" x14ac:dyDescent="0.35">
      <c r="B9493" s="167"/>
    </row>
    <row r="9494" spans="2:2" ht="15.5" x14ac:dyDescent="0.35">
      <c r="B9494" s="167"/>
    </row>
    <row r="9495" spans="2:2" ht="15.5" x14ac:dyDescent="0.35">
      <c r="B9495" s="167"/>
    </row>
    <row r="9496" spans="2:2" ht="15.5" x14ac:dyDescent="0.35">
      <c r="B9496" s="167"/>
    </row>
    <row r="9497" spans="2:2" ht="15.5" x14ac:dyDescent="0.35">
      <c r="B9497" s="167"/>
    </row>
    <row r="9498" spans="2:2" ht="15.5" x14ac:dyDescent="0.35">
      <c r="B9498" s="167"/>
    </row>
    <row r="9499" spans="2:2" ht="15.5" x14ac:dyDescent="0.35">
      <c r="B9499" s="167"/>
    </row>
    <row r="9500" spans="2:2" ht="15.5" x14ac:dyDescent="0.35">
      <c r="B9500" s="167"/>
    </row>
    <row r="9501" spans="2:2" ht="15.5" x14ac:dyDescent="0.35">
      <c r="B9501" s="167"/>
    </row>
    <row r="9502" spans="2:2" ht="15.5" x14ac:dyDescent="0.35">
      <c r="B9502" s="167"/>
    </row>
    <row r="9503" spans="2:2" ht="15.5" x14ac:dyDescent="0.35">
      <c r="B9503" s="167"/>
    </row>
    <row r="9504" spans="2:2" ht="15.5" x14ac:dyDescent="0.35">
      <c r="B9504" s="167"/>
    </row>
    <row r="9505" spans="2:2" ht="15.5" x14ac:dyDescent="0.35">
      <c r="B9505" s="167"/>
    </row>
    <row r="9506" spans="2:2" ht="15.5" x14ac:dyDescent="0.35">
      <c r="B9506" s="167"/>
    </row>
    <row r="9507" spans="2:2" ht="15.5" x14ac:dyDescent="0.35">
      <c r="B9507" s="167"/>
    </row>
    <row r="9508" spans="2:2" ht="15.5" x14ac:dyDescent="0.35">
      <c r="B9508" s="167"/>
    </row>
    <row r="9509" spans="2:2" ht="15.5" x14ac:dyDescent="0.35">
      <c r="B9509" s="167"/>
    </row>
    <row r="9510" spans="2:2" ht="15.5" x14ac:dyDescent="0.35">
      <c r="B9510" s="167"/>
    </row>
    <row r="9511" spans="2:2" ht="15.5" x14ac:dyDescent="0.35">
      <c r="B9511" s="167"/>
    </row>
    <row r="9512" spans="2:2" ht="15.5" x14ac:dyDescent="0.35">
      <c r="B9512" s="167"/>
    </row>
    <row r="9513" spans="2:2" ht="15.5" x14ac:dyDescent="0.35">
      <c r="B9513" s="167"/>
    </row>
    <row r="9514" spans="2:2" ht="15.5" x14ac:dyDescent="0.35">
      <c r="B9514" s="167"/>
    </row>
    <row r="9515" spans="2:2" ht="15.5" x14ac:dyDescent="0.35">
      <c r="B9515" s="167"/>
    </row>
    <row r="9516" spans="2:2" ht="15.5" x14ac:dyDescent="0.35">
      <c r="B9516" s="167"/>
    </row>
    <row r="9517" spans="2:2" ht="15.5" x14ac:dyDescent="0.35">
      <c r="B9517" s="167"/>
    </row>
    <row r="9518" spans="2:2" ht="15.5" x14ac:dyDescent="0.35">
      <c r="B9518" s="167"/>
    </row>
    <row r="9519" spans="2:2" ht="15.5" x14ac:dyDescent="0.35">
      <c r="B9519" s="167"/>
    </row>
    <row r="9520" spans="2:2" ht="15.5" x14ac:dyDescent="0.35">
      <c r="B9520" s="167"/>
    </row>
    <row r="9521" spans="2:2" ht="15.5" x14ac:dyDescent="0.35">
      <c r="B9521" s="167"/>
    </row>
    <row r="9522" spans="2:2" ht="15.5" x14ac:dyDescent="0.35">
      <c r="B9522" s="167"/>
    </row>
    <row r="9523" spans="2:2" ht="15.5" x14ac:dyDescent="0.35">
      <c r="B9523" s="167"/>
    </row>
    <row r="9524" spans="2:2" ht="15.5" x14ac:dyDescent="0.35">
      <c r="B9524" s="167"/>
    </row>
    <row r="9525" spans="2:2" ht="15.5" x14ac:dyDescent="0.35">
      <c r="B9525" s="167"/>
    </row>
    <row r="9526" spans="2:2" ht="15.5" x14ac:dyDescent="0.35">
      <c r="B9526" s="167"/>
    </row>
    <row r="9527" spans="2:2" ht="15.5" x14ac:dyDescent="0.35">
      <c r="B9527" s="167"/>
    </row>
    <row r="9528" spans="2:2" ht="15.5" x14ac:dyDescent="0.35">
      <c r="B9528" s="167"/>
    </row>
    <row r="9529" spans="2:2" ht="15.5" x14ac:dyDescent="0.35">
      <c r="B9529" s="167"/>
    </row>
    <row r="9530" spans="2:2" ht="15.5" x14ac:dyDescent="0.35">
      <c r="B9530" s="167"/>
    </row>
    <row r="9531" spans="2:2" ht="15.5" x14ac:dyDescent="0.35">
      <c r="B9531" s="167"/>
    </row>
    <row r="9532" spans="2:2" ht="15.5" x14ac:dyDescent="0.35">
      <c r="B9532" s="167"/>
    </row>
    <row r="9533" spans="2:2" ht="15.5" x14ac:dyDescent="0.35">
      <c r="B9533" s="167"/>
    </row>
    <row r="9534" spans="2:2" ht="15.5" x14ac:dyDescent="0.35">
      <c r="B9534" s="167"/>
    </row>
    <row r="9535" spans="2:2" ht="15.5" x14ac:dyDescent="0.35">
      <c r="B9535" s="167"/>
    </row>
    <row r="9536" spans="2:2" ht="15.5" x14ac:dyDescent="0.35">
      <c r="B9536" s="167"/>
    </row>
    <row r="9537" spans="2:2" ht="15.5" x14ac:dyDescent="0.35">
      <c r="B9537" s="167"/>
    </row>
    <row r="9538" spans="2:2" ht="15.5" x14ac:dyDescent="0.35">
      <c r="B9538" s="167"/>
    </row>
    <row r="9539" spans="2:2" ht="15.5" x14ac:dyDescent="0.35">
      <c r="B9539" s="167"/>
    </row>
    <row r="9540" spans="2:2" ht="15.5" x14ac:dyDescent="0.35">
      <c r="B9540" s="167"/>
    </row>
    <row r="9541" spans="2:2" ht="15.5" x14ac:dyDescent="0.35">
      <c r="B9541" s="167"/>
    </row>
    <row r="9542" spans="2:2" ht="15.5" x14ac:dyDescent="0.35">
      <c r="B9542" s="167"/>
    </row>
    <row r="9543" spans="2:2" ht="15.5" x14ac:dyDescent="0.35">
      <c r="B9543" s="167"/>
    </row>
    <row r="9544" spans="2:2" ht="15.5" x14ac:dyDescent="0.35">
      <c r="B9544" s="167"/>
    </row>
    <row r="9545" spans="2:2" ht="15.5" x14ac:dyDescent="0.35">
      <c r="B9545" s="167"/>
    </row>
    <row r="9546" spans="2:2" ht="15.5" x14ac:dyDescent="0.35">
      <c r="B9546" s="167"/>
    </row>
    <row r="9547" spans="2:2" ht="15.5" x14ac:dyDescent="0.35">
      <c r="B9547" s="167"/>
    </row>
    <row r="9548" spans="2:2" ht="15.5" x14ac:dyDescent="0.35">
      <c r="B9548" s="167"/>
    </row>
    <row r="9549" spans="2:2" ht="15.5" x14ac:dyDescent="0.35">
      <c r="B9549" s="167"/>
    </row>
    <row r="9550" spans="2:2" ht="15.5" x14ac:dyDescent="0.35">
      <c r="B9550" s="167"/>
    </row>
    <row r="9551" spans="2:2" ht="15.5" x14ac:dyDescent="0.35">
      <c r="B9551" s="167"/>
    </row>
    <row r="9552" spans="2:2" ht="15.5" x14ac:dyDescent="0.35">
      <c r="B9552" s="167"/>
    </row>
    <row r="9553" spans="2:2" ht="15.5" x14ac:dyDescent="0.35">
      <c r="B9553" s="167"/>
    </row>
    <row r="9554" spans="2:2" ht="15.5" x14ac:dyDescent="0.35">
      <c r="B9554" s="167"/>
    </row>
    <row r="9555" spans="2:2" ht="15.5" x14ac:dyDescent="0.35">
      <c r="B9555" s="167"/>
    </row>
    <row r="9556" spans="2:2" ht="15.5" x14ac:dyDescent="0.35">
      <c r="B9556" s="167"/>
    </row>
    <row r="9557" spans="2:2" ht="15.5" x14ac:dyDescent="0.35">
      <c r="B9557" s="167"/>
    </row>
    <row r="9558" spans="2:2" ht="15.5" x14ac:dyDescent="0.35">
      <c r="B9558" s="167"/>
    </row>
    <row r="9559" spans="2:2" ht="15.5" x14ac:dyDescent="0.35">
      <c r="B9559" s="167"/>
    </row>
    <row r="9560" spans="2:2" ht="15.5" x14ac:dyDescent="0.35">
      <c r="B9560" s="167"/>
    </row>
    <row r="9561" spans="2:2" ht="15.5" x14ac:dyDescent="0.35">
      <c r="B9561" s="167"/>
    </row>
    <row r="9562" spans="2:2" ht="15.5" x14ac:dyDescent="0.35">
      <c r="B9562" s="167"/>
    </row>
    <row r="9563" spans="2:2" ht="15.5" x14ac:dyDescent="0.35">
      <c r="B9563" s="167"/>
    </row>
    <row r="9564" spans="2:2" ht="15.5" x14ac:dyDescent="0.35">
      <c r="B9564" s="167"/>
    </row>
    <row r="9565" spans="2:2" ht="15.5" x14ac:dyDescent="0.35">
      <c r="B9565" s="167"/>
    </row>
    <row r="9566" spans="2:2" ht="15.5" x14ac:dyDescent="0.35">
      <c r="B9566" s="167"/>
    </row>
    <row r="9567" spans="2:2" ht="15.5" x14ac:dyDescent="0.35">
      <c r="B9567" s="167"/>
    </row>
    <row r="9568" spans="2:2" ht="15.5" x14ac:dyDescent="0.35">
      <c r="B9568" s="167"/>
    </row>
    <row r="9569" spans="2:2" ht="15.5" x14ac:dyDescent="0.35">
      <c r="B9569" s="167"/>
    </row>
    <row r="9570" spans="2:2" ht="15.5" x14ac:dyDescent="0.35">
      <c r="B9570" s="167"/>
    </row>
    <row r="9571" spans="2:2" ht="15.5" x14ac:dyDescent="0.35">
      <c r="B9571" s="167"/>
    </row>
    <row r="9572" spans="2:2" ht="15.5" x14ac:dyDescent="0.35">
      <c r="B9572" s="167"/>
    </row>
    <row r="9573" spans="2:2" ht="15.5" x14ac:dyDescent="0.35">
      <c r="B9573" s="167"/>
    </row>
    <row r="9574" spans="2:2" ht="15.5" x14ac:dyDescent="0.35">
      <c r="B9574" s="167"/>
    </row>
    <row r="9575" spans="2:2" ht="15.5" x14ac:dyDescent="0.35">
      <c r="B9575" s="167"/>
    </row>
    <row r="9576" spans="2:2" ht="15.5" x14ac:dyDescent="0.35">
      <c r="B9576" s="167"/>
    </row>
    <row r="9577" spans="2:2" ht="15.5" x14ac:dyDescent="0.35">
      <c r="B9577" s="167"/>
    </row>
    <row r="9578" spans="2:2" ht="15.5" x14ac:dyDescent="0.35">
      <c r="B9578" s="167"/>
    </row>
    <row r="9579" spans="2:2" ht="15.5" x14ac:dyDescent="0.35">
      <c r="B9579" s="167"/>
    </row>
    <row r="9580" spans="2:2" ht="15.5" x14ac:dyDescent="0.35">
      <c r="B9580" s="167"/>
    </row>
    <row r="9581" spans="2:2" ht="15.5" x14ac:dyDescent="0.35">
      <c r="B9581" s="167"/>
    </row>
    <row r="9582" spans="2:2" ht="15.5" x14ac:dyDescent="0.35">
      <c r="B9582" s="167"/>
    </row>
    <row r="9583" spans="2:2" ht="15.5" x14ac:dyDescent="0.35">
      <c r="B9583" s="167"/>
    </row>
    <row r="9584" spans="2:2" ht="15.5" x14ac:dyDescent="0.35">
      <c r="B9584" s="167"/>
    </row>
    <row r="9585" spans="2:2" ht="15.5" x14ac:dyDescent="0.35">
      <c r="B9585" s="167"/>
    </row>
    <row r="9586" spans="2:2" ht="15.5" x14ac:dyDescent="0.35">
      <c r="B9586" s="167"/>
    </row>
    <row r="9587" spans="2:2" ht="15.5" x14ac:dyDescent="0.35">
      <c r="B9587" s="167"/>
    </row>
    <row r="9588" spans="2:2" ht="15.5" x14ac:dyDescent="0.35">
      <c r="B9588" s="167"/>
    </row>
    <row r="9589" spans="2:2" ht="15.5" x14ac:dyDescent="0.35">
      <c r="B9589" s="167"/>
    </row>
    <row r="9590" spans="2:2" ht="15.5" x14ac:dyDescent="0.35">
      <c r="B9590" s="167"/>
    </row>
    <row r="9591" spans="2:2" ht="15.5" x14ac:dyDescent="0.35">
      <c r="B9591" s="167"/>
    </row>
    <row r="9592" spans="2:2" ht="15.5" x14ac:dyDescent="0.35">
      <c r="B9592" s="167"/>
    </row>
    <row r="9593" spans="2:2" ht="15.5" x14ac:dyDescent="0.35">
      <c r="B9593" s="167"/>
    </row>
    <row r="9594" spans="2:2" ht="15.5" x14ac:dyDescent="0.35">
      <c r="B9594" s="167"/>
    </row>
    <row r="9595" spans="2:2" ht="15.5" x14ac:dyDescent="0.35">
      <c r="B9595" s="167"/>
    </row>
    <row r="9596" spans="2:2" ht="15.5" x14ac:dyDescent="0.35">
      <c r="B9596" s="167"/>
    </row>
    <row r="9597" spans="2:2" ht="15.5" x14ac:dyDescent="0.35">
      <c r="B9597" s="167"/>
    </row>
    <row r="9598" spans="2:2" ht="15.5" x14ac:dyDescent="0.35">
      <c r="B9598" s="167"/>
    </row>
    <row r="9599" spans="2:2" ht="15.5" x14ac:dyDescent="0.35">
      <c r="B9599" s="167"/>
    </row>
    <row r="9600" spans="2:2" ht="15.5" x14ac:dyDescent="0.35">
      <c r="B9600" s="167"/>
    </row>
    <row r="9601" spans="2:2" ht="15.5" x14ac:dyDescent="0.35">
      <c r="B9601" s="167"/>
    </row>
    <row r="9602" spans="2:2" ht="15.5" x14ac:dyDescent="0.35">
      <c r="B9602" s="167"/>
    </row>
    <row r="9603" spans="2:2" ht="15.5" x14ac:dyDescent="0.35">
      <c r="B9603" s="167"/>
    </row>
    <row r="9604" spans="2:2" ht="15.5" x14ac:dyDescent="0.35">
      <c r="B9604" s="167"/>
    </row>
    <row r="9605" spans="2:2" ht="15.5" x14ac:dyDescent="0.35">
      <c r="B9605" s="167"/>
    </row>
    <row r="9606" spans="2:2" ht="15.5" x14ac:dyDescent="0.35">
      <c r="B9606" s="167"/>
    </row>
    <row r="9607" spans="2:2" ht="15.5" x14ac:dyDescent="0.35">
      <c r="B9607" s="167"/>
    </row>
    <row r="9608" spans="2:2" ht="15.5" x14ac:dyDescent="0.35">
      <c r="B9608" s="167"/>
    </row>
    <row r="9609" spans="2:2" ht="15.5" x14ac:dyDescent="0.35">
      <c r="B9609" s="167"/>
    </row>
    <row r="9610" spans="2:2" ht="15.5" x14ac:dyDescent="0.35">
      <c r="B9610" s="167"/>
    </row>
    <row r="9611" spans="2:2" ht="15.5" x14ac:dyDescent="0.35">
      <c r="B9611" s="167"/>
    </row>
    <row r="9612" spans="2:2" ht="15.5" x14ac:dyDescent="0.35">
      <c r="B9612" s="167"/>
    </row>
    <row r="9613" spans="2:2" ht="15.5" x14ac:dyDescent="0.35">
      <c r="B9613" s="167"/>
    </row>
    <row r="9614" spans="2:2" ht="15.5" x14ac:dyDescent="0.35">
      <c r="B9614" s="167"/>
    </row>
    <row r="9615" spans="2:2" ht="15.5" x14ac:dyDescent="0.35">
      <c r="B9615" s="167"/>
    </row>
    <row r="9616" spans="2:2" ht="15.5" x14ac:dyDescent="0.35">
      <c r="B9616" s="167"/>
    </row>
    <row r="9617" spans="2:2" ht="15.5" x14ac:dyDescent="0.35">
      <c r="B9617" s="167"/>
    </row>
    <row r="9618" spans="2:2" ht="15.5" x14ac:dyDescent="0.35">
      <c r="B9618" s="167"/>
    </row>
    <row r="9619" spans="2:2" ht="15.5" x14ac:dyDescent="0.35">
      <c r="B9619" s="167"/>
    </row>
    <row r="9620" spans="2:2" ht="15.5" x14ac:dyDescent="0.35">
      <c r="B9620" s="167"/>
    </row>
    <row r="9621" spans="2:2" ht="15.5" x14ac:dyDescent="0.35">
      <c r="B9621" s="167"/>
    </row>
    <row r="9622" spans="2:2" ht="15.5" x14ac:dyDescent="0.35">
      <c r="B9622" s="167"/>
    </row>
    <row r="9623" spans="2:2" ht="15.5" x14ac:dyDescent="0.35">
      <c r="B9623" s="167"/>
    </row>
    <row r="9624" spans="2:2" ht="15.5" x14ac:dyDescent="0.35">
      <c r="B9624" s="167"/>
    </row>
    <row r="9625" spans="2:2" ht="15.5" x14ac:dyDescent="0.35">
      <c r="B9625" s="167"/>
    </row>
    <row r="9626" spans="2:2" ht="15.5" x14ac:dyDescent="0.35">
      <c r="B9626" s="167"/>
    </row>
    <row r="9627" spans="2:2" ht="15.5" x14ac:dyDescent="0.35">
      <c r="B9627" s="167"/>
    </row>
    <row r="9628" spans="2:2" ht="15.5" x14ac:dyDescent="0.35">
      <c r="B9628" s="167"/>
    </row>
    <row r="9629" spans="2:2" ht="15.5" x14ac:dyDescent="0.35">
      <c r="B9629" s="167"/>
    </row>
    <row r="9630" spans="2:2" ht="15.5" x14ac:dyDescent="0.35">
      <c r="B9630" s="167"/>
    </row>
    <row r="9631" spans="2:2" ht="15.5" x14ac:dyDescent="0.35">
      <c r="B9631" s="167"/>
    </row>
    <row r="9632" spans="2:2" ht="15.5" x14ac:dyDescent="0.35">
      <c r="B9632" s="167"/>
    </row>
    <row r="9633" spans="2:2" ht="15.5" x14ac:dyDescent="0.35">
      <c r="B9633" s="167"/>
    </row>
    <row r="9634" spans="2:2" ht="15.5" x14ac:dyDescent="0.35">
      <c r="B9634" s="167"/>
    </row>
    <row r="9635" spans="2:2" ht="15.5" x14ac:dyDescent="0.35">
      <c r="B9635" s="167"/>
    </row>
    <row r="9636" spans="2:2" ht="15.5" x14ac:dyDescent="0.35">
      <c r="B9636" s="167"/>
    </row>
    <row r="9637" spans="2:2" ht="15.5" x14ac:dyDescent="0.35">
      <c r="B9637" s="167"/>
    </row>
    <row r="9638" spans="2:2" ht="15.5" x14ac:dyDescent="0.35">
      <c r="B9638" s="167"/>
    </row>
    <row r="9639" spans="2:2" ht="15.5" x14ac:dyDescent="0.35">
      <c r="B9639" s="167"/>
    </row>
    <row r="9640" spans="2:2" ht="15.5" x14ac:dyDescent="0.35">
      <c r="B9640" s="167"/>
    </row>
    <row r="9641" spans="2:2" ht="15.5" x14ac:dyDescent="0.35">
      <c r="B9641" s="167"/>
    </row>
    <row r="9642" spans="2:2" ht="15.5" x14ac:dyDescent="0.35">
      <c r="B9642" s="167"/>
    </row>
    <row r="9643" spans="2:2" ht="15.5" x14ac:dyDescent="0.35">
      <c r="B9643" s="167"/>
    </row>
    <row r="9644" spans="2:2" ht="15.5" x14ac:dyDescent="0.35">
      <c r="B9644" s="167"/>
    </row>
    <row r="9645" spans="2:2" ht="15.5" x14ac:dyDescent="0.35">
      <c r="B9645" s="167"/>
    </row>
    <row r="9646" spans="2:2" ht="15.5" x14ac:dyDescent="0.35">
      <c r="B9646" s="167"/>
    </row>
    <row r="9647" spans="2:2" ht="15.5" x14ac:dyDescent="0.35">
      <c r="B9647" s="167"/>
    </row>
    <row r="9648" spans="2:2" ht="15.5" x14ac:dyDescent="0.35">
      <c r="B9648" s="167"/>
    </row>
    <row r="9649" spans="2:2" ht="15.5" x14ac:dyDescent="0.35">
      <c r="B9649" s="167"/>
    </row>
    <row r="9650" spans="2:2" ht="15.5" x14ac:dyDescent="0.35">
      <c r="B9650" s="167"/>
    </row>
    <row r="9651" spans="2:2" ht="15.5" x14ac:dyDescent="0.35">
      <c r="B9651" s="167"/>
    </row>
    <row r="9652" spans="2:2" ht="15.5" x14ac:dyDescent="0.35">
      <c r="B9652" s="167"/>
    </row>
    <row r="9653" spans="2:2" ht="15.5" x14ac:dyDescent="0.35">
      <c r="B9653" s="167"/>
    </row>
    <row r="9654" spans="2:2" ht="15.5" x14ac:dyDescent="0.35">
      <c r="B9654" s="167"/>
    </row>
    <row r="9655" spans="2:2" ht="15.5" x14ac:dyDescent="0.35">
      <c r="B9655" s="167"/>
    </row>
    <row r="9656" spans="2:2" ht="15.5" x14ac:dyDescent="0.35">
      <c r="B9656" s="167"/>
    </row>
    <row r="9657" spans="2:2" ht="15.5" x14ac:dyDescent="0.35">
      <c r="B9657" s="167"/>
    </row>
    <row r="9658" spans="2:2" ht="15.5" x14ac:dyDescent="0.35">
      <c r="B9658" s="167"/>
    </row>
    <row r="9659" spans="2:2" ht="15.5" x14ac:dyDescent="0.35">
      <c r="B9659" s="167"/>
    </row>
    <row r="9660" spans="2:2" ht="15.5" x14ac:dyDescent="0.35">
      <c r="B9660" s="167"/>
    </row>
    <row r="9661" spans="2:2" ht="15.5" x14ac:dyDescent="0.35">
      <c r="B9661" s="167"/>
    </row>
    <row r="9662" spans="2:2" ht="15.5" x14ac:dyDescent="0.35">
      <c r="B9662" s="167"/>
    </row>
    <row r="9663" spans="2:2" ht="15.5" x14ac:dyDescent="0.35">
      <c r="B9663" s="167"/>
    </row>
    <row r="9664" spans="2:2" ht="15.5" x14ac:dyDescent="0.35">
      <c r="B9664" s="167"/>
    </row>
    <row r="9665" spans="2:2" ht="15.5" x14ac:dyDescent="0.35">
      <c r="B9665" s="167"/>
    </row>
    <row r="9666" spans="2:2" ht="15.5" x14ac:dyDescent="0.35">
      <c r="B9666" s="167"/>
    </row>
    <row r="9667" spans="2:2" ht="15.5" x14ac:dyDescent="0.35">
      <c r="B9667" s="167"/>
    </row>
    <row r="9668" spans="2:2" ht="15.5" x14ac:dyDescent="0.35">
      <c r="B9668" s="167"/>
    </row>
    <row r="9669" spans="2:2" ht="15.5" x14ac:dyDescent="0.35">
      <c r="B9669" s="167"/>
    </row>
    <row r="9670" spans="2:2" ht="15.5" x14ac:dyDescent="0.35">
      <c r="B9670" s="167"/>
    </row>
    <row r="9671" spans="2:2" ht="15.5" x14ac:dyDescent="0.35">
      <c r="B9671" s="167"/>
    </row>
    <row r="9672" spans="2:2" ht="15.5" x14ac:dyDescent="0.35">
      <c r="B9672" s="167"/>
    </row>
    <row r="9673" spans="2:2" ht="15.5" x14ac:dyDescent="0.35">
      <c r="B9673" s="167"/>
    </row>
    <row r="9674" spans="2:2" ht="15.5" x14ac:dyDescent="0.35">
      <c r="B9674" s="167"/>
    </row>
    <row r="9675" spans="2:2" ht="15.5" x14ac:dyDescent="0.35">
      <c r="B9675" s="167"/>
    </row>
    <row r="9676" spans="2:2" ht="15.5" x14ac:dyDescent="0.35">
      <c r="B9676" s="167"/>
    </row>
    <row r="9677" spans="2:2" ht="15.5" x14ac:dyDescent="0.35">
      <c r="B9677" s="167"/>
    </row>
    <row r="9678" spans="2:2" ht="15.5" x14ac:dyDescent="0.35">
      <c r="B9678" s="167"/>
    </row>
    <row r="9679" spans="2:2" ht="15.5" x14ac:dyDescent="0.35">
      <c r="B9679" s="167"/>
    </row>
    <row r="9680" spans="2:2" ht="15.5" x14ac:dyDescent="0.35">
      <c r="B9680" s="167"/>
    </row>
    <row r="9681" spans="2:2" ht="15.5" x14ac:dyDescent="0.35">
      <c r="B9681" s="167"/>
    </row>
    <row r="9682" spans="2:2" ht="15.5" x14ac:dyDescent="0.35">
      <c r="B9682" s="167"/>
    </row>
    <row r="9683" spans="2:2" ht="15.5" x14ac:dyDescent="0.35">
      <c r="B9683" s="167"/>
    </row>
    <row r="9684" spans="2:2" ht="15.5" x14ac:dyDescent="0.35">
      <c r="B9684" s="167"/>
    </row>
    <row r="9685" spans="2:2" ht="15.5" x14ac:dyDescent="0.35">
      <c r="B9685" s="167"/>
    </row>
    <row r="9686" spans="2:2" ht="15.5" x14ac:dyDescent="0.35">
      <c r="B9686" s="167"/>
    </row>
    <row r="9687" spans="2:2" ht="15.5" x14ac:dyDescent="0.35">
      <c r="B9687" s="167"/>
    </row>
    <row r="9688" spans="2:2" ht="15.5" x14ac:dyDescent="0.35">
      <c r="B9688" s="167"/>
    </row>
    <row r="9689" spans="2:2" ht="15.5" x14ac:dyDescent="0.35">
      <c r="B9689" s="167"/>
    </row>
    <row r="9690" spans="2:2" ht="15.5" x14ac:dyDescent="0.35">
      <c r="B9690" s="167"/>
    </row>
    <row r="9691" spans="2:2" ht="15.5" x14ac:dyDescent="0.35">
      <c r="B9691" s="167"/>
    </row>
    <row r="9692" spans="2:2" ht="15.5" x14ac:dyDescent="0.35">
      <c r="B9692" s="167"/>
    </row>
    <row r="9693" spans="2:2" ht="15.5" x14ac:dyDescent="0.35">
      <c r="B9693" s="167"/>
    </row>
    <row r="9694" spans="2:2" ht="15.5" x14ac:dyDescent="0.35">
      <c r="B9694" s="167"/>
    </row>
    <row r="9695" spans="2:2" ht="15.5" x14ac:dyDescent="0.35">
      <c r="B9695" s="167"/>
    </row>
    <row r="9696" spans="2:2" ht="15.5" x14ac:dyDescent="0.35">
      <c r="B9696" s="167"/>
    </row>
    <row r="9697" spans="2:2" ht="15.5" x14ac:dyDescent="0.35">
      <c r="B9697" s="167"/>
    </row>
    <row r="9698" spans="2:2" ht="15.5" x14ac:dyDescent="0.35">
      <c r="B9698" s="167"/>
    </row>
    <row r="9699" spans="2:2" ht="15.5" x14ac:dyDescent="0.35">
      <c r="B9699" s="167"/>
    </row>
    <row r="9700" spans="2:2" ht="15.5" x14ac:dyDescent="0.35">
      <c r="B9700" s="167"/>
    </row>
    <row r="9701" spans="2:2" ht="15.5" x14ac:dyDescent="0.35">
      <c r="B9701" s="167"/>
    </row>
    <row r="9702" spans="2:2" ht="15.5" x14ac:dyDescent="0.35">
      <c r="B9702" s="167"/>
    </row>
    <row r="9703" spans="2:2" ht="15.5" x14ac:dyDescent="0.35">
      <c r="B9703" s="167"/>
    </row>
    <row r="9704" spans="2:2" ht="15.5" x14ac:dyDescent="0.35">
      <c r="B9704" s="167"/>
    </row>
    <row r="9705" spans="2:2" ht="15.5" x14ac:dyDescent="0.35">
      <c r="B9705" s="167"/>
    </row>
    <row r="9706" spans="2:2" ht="15.5" x14ac:dyDescent="0.35">
      <c r="B9706" s="167"/>
    </row>
    <row r="9707" spans="2:2" ht="15.5" x14ac:dyDescent="0.35">
      <c r="B9707" s="167"/>
    </row>
    <row r="9708" spans="2:2" ht="15.5" x14ac:dyDescent="0.35">
      <c r="B9708" s="167"/>
    </row>
    <row r="9709" spans="2:2" ht="15.5" x14ac:dyDescent="0.35">
      <c r="B9709" s="167"/>
    </row>
    <row r="9710" spans="2:2" ht="15.5" x14ac:dyDescent="0.35">
      <c r="B9710" s="167"/>
    </row>
    <row r="9711" spans="2:2" ht="15.5" x14ac:dyDescent="0.35">
      <c r="B9711" s="167"/>
    </row>
    <row r="9712" spans="2:2" ht="15.5" x14ac:dyDescent="0.35">
      <c r="B9712" s="167"/>
    </row>
    <row r="9713" spans="2:2" ht="15.5" x14ac:dyDescent="0.35">
      <c r="B9713" s="167"/>
    </row>
    <row r="9714" spans="2:2" ht="15.5" x14ac:dyDescent="0.35">
      <c r="B9714" s="167"/>
    </row>
    <row r="9715" spans="2:2" ht="15.5" x14ac:dyDescent="0.35">
      <c r="B9715" s="167"/>
    </row>
    <row r="9716" spans="2:2" ht="15.5" x14ac:dyDescent="0.35">
      <c r="B9716" s="167"/>
    </row>
    <row r="9717" spans="2:2" ht="15.5" x14ac:dyDescent="0.35">
      <c r="B9717" s="167"/>
    </row>
    <row r="9718" spans="2:2" ht="15.5" x14ac:dyDescent="0.35">
      <c r="B9718" s="167"/>
    </row>
    <row r="9719" spans="2:2" ht="15.5" x14ac:dyDescent="0.35">
      <c r="B9719" s="167"/>
    </row>
    <row r="9720" spans="2:2" ht="15.5" x14ac:dyDescent="0.35">
      <c r="B9720" s="167"/>
    </row>
    <row r="9721" spans="2:2" ht="15.5" x14ac:dyDescent="0.35">
      <c r="B9721" s="167"/>
    </row>
    <row r="9722" spans="2:2" ht="15.5" x14ac:dyDescent="0.35">
      <c r="B9722" s="167"/>
    </row>
    <row r="9723" spans="2:2" ht="15.5" x14ac:dyDescent="0.35">
      <c r="B9723" s="167"/>
    </row>
    <row r="9724" spans="2:2" ht="15.5" x14ac:dyDescent="0.35">
      <c r="B9724" s="167"/>
    </row>
    <row r="9725" spans="2:2" ht="15.5" x14ac:dyDescent="0.35">
      <c r="B9725" s="167"/>
    </row>
    <row r="9726" spans="2:2" ht="15.5" x14ac:dyDescent="0.35">
      <c r="B9726" s="167"/>
    </row>
    <row r="9727" spans="2:2" ht="15.5" x14ac:dyDescent="0.35">
      <c r="B9727" s="167"/>
    </row>
    <row r="9728" spans="2:2" ht="15.5" x14ac:dyDescent="0.35">
      <c r="B9728" s="167"/>
    </row>
    <row r="9729" spans="2:2" ht="15.5" x14ac:dyDescent="0.35">
      <c r="B9729" s="167"/>
    </row>
    <row r="9730" spans="2:2" ht="15.5" x14ac:dyDescent="0.35">
      <c r="B9730" s="167"/>
    </row>
    <row r="9731" spans="2:2" ht="15.5" x14ac:dyDescent="0.35">
      <c r="B9731" s="167"/>
    </row>
    <row r="9732" spans="2:2" ht="15.5" x14ac:dyDescent="0.35">
      <c r="B9732" s="167"/>
    </row>
    <row r="9733" spans="2:2" ht="15.5" x14ac:dyDescent="0.35">
      <c r="B9733" s="167"/>
    </row>
    <row r="9734" spans="2:2" ht="15.5" x14ac:dyDescent="0.35">
      <c r="B9734" s="167"/>
    </row>
    <row r="9735" spans="2:2" ht="15.5" x14ac:dyDescent="0.35">
      <c r="B9735" s="167"/>
    </row>
    <row r="9736" spans="2:2" ht="15.5" x14ac:dyDescent="0.35">
      <c r="B9736" s="167"/>
    </row>
    <row r="9737" spans="2:2" ht="15.5" x14ac:dyDescent="0.35">
      <c r="B9737" s="167"/>
    </row>
    <row r="9738" spans="2:2" ht="15.5" x14ac:dyDescent="0.35">
      <c r="B9738" s="167"/>
    </row>
    <row r="9739" spans="2:2" ht="15.5" x14ac:dyDescent="0.35">
      <c r="B9739" s="167"/>
    </row>
    <row r="9740" spans="2:2" ht="15.5" x14ac:dyDescent="0.35">
      <c r="B9740" s="167"/>
    </row>
    <row r="9741" spans="2:2" ht="15.5" x14ac:dyDescent="0.35">
      <c r="B9741" s="167"/>
    </row>
    <row r="9742" spans="2:2" ht="15.5" x14ac:dyDescent="0.35">
      <c r="B9742" s="167"/>
    </row>
    <row r="9743" spans="2:2" ht="15.5" x14ac:dyDescent="0.35">
      <c r="B9743" s="167"/>
    </row>
    <row r="9744" spans="2:2" ht="15.5" x14ac:dyDescent="0.35">
      <c r="B9744" s="167"/>
    </row>
    <row r="9745" spans="2:2" ht="15.5" x14ac:dyDescent="0.35">
      <c r="B9745" s="167"/>
    </row>
    <row r="9746" spans="2:2" ht="15.5" x14ac:dyDescent="0.35">
      <c r="B9746" s="167"/>
    </row>
    <row r="9747" spans="2:2" ht="15.5" x14ac:dyDescent="0.35">
      <c r="B9747" s="167"/>
    </row>
    <row r="9748" spans="2:2" ht="15.5" x14ac:dyDescent="0.35">
      <c r="B9748" s="167"/>
    </row>
    <row r="9749" spans="2:2" ht="15.5" x14ac:dyDescent="0.35">
      <c r="B9749" s="167"/>
    </row>
    <row r="9750" spans="2:2" ht="15.5" x14ac:dyDescent="0.35">
      <c r="B9750" s="167"/>
    </row>
    <row r="9751" spans="2:2" ht="15.5" x14ac:dyDescent="0.35">
      <c r="B9751" s="167"/>
    </row>
    <row r="9752" spans="2:2" ht="15.5" x14ac:dyDescent="0.35">
      <c r="B9752" s="167"/>
    </row>
    <row r="9753" spans="2:2" ht="15.5" x14ac:dyDescent="0.35">
      <c r="B9753" s="167"/>
    </row>
    <row r="9754" spans="2:2" ht="15.5" x14ac:dyDescent="0.35">
      <c r="B9754" s="167"/>
    </row>
    <row r="9755" spans="2:2" ht="15.5" x14ac:dyDescent="0.35">
      <c r="B9755" s="167"/>
    </row>
    <row r="9756" spans="2:2" ht="15.5" x14ac:dyDescent="0.35">
      <c r="B9756" s="167"/>
    </row>
    <row r="9757" spans="2:2" ht="15.5" x14ac:dyDescent="0.35">
      <c r="B9757" s="167"/>
    </row>
    <row r="9758" spans="2:2" ht="15.5" x14ac:dyDescent="0.35">
      <c r="B9758" s="167"/>
    </row>
    <row r="9759" spans="2:2" ht="15.5" x14ac:dyDescent="0.35">
      <c r="B9759" s="167"/>
    </row>
    <row r="9760" spans="2:2" ht="15.5" x14ac:dyDescent="0.35">
      <c r="B9760" s="167"/>
    </row>
    <row r="9761" spans="2:2" ht="15.5" x14ac:dyDescent="0.35">
      <c r="B9761" s="167"/>
    </row>
    <row r="9762" spans="2:2" ht="15.5" x14ac:dyDescent="0.35">
      <c r="B9762" s="167"/>
    </row>
    <row r="9763" spans="2:2" ht="15.5" x14ac:dyDescent="0.35">
      <c r="B9763" s="167"/>
    </row>
    <row r="9764" spans="2:2" ht="15.5" x14ac:dyDescent="0.35">
      <c r="B9764" s="167"/>
    </row>
    <row r="9765" spans="2:2" ht="15.5" x14ac:dyDescent="0.35">
      <c r="B9765" s="167"/>
    </row>
    <row r="9766" spans="2:2" ht="15.5" x14ac:dyDescent="0.35">
      <c r="B9766" s="167"/>
    </row>
    <row r="9767" spans="2:2" ht="15.5" x14ac:dyDescent="0.35">
      <c r="B9767" s="167"/>
    </row>
    <row r="9768" spans="2:2" ht="15.5" x14ac:dyDescent="0.35">
      <c r="B9768" s="167"/>
    </row>
    <row r="9769" spans="2:2" ht="15.5" x14ac:dyDescent="0.35">
      <c r="B9769" s="167"/>
    </row>
    <row r="9770" spans="2:2" ht="15.5" x14ac:dyDescent="0.35">
      <c r="B9770" s="167"/>
    </row>
    <row r="9771" spans="2:2" ht="15.5" x14ac:dyDescent="0.35">
      <c r="B9771" s="167"/>
    </row>
    <row r="9772" spans="2:2" ht="15.5" x14ac:dyDescent="0.35">
      <c r="B9772" s="167"/>
    </row>
    <row r="9773" spans="2:2" ht="15.5" x14ac:dyDescent="0.35">
      <c r="B9773" s="167"/>
    </row>
    <row r="9774" spans="2:2" ht="15.5" x14ac:dyDescent="0.35">
      <c r="B9774" s="167"/>
    </row>
    <row r="9775" spans="2:2" ht="15.5" x14ac:dyDescent="0.35">
      <c r="B9775" s="167"/>
    </row>
    <row r="9776" spans="2:2" ht="15.5" x14ac:dyDescent="0.35">
      <c r="B9776" s="167"/>
    </row>
    <row r="9777" spans="2:2" ht="15.5" x14ac:dyDescent="0.35">
      <c r="B9777" s="167"/>
    </row>
    <row r="9778" spans="2:2" ht="15.5" x14ac:dyDescent="0.35">
      <c r="B9778" s="167"/>
    </row>
    <row r="9779" spans="2:2" ht="15.5" x14ac:dyDescent="0.35">
      <c r="B9779" s="167"/>
    </row>
    <row r="9780" spans="2:2" ht="15.5" x14ac:dyDescent="0.35">
      <c r="B9780" s="167"/>
    </row>
    <row r="9781" spans="2:2" ht="15.5" x14ac:dyDescent="0.35">
      <c r="B9781" s="167"/>
    </row>
    <row r="9782" spans="2:2" ht="15.5" x14ac:dyDescent="0.35">
      <c r="B9782" s="167"/>
    </row>
    <row r="9783" spans="2:2" ht="15.5" x14ac:dyDescent="0.35">
      <c r="B9783" s="167"/>
    </row>
    <row r="9784" spans="2:2" ht="15.5" x14ac:dyDescent="0.35">
      <c r="B9784" s="167"/>
    </row>
    <row r="9785" spans="2:2" ht="15.5" x14ac:dyDescent="0.35">
      <c r="B9785" s="167"/>
    </row>
    <row r="9786" spans="2:2" ht="15.5" x14ac:dyDescent="0.35">
      <c r="B9786" s="167"/>
    </row>
    <row r="9787" spans="2:2" ht="15.5" x14ac:dyDescent="0.35">
      <c r="B9787" s="167"/>
    </row>
    <row r="9788" spans="2:2" ht="15.5" x14ac:dyDescent="0.35">
      <c r="B9788" s="167"/>
    </row>
    <row r="9789" spans="2:2" ht="15.5" x14ac:dyDescent="0.35">
      <c r="B9789" s="167"/>
    </row>
    <row r="9790" spans="2:2" ht="15.5" x14ac:dyDescent="0.35">
      <c r="B9790" s="167"/>
    </row>
    <row r="9791" spans="2:2" ht="15.5" x14ac:dyDescent="0.35">
      <c r="B9791" s="167"/>
    </row>
    <row r="9792" spans="2:2" ht="15.5" x14ac:dyDescent="0.35">
      <c r="B9792" s="167"/>
    </row>
    <row r="9793" spans="2:2" ht="15.5" x14ac:dyDescent="0.35">
      <c r="B9793" s="167"/>
    </row>
    <row r="9794" spans="2:2" ht="15.5" x14ac:dyDescent="0.35">
      <c r="B9794" s="167"/>
    </row>
    <row r="9795" spans="2:2" ht="15.5" x14ac:dyDescent="0.35">
      <c r="B9795" s="167"/>
    </row>
    <row r="9796" spans="2:2" ht="15.5" x14ac:dyDescent="0.35">
      <c r="B9796" s="167"/>
    </row>
    <row r="9797" spans="2:2" ht="15.5" x14ac:dyDescent="0.35">
      <c r="B9797" s="167"/>
    </row>
    <row r="9798" spans="2:2" ht="15.5" x14ac:dyDescent="0.35">
      <c r="B9798" s="167"/>
    </row>
    <row r="9799" spans="2:2" ht="15.5" x14ac:dyDescent="0.35">
      <c r="B9799" s="167"/>
    </row>
    <row r="9800" spans="2:2" ht="15.5" x14ac:dyDescent="0.35">
      <c r="B9800" s="167"/>
    </row>
    <row r="9801" spans="2:2" ht="15.5" x14ac:dyDescent="0.35">
      <c r="B9801" s="167"/>
    </row>
    <row r="9802" spans="2:2" ht="15.5" x14ac:dyDescent="0.35">
      <c r="B9802" s="167"/>
    </row>
    <row r="9803" spans="2:2" ht="15.5" x14ac:dyDescent="0.35">
      <c r="B9803" s="167"/>
    </row>
    <row r="9804" spans="2:2" ht="15.5" x14ac:dyDescent="0.35">
      <c r="B9804" s="167"/>
    </row>
    <row r="9805" spans="2:2" ht="15.5" x14ac:dyDescent="0.35">
      <c r="B9805" s="167"/>
    </row>
    <row r="9806" spans="2:2" ht="15.5" x14ac:dyDescent="0.35">
      <c r="B9806" s="167"/>
    </row>
    <row r="9807" spans="2:2" ht="15.5" x14ac:dyDescent="0.35">
      <c r="B9807" s="167"/>
    </row>
    <row r="9808" spans="2:2" ht="15.5" x14ac:dyDescent="0.35">
      <c r="B9808" s="167"/>
    </row>
    <row r="9809" spans="2:2" ht="15.5" x14ac:dyDescent="0.35">
      <c r="B9809" s="167"/>
    </row>
    <row r="9810" spans="2:2" ht="15.5" x14ac:dyDescent="0.35">
      <c r="B9810" s="167"/>
    </row>
    <row r="9811" spans="2:2" ht="15.5" x14ac:dyDescent="0.35">
      <c r="B9811" s="167"/>
    </row>
    <row r="9812" spans="2:2" ht="15.5" x14ac:dyDescent="0.35">
      <c r="B9812" s="167"/>
    </row>
    <row r="9813" spans="2:2" ht="15.5" x14ac:dyDescent="0.35">
      <c r="B9813" s="167"/>
    </row>
    <row r="9814" spans="2:2" ht="15.5" x14ac:dyDescent="0.35">
      <c r="B9814" s="167"/>
    </row>
    <row r="9815" spans="2:2" ht="15.5" x14ac:dyDescent="0.35">
      <c r="B9815" s="167"/>
    </row>
    <row r="9816" spans="2:2" ht="15.5" x14ac:dyDescent="0.35">
      <c r="B9816" s="167"/>
    </row>
    <row r="9817" spans="2:2" ht="15.5" x14ac:dyDescent="0.35">
      <c r="B9817" s="167"/>
    </row>
    <row r="9818" spans="2:2" ht="15.5" x14ac:dyDescent="0.35">
      <c r="B9818" s="167"/>
    </row>
    <row r="9819" spans="2:2" ht="15.5" x14ac:dyDescent="0.35">
      <c r="B9819" s="167"/>
    </row>
    <row r="9820" spans="2:2" ht="15.5" x14ac:dyDescent="0.35">
      <c r="B9820" s="167"/>
    </row>
    <row r="9821" spans="2:2" ht="15.5" x14ac:dyDescent="0.35">
      <c r="B9821" s="167"/>
    </row>
    <row r="9822" spans="2:2" ht="15.5" x14ac:dyDescent="0.35">
      <c r="B9822" s="167"/>
    </row>
    <row r="9823" spans="2:2" ht="15.5" x14ac:dyDescent="0.35">
      <c r="B9823" s="167"/>
    </row>
    <row r="9824" spans="2:2" ht="15.5" x14ac:dyDescent="0.35">
      <c r="B9824" s="167"/>
    </row>
    <row r="9825" spans="2:2" ht="15.5" x14ac:dyDescent="0.35">
      <c r="B9825" s="167"/>
    </row>
    <row r="9826" spans="2:2" ht="15.5" x14ac:dyDescent="0.35">
      <c r="B9826" s="167"/>
    </row>
    <row r="9827" spans="2:2" ht="15.5" x14ac:dyDescent="0.35">
      <c r="B9827" s="167"/>
    </row>
    <row r="9828" spans="2:2" ht="15.5" x14ac:dyDescent="0.35">
      <c r="B9828" s="167"/>
    </row>
    <row r="9829" spans="2:2" ht="15.5" x14ac:dyDescent="0.35">
      <c r="B9829" s="167"/>
    </row>
    <row r="9830" spans="2:2" ht="15.5" x14ac:dyDescent="0.35">
      <c r="B9830" s="167"/>
    </row>
    <row r="9831" spans="2:2" ht="15.5" x14ac:dyDescent="0.35">
      <c r="B9831" s="167"/>
    </row>
    <row r="9832" spans="2:2" ht="15.5" x14ac:dyDescent="0.35">
      <c r="B9832" s="167"/>
    </row>
    <row r="9833" spans="2:2" ht="15.5" x14ac:dyDescent="0.35">
      <c r="B9833" s="167"/>
    </row>
    <row r="9834" spans="2:2" ht="15.5" x14ac:dyDescent="0.35">
      <c r="B9834" s="167"/>
    </row>
    <row r="9835" spans="2:2" ht="15.5" x14ac:dyDescent="0.35">
      <c r="B9835" s="167"/>
    </row>
    <row r="9836" spans="2:2" ht="15.5" x14ac:dyDescent="0.35">
      <c r="B9836" s="167"/>
    </row>
    <row r="9837" spans="2:2" ht="15.5" x14ac:dyDescent="0.35">
      <c r="B9837" s="167"/>
    </row>
    <row r="9838" spans="2:2" ht="15.5" x14ac:dyDescent="0.35">
      <c r="B9838" s="167"/>
    </row>
    <row r="9839" spans="2:2" ht="15.5" x14ac:dyDescent="0.35">
      <c r="B9839" s="167"/>
    </row>
    <row r="9840" spans="2:2" ht="15.5" x14ac:dyDescent="0.35">
      <c r="B9840" s="167"/>
    </row>
    <row r="9841" spans="2:2" ht="15.5" x14ac:dyDescent="0.35">
      <c r="B9841" s="167"/>
    </row>
    <row r="9842" spans="2:2" ht="15.5" x14ac:dyDescent="0.35">
      <c r="B9842" s="167"/>
    </row>
    <row r="9843" spans="2:2" ht="15.5" x14ac:dyDescent="0.35">
      <c r="B9843" s="167"/>
    </row>
    <row r="9844" spans="2:2" ht="15.5" x14ac:dyDescent="0.35">
      <c r="B9844" s="167"/>
    </row>
    <row r="9845" spans="2:2" ht="15.5" x14ac:dyDescent="0.35">
      <c r="B9845" s="167"/>
    </row>
    <row r="9846" spans="2:2" ht="15.5" x14ac:dyDescent="0.35">
      <c r="B9846" s="167"/>
    </row>
    <row r="9847" spans="2:2" ht="15.5" x14ac:dyDescent="0.35">
      <c r="B9847" s="167"/>
    </row>
    <row r="9848" spans="2:2" ht="15.5" x14ac:dyDescent="0.35">
      <c r="B9848" s="167"/>
    </row>
    <row r="9849" spans="2:2" ht="15.5" x14ac:dyDescent="0.35">
      <c r="B9849" s="167"/>
    </row>
    <row r="9850" spans="2:2" ht="15.5" x14ac:dyDescent="0.35">
      <c r="B9850" s="167"/>
    </row>
    <row r="9851" spans="2:2" ht="15.5" x14ac:dyDescent="0.35">
      <c r="B9851" s="167"/>
    </row>
    <row r="9852" spans="2:2" ht="15.5" x14ac:dyDescent="0.35">
      <c r="B9852" s="167"/>
    </row>
    <row r="9853" spans="2:2" ht="15.5" x14ac:dyDescent="0.35">
      <c r="B9853" s="167"/>
    </row>
    <row r="9854" spans="2:2" ht="15.5" x14ac:dyDescent="0.35">
      <c r="B9854" s="167"/>
    </row>
    <row r="9855" spans="2:2" ht="15.5" x14ac:dyDescent="0.35">
      <c r="B9855" s="167"/>
    </row>
    <row r="9856" spans="2:2" ht="15.5" x14ac:dyDescent="0.35">
      <c r="B9856" s="167"/>
    </row>
    <row r="9857" spans="2:2" ht="15.5" x14ac:dyDescent="0.35">
      <c r="B9857" s="167"/>
    </row>
    <row r="9858" spans="2:2" ht="15.5" x14ac:dyDescent="0.35">
      <c r="B9858" s="167"/>
    </row>
    <row r="9859" spans="2:2" ht="15.5" x14ac:dyDescent="0.35">
      <c r="B9859" s="167"/>
    </row>
    <row r="9860" spans="2:2" ht="15.5" x14ac:dyDescent="0.35">
      <c r="B9860" s="167"/>
    </row>
    <row r="9861" spans="2:2" ht="15.5" x14ac:dyDescent="0.35">
      <c r="B9861" s="167"/>
    </row>
    <row r="9862" spans="2:2" ht="15.5" x14ac:dyDescent="0.35">
      <c r="B9862" s="167"/>
    </row>
    <row r="9863" spans="2:2" ht="15.5" x14ac:dyDescent="0.35">
      <c r="B9863" s="167"/>
    </row>
    <row r="9864" spans="2:2" ht="15.5" x14ac:dyDescent="0.35">
      <c r="B9864" s="167"/>
    </row>
    <row r="9865" spans="2:2" ht="15.5" x14ac:dyDescent="0.35">
      <c r="B9865" s="167"/>
    </row>
    <row r="9866" spans="2:2" ht="15.5" x14ac:dyDescent="0.35">
      <c r="B9866" s="167"/>
    </row>
    <row r="9867" spans="2:2" ht="15.5" x14ac:dyDescent="0.35">
      <c r="B9867" s="167"/>
    </row>
    <row r="9868" spans="2:2" ht="15.5" x14ac:dyDescent="0.35">
      <c r="B9868" s="167"/>
    </row>
    <row r="9869" spans="2:2" ht="15.5" x14ac:dyDescent="0.35">
      <c r="B9869" s="167"/>
    </row>
    <row r="9870" spans="2:2" ht="15.5" x14ac:dyDescent="0.35">
      <c r="B9870" s="167"/>
    </row>
    <row r="9871" spans="2:2" ht="15.5" x14ac:dyDescent="0.35">
      <c r="B9871" s="167"/>
    </row>
    <row r="9872" spans="2:2" ht="15.5" x14ac:dyDescent="0.35">
      <c r="B9872" s="167"/>
    </row>
    <row r="9873" spans="2:2" ht="15.5" x14ac:dyDescent="0.35">
      <c r="B9873" s="167"/>
    </row>
    <row r="9874" spans="2:2" ht="15.5" x14ac:dyDescent="0.35">
      <c r="B9874" s="167"/>
    </row>
    <row r="9875" spans="2:2" ht="15.5" x14ac:dyDescent="0.35">
      <c r="B9875" s="167"/>
    </row>
    <row r="9876" spans="2:2" ht="15.5" x14ac:dyDescent="0.35">
      <c r="B9876" s="167"/>
    </row>
    <row r="9877" spans="2:2" ht="15.5" x14ac:dyDescent="0.35">
      <c r="B9877" s="167"/>
    </row>
    <row r="9878" spans="2:2" ht="15.5" x14ac:dyDescent="0.35">
      <c r="B9878" s="167"/>
    </row>
    <row r="9879" spans="2:2" ht="15.5" x14ac:dyDescent="0.35">
      <c r="B9879" s="167"/>
    </row>
    <row r="9880" spans="2:2" ht="15.5" x14ac:dyDescent="0.35">
      <c r="B9880" s="167"/>
    </row>
    <row r="9881" spans="2:2" ht="15.5" x14ac:dyDescent="0.35">
      <c r="B9881" s="167"/>
    </row>
    <row r="9882" spans="2:2" ht="15.5" x14ac:dyDescent="0.35">
      <c r="B9882" s="167"/>
    </row>
    <row r="9883" spans="2:2" ht="15.5" x14ac:dyDescent="0.35">
      <c r="B9883" s="167"/>
    </row>
    <row r="9884" spans="2:2" ht="15.5" x14ac:dyDescent="0.35">
      <c r="B9884" s="167"/>
    </row>
    <row r="9885" spans="2:2" ht="15.5" x14ac:dyDescent="0.35">
      <c r="B9885" s="167"/>
    </row>
    <row r="9886" spans="2:2" ht="15.5" x14ac:dyDescent="0.35">
      <c r="B9886" s="167"/>
    </row>
    <row r="9887" spans="2:2" ht="15.5" x14ac:dyDescent="0.35">
      <c r="B9887" s="167"/>
    </row>
    <row r="9888" spans="2:2" ht="15.5" x14ac:dyDescent="0.35">
      <c r="B9888" s="167"/>
    </row>
    <row r="9889" spans="2:2" ht="15.5" x14ac:dyDescent="0.35">
      <c r="B9889" s="167"/>
    </row>
    <row r="9890" spans="2:2" ht="15.5" x14ac:dyDescent="0.35">
      <c r="B9890" s="167"/>
    </row>
    <row r="9891" spans="2:2" ht="15.5" x14ac:dyDescent="0.35">
      <c r="B9891" s="167"/>
    </row>
    <row r="9892" spans="2:2" ht="15.5" x14ac:dyDescent="0.35">
      <c r="B9892" s="167"/>
    </row>
    <row r="9893" spans="2:2" ht="15.5" x14ac:dyDescent="0.35">
      <c r="B9893" s="167"/>
    </row>
    <row r="9894" spans="2:2" ht="15.5" x14ac:dyDescent="0.35">
      <c r="B9894" s="167"/>
    </row>
    <row r="9895" spans="2:2" ht="15.5" x14ac:dyDescent="0.35">
      <c r="B9895" s="167"/>
    </row>
    <row r="9896" spans="2:2" ht="15.5" x14ac:dyDescent="0.35">
      <c r="B9896" s="167"/>
    </row>
    <row r="9897" spans="2:2" ht="15.5" x14ac:dyDescent="0.35">
      <c r="B9897" s="167"/>
    </row>
    <row r="9898" spans="2:2" ht="15.5" x14ac:dyDescent="0.35">
      <c r="B9898" s="167"/>
    </row>
    <row r="9899" spans="2:2" ht="15.5" x14ac:dyDescent="0.35">
      <c r="B9899" s="167"/>
    </row>
    <row r="9900" spans="2:2" ht="15.5" x14ac:dyDescent="0.35">
      <c r="B9900" s="167"/>
    </row>
    <row r="9901" spans="2:2" ht="15.5" x14ac:dyDescent="0.35">
      <c r="B9901" s="167"/>
    </row>
    <row r="9902" spans="2:2" ht="15.5" x14ac:dyDescent="0.35">
      <c r="B9902" s="167"/>
    </row>
    <row r="9903" spans="2:2" ht="15.5" x14ac:dyDescent="0.35">
      <c r="B9903" s="167"/>
    </row>
    <row r="9904" spans="2:2" ht="15.5" x14ac:dyDescent="0.35">
      <c r="B9904" s="167"/>
    </row>
    <row r="9905" spans="2:2" ht="15.5" x14ac:dyDescent="0.35">
      <c r="B9905" s="167"/>
    </row>
    <row r="9906" spans="2:2" ht="15.5" x14ac:dyDescent="0.35">
      <c r="B9906" s="167"/>
    </row>
    <row r="9907" spans="2:2" ht="15.5" x14ac:dyDescent="0.35">
      <c r="B9907" s="167"/>
    </row>
    <row r="9908" spans="2:2" ht="15.5" x14ac:dyDescent="0.35">
      <c r="B9908" s="167"/>
    </row>
    <row r="9909" spans="2:2" ht="15.5" x14ac:dyDescent="0.35">
      <c r="B9909" s="167"/>
    </row>
    <row r="9910" spans="2:2" ht="15.5" x14ac:dyDescent="0.35">
      <c r="B9910" s="167"/>
    </row>
    <row r="9911" spans="2:2" ht="15.5" x14ac:dyDescent="0.35">
      <c r="B9911" s="167"/>
    </row>
    <row r="9912" spans="2:2" ht="15.5" x14ac:dyDescent="0.35">
      <c r="B9912" s="167"/>
    </row>
    <row r="9913" spans="2:2" ht="15.5" x14ac:dyDescent="0.35">
      <c r="B9913" s="167"/>
    </row>
    <row r="9914" spans="2:2" ht="15.5" x14ac:dyDescent="0.35">
      <c r="B9914" s="167"/>
    </row>
    <row r="9915" spans="2:2" ht="15.5" x14ac:dyDescent="0.35">
      <c r="B9915" s="167"/>
    </row>
    <row r="9916" spans="2:2" ht="15.5" x14ac:dyDescent="0.35">
      <c r="B9916" s="167"/>
    </row>
    <row r="9917" spans="2:2" ht="15.5" x14ac:dyDescent="0.35">
      <c r="B9917" s="167"/>
    </row>
    <row r="9918" spans="2:2" ht="15.5" x14ac:dyDescent="0.35">
      <c r="B9918" s="167"/>
    </row>
    <row r="9919" spans="2:2" ht="15.5" x14ac:dyDescent="0.35">
      <c r="B9919" s="167"/>
    </row>
    <row r="9920" spans="2:2" ht="15.5" x14ac:dyDescent="0.35">
      <c r="B9920" s="167"/>
    </row>
    <row r="9921" spans="2:2" ht="15.5" x14ac:dyDescent="0.35">
      <c r="B9921" s="167"/>
    </row>
    <row r="9922" spans="2:2" ht="15.5" x14ac:dyDescent="0.35">
      <c r="B9922" s="167"/>
    </row>
    <row r="9923" spans="2:2" ht="15.5" x14ac:dyDescent="0.35">
      <c r="B9923" s="167"/>
    </row>
    <row r="9924" spans="2:2" ht="15.5" x14ac:dyDescent="0.35">
      <c r="B9924" s="167"/>
    </row>
    <row r="9925" spans="2:2" ht="15.5" x14ac:dyDescent="0.35">
      <c r="B9925" s="167"/>
    </row>
    <row r="9926" spans="2:2" ht="15.5" x14ac:dyDescent="0.35">
      <c r="B9926" s="167"/>
    </row>
    <row r="9927" spans="2:2" ht="15.5" x14ac:dyDescent="0.35">
      <c r="B9927" s="167"/>
    </row>
    <row r="9928" spans="2:2" ht="15.5" x14ac:dyDescent="0.35">
      <c r="B9928" s="167"/>
    </row>
    <row r="9929" spans="2:2" ht="15.5" x14ac:dyDescent="0.35">
      <c r="B9929" s="167"/>
    </row>
    <row r="9930" spans="2:2" ht="15.5" x14ac:dyDescent="0.35">
      <c r="B9930" s="167"/>
    </row>
    <row r="9931" spans="2:2" ht="15.5" x14ac:dyDescent="0.35">
      <c r="B9931" s="167"/>
    </row>
    <row r="9932" spans="2:2" ht="15.5" x14ac:dyDescent="0.35">
      <c r="B9932" s="167"/>
    </row>
    <row r="9933" spans="2:2" ht="15.5" x14ac:dyDescent="0.35">
      <c r="B9933" s="167"/>
    </row>
    <row r="9934" spans="2:2" ht="15.5" x14ac:dyDescent="0.35">
      <c r="B9934" s="167"/>
    </row>
    <row r="9935" spans="2:2" ht="15.5" x14ac:dyDescent="0.35">
      <c r="B9935" s="167"/>
    </row>
    <row r="9936" spans="2:2" ht="15.5" x14ac:dyDescent="0.35">
      <c r="B9936" s="167"/>
    </row>
    <row r="9937" spans="2:2" ht="15.5" x14ac:dyDescent="0.35">
      <c r="B9937" s="167"/>
    </row>
    <row r="9938" spans="2:2" ht="15.5" x14ac:dyDescent="0.35">
      <c r="B9938" s="167"/>
    </row>
    <row r="9939" spans="2:2" ht="15.5" x14ac:dyDescent="0.35">
      <c r="B9939" s="167"/>
    </row>
    <row r="9940" spans="2:2" ht="15.5" x14ac:dyDescent="0.35">
      <c r="B9940" s="167"/>
    </row>
    <row r="9941" spans="2:2" ht="15.5" x14ac:dyDescent="0.35">
      <c r="B9941" s="167"/>
    </row>
    <row r="9942" spans="2:2" ht="15.5" x14ac:dyDescent="0.35">
      <c r="B9942" s="167"/>
    </row>
    <row r="9943" spans="2:2" ht="15.5" x14ac:dyDescent="0.35">
      <c r="B9943" s="167"/>
    </row>
    <row r="9944" spans="2:2" ht="15.5" x14ac:dyDescent="0.35">
      <c r="B9944" s="167"/>
    </row>
    <row r="9945" spans="2:2" ht="15.5" x14ac:dyDescent="0.35">
      <c r="B9945" s="167"/>
    </row>
    <row r="9946" spans="2:2" ht="15.5" x14ac:dyDescent="0.35">
      <c r="B9946" s="167"/>
    </row>
    <row r="9947" spans="2:2" ht="15.5" x14ac:dyDescent="0.35">
      <c r="B9947" s="167"/>
    </row>
    <row r="9948" spans="2:2" ht="15.5" x14ac:dyDescent="0.35">
      <c r="B9948" s="167"/>
    </row>
    <row r="9949" spans="2:2" ht="15.5" x14ac:dyDescent="0.35">
      <c r="B9949" s="167"/>
    </row>
    <row r="9950" spans="2:2" ht="15.5" x14ac:dyDescent="0.35">
      <c r="B9950" s="167"/>
    </row>
    <row r="9951" spans="2:2" ht="15.5" x14ac:dyDescent="0.35">
      <c r="B9951" s="167"/>
    </row>
    <row r="9952" spans="2:2" ht="15.5" x14ac:dyDescent="0.35">
      <c r="B9952" s="167"/>
    </row>
    <row r="9953" spans="2:2" ht="15.5" x14ac:dyDescent="0.35">
      <c r="B9953" s="167"/>
    </row>
    <row r="9954" spans="2:2" ht="15.5" x14ac:dyDescent="0.35">
      <c r="B9954" s="167"/>
    </row>
    <row r="9955" spans="2:2" ht="15.5" x14ac:dyDescent="0.35">
      <c r="B9955" s="167"/>
    </row>
    <row r="9956" spans="2:2" ht="15.5" x14ac:dyDescent="0.35">
      <c r="B9956" s="167"/>
    </row>
    <row r="9957" spans="2:2" ht="15.5" x14ac:dyDescent="0.35">
      <c r="B9957" s="167"/>
    </row>
    <row r="9958" spans="2:2" ht="15.5" x14ac:dyDescent="0.35">
      <c r="B9958" s="167"/>
    </row>
    <row r="9959" spans="2:2" ht="15.5" x14ac:dyDescent="0.35">
      <c r="B9959" s="167"/>
    </row>
    <row r="9960" spans="2:2" ht="15.5" x14ac:dyDescent="0.35">
      <c r="B9960" s="167"/>
    </row>
    <row r="9961" spans="2:2" ht="15.5" x14ac:dyDescent="0.35">
      <c r="B9961" s="167"/>
    </row>
    <row r="9962" spans="2:2" ht="15.5" x14ac:dyDescent="0.35">
      <c r="B9962" s="167"/>
    </row>
    <row r="9963" spans="2:2" ht="15.5" x14ac:dyDescent="0.35">
      <c r="B9963" s="167"/>
    </row>
    <row r="9964" spans="2:2" ht="15.5" x14ac:dyDescent="0.35">
      <c r="B9964" s="167"/>
    </row>
    <row r="9965" spans="2:2" ht="15.5" x14ac:dyDescent="0.35">
      <c r="B9965" s="167"/>
    </row>
    <row r="9966" spans="2:2" ht="15.5" x14ac:dyDescent="0.35">
      <c r="B9966" s="167"/>
    </row>
    <row r="9967" spans="2:2" ht="15.5" x14ac:dyDescent="0.35">
      <c r="B9967" s="167"/>
    </row>
    <row r="9968" spans="2:2" ht="15.5" x14ac:dyDescent="0.35">
      <c r="B9968" s="167"/>
    </row>
    <row r="9969" spans="2:2" ht="15.5" x14ac:dyDescent="0.35">
      <c r="B9969" s="167"/>
    </row>
    <row r="9970" spans="2:2" ht="15.5" x14ac:dyDescent="0.35">
      <c r="B9970" s="167"/>
    </row>
    <row r="9971" spans="2:2" ht="15.5" x14ac:dyDescent="0.35">
      <c r="B9971" s="167"/>
    </row>
    <row r="9972" spans="2:2" ht="15.5" x14ac:dyDescent="0.35">
      <c r="B9972" s="167"/>
    </row>
    <row r="9973" spans="2:2" ht="15.5" x14ac:dyDescent="0.35">
      <c r="B9973" s="167"/>
    </row>
    <row r="9974" spans="2:2" ht="15.5" x14ac:dyDescent="0.35">
      <c r="B9974" s="167"/>
    </row>
    <row r="9975" spans="2:2" ht="15.5" x14ac:dyDescent="0.35">
      <c r="B9975" s="167"/>
    </row>
    <row r="9976" spans="2:2" ht="15.5" x14ac:dyDescent="0.35">
      <c r="B9976" s="167"/>
    </row>
    <row r="9977" spans="2:2" ht="15.5" x14ac:dyDescent="0.35">
      <c r="B9977" s="167"/>
    </row>
    <row r="9978" spans="2:2" ht="15.5" x14ac:dyDescent="0.35">
      <c r="B9978" s="167"/>
    </row>
    <row r="9979" spans="2:2" ht="15.5" x14ac:dyDescent="0.35">
      <c r="B9979" s="167"/>
    </row>
    <row r="9980" spans="2:2" ht="15.5" x14ac:dyDescent="0.35">
      <c r="B9980" s="167"/>
    </row>
    <row r="9981" spans="2:2" ht="15.5" x14ac:dyDescent="0.35">
      <c r="B9981" s="167"/>
    </row>
    <row r="9982" spans="2:2" ht="15.5" x14ac:dyDescent="0.35">
      <c r="B9982" s="167"/>
    </row>
    <row r="9983" spans="2:2" ht="15.5" x14ac:dyDescent="0.35">
      <c r="B9983" s="167"/>
    </row>
    <row r="9984" spans="2:2" ht="15.5" x14ac:dyDescent="0.35">
      <c r="B9984" s="167"/>
    </row>
    <row r="9985" spans="2:2" ht="15.5" x14ac:dyDescent="0.35">
      <c r="B9985" s="167"/>
    </row>
    <row r="9986" spans="2:2" ht="15.5" x14ac:dyDescent="0.35">
      <c r="B9986" s="167"/>
    </row>
    <row r="9987" spans="2:2" ht="15.5" x14ac:dyDescent="0.35">
      <c r="B9987" s="167"/>
    </row>
    <row r="9988" spans="2:2" ht="15.5" x14ac:dyDescent="0.35">
      <c r="B9988" s="167"/>
    </row>
    <row r="9989" spans="2:2" ht="15.5" x14ac:dyDescent="0.35">
      <c r="B9989" s="167"/>
    </row>
    <row r="9990" spans="2:2" ht="15.5" x14ac:dyDescent="0.35">
      <c r="B9990" s="167"/>
    </row>
    <row r="9991" spans="2:2" ht="15.5" x14ac:dyDescent="0.35">
      <c r="B9991" s="167"/>
    </row>
    <row r="9992" spans="2:2" ht="15.5" x14ac:dyDescent="0.35">
      <c r="B9992" s="167"/>
    </row>
    <row r="9993" spans="2:2" ht="15.5" x14ac:dyDescent="0.35">
      <c r="B9993" s="167"/>
    </row>
    <row r="9994" spans="2:2" ht="15.5" x14ac:dyDescent="0.35">
      <c r="B9994" s="167"/>
    </row>
    <row r="9995" spans="2:2" ht="15.5" x14ac:dyDescent="0.35">
      <c r="B9995" s="167"/>
    </row>
    <row r="9996" spans="2:2" ht="15.5" x14ac:dyDescent="0.35">
      <c r="B9996" s="167"/>
    </row>
    <row r="9997" spans="2:2" ht="15.5" x14ac:dyDescent="0.35">
      <c r="B9997" s="167"/>
    </row>
    <row r="9998" spans="2:2" ht="15.5" x14ac:dyDescent="0.35">
      <c r="B9998" s="167"/>
    </row>
    <row r="9999" spans="2:2" ht="15.5" x14ac:dyDescent="0.35">
      <c r="B9999" s="167"/>
    </row>
    <row r="10000" spans="2:2" ht="15.5" x14ac:dyDescent="0.35">
      <c r="B10000" s="167"/>
    </row>
    <row r="10001" spans="2:2" ht="15.5" x14ac:dyDescent="0.35">
      <c r="B10001" s="167"/>
    </row>
    <row r="10002" spans="2:2" ht="15.5" x14ac:dyDescent="0.35">
      <c r="B10002" s="167"/>
    </row>
    <row r="10003" spans="2:2" ht="15.5" x14ac:dyDescent="0.35">
      <c r="B10003" s="167"/>
    </row>
    <row r="10004" spans="2:2" ht="15.5" x14ac:dyDescent="0.35">
      <c r="B10004" s="167"/>
    </row>
    <row r="10005" spans="2:2" ht="15.5" x14ac:dyDescent="0.35">
      <c r="B10005" s="167"/>
    </row>
    <row r="10006" spans="2:2" ht="15.5" x14ac:dyDescent="0.35">
      <c r="B10006" s="167"/>
    </row>
    <row r="10007" spans="2:2" ht="15.5" x14ac:dyDescent="0.35">
      <c r="B10007" s="167"/>
    </row>
    <row r="10008" spans="2:2" ht="15.5" x14ac:dyDescent="0.35">
      <c r="B10008" s="167"/>
    </row>
    <row r="10009" spans="2:2" ht="15.5" x14ac:dyDescent="0.35">
      <c r="B10009" s="167"/>
    </row>
    <row r="10010" spans="2:2" ht="15.5" x14ac:dyDescent="0.35">
      <c r="B10010" s="167"/>
    </row>
    <row r="10011" spans="2:2" ht="15.5" x14ac:dyDescent="0.35">
      <c r="B10011" s="167"/>
    </row>
    <row r="10012" spans="2:2" ht="15.5" x14ac:dyDescent="0.35">
      <c r="B10012" s="167"/>
    </row>
    <row r="10013" spans="2:2" ht="15.5" x14ac:dyDescent="0.35">
      <c r="B10013" s="167"/>
    </row>
    <row r="10014" spans="2:2" ht="15.5" x14ac:dyDescent="0.35">
      <c r="B10014" s="167"/>
    </row>
    <row r="10015" spans="2:2" ht="15.5" x14ac:dyDescent="0.35">
      <c r="B10015" s="167"/>
    </row>
    <row r="10016" spans="2:2" ht="15.5" x14ac:dyDescent="0.35">
      <c r="B10016" s="167"/>
    </row>
    <row r="10017" spans="2:2" ht="15.5" x14ac:dyDescent="0.35">
      <c r="B10017" s="167"/>
    </row>
    <row r="10018" spans="2:2" ht="15.5" x14ac:dyDescent="0.35">
      <c r="B10018" s="167"/>
    </row>
    <row r="10019" spans="2:2" ht="15.5" x14ac:dyDescent="0.35">
      <c r="B10019" s="167"/>
    </row>
    <row r="10020" spans="2:2" ht="15.5" x14ac:dyDescent="0.35">
      <c r="B10020" s="167"/>
    </row>
    <row r="10021" spans="2:2" ht="15.5" x14ac:dyDescent="0.35">
      <c r="B10021" s="167"/>
    </row>
    <row r="10022" spans="2:2" ht="15.5" x14ac:dyDescent="0.35">
      <c r="B10022" s="167"/>
    </row>
    <row r="10023" spans="2:2" ht="15.5" x14ac:dyDescent="0.35">
      <c r="B10023" s="167"/>
    </row>
    <row r="10024" spans="2:2" ht="15.5" x14ac:dyDescent="0.35">
      <c r="B10024" s="167"/>
    </row>
    <row r="10025" spans="2:2" ht="15.5" x14ac:dyDescent="0.35">
      <c r="B10025" s="167"/>
    </row>
    <row r="10026" spans="2:2" ht="15.5" x14ac:dyDescent="0.35">
      <c r="B10026" s="167"/>
    </row>
    <row r="10027" spans="2:2" ht="15.5" x14ac:dyDescent="0.35">
      <c r="B10027" s="167"/>
    </row>
    <row r="10028" spans="2:2" ht="15.5" x14ac:dyDescent="0.35">
      <c r="B10028" s="167"/>
    </row>
    <row r="10029" spans="2:2" ht="15.5" x14ac:dyDescent="0.35">
      <c r="B10029" s="167"/>
    </row>
    <row r="10030" spans="2:2" ht="15.5" x14ac:dyDescent="0.35">
      <c r="B10030" s="167"/>
    </row>
    <row r="10031" spans="2:2" ht="15.5" x14ac:dyDescent="0.35">
      <c r="B10031" s="167"/>
    </row>
    <row r="10032" spans="2:2" ht="15.5" x14ac:dyDescent="0.35">
      <c r="B10032" s="167"/>
    </row>
    <row r="10033" spans="2:2" ht="15.5" x14ac:dyDescent="0.35">
      <c r="B10033" s="167"/>
    </row>
    <row r="10034" spans="2:2" ht="15.5" x14ac:dyDescent="0.35">
      <c r="B10034" s="167"/>
    </row>
    <row r="10035" spans="2:2" ht="15.5" x14ac:dyDescent="0.35">
      <c r="B10035" s="167"/>
    </row>
    <row r="10036" spans="2:2" ht="15.5" x14ac:dyDescent="0.35">
      <c r="B10036" s="167"/>
    </row>
    <row r="10037" spans="2:2" ht="15.5" x14ac:dyDescent="0.35">
      <c r="B10037" s="167"/>
    </row>
    <row r="10038" spans="2:2" ht="15.5" x14ac:dyDescent="0.35">
      <c r="B10038" s="167"/>
    </row>
    <row r="10039" spans="2:2" ht="15.5" x14ac:dyDescent="0.35">
      <c r="B10039" s="167"/>
    </row>
    <row r="10040" spans="2:2" ht="15.5" x14ac:dyDescent="0.35">
      <c r="B10040" s="167"/>
    </row>
    <row r="10041" spans="2:2" ht="15.5" x14ac:dyDescent="0.35">
      <c r="B10041" s="167"/>
    </row>
    <row r="10042" spans="2:2" ht="15.5" x14ac:dyDescent="0.35">
      <c r="B10042" s="167"/>
    </row>
    <row r="10043" spans="2:2" ht="15.5" x14ac:dyDescent="0.35">
      <c r="B10043" s="167"/>
    </row>
    <row r="10044" spans="2:2" ht="15.5" x14ac:dyDescent="0.35">
      <c r="B10044" s="167"/>
    </row>
    <row r="10045" spans="2:2" ht="15.5" x14ac:dyDescent="0.35">
      <c r="B10045" s="167"/>
    </row>
    <row r="10046" spans="2:2" ht="15.5" x14ac:dyDescent="0.35">
      <c r="B10046" s="167"/>
    </row>
    <row r="10047" spans="2:2" ht="15.5" x14ac:dyDescent="0.35">
      <c r="B10047" s="167"/>
    </row>
    <row r="10048" spans="2:2" ht="15.5" x14ac:dyDescent="0.35">
      <c r="B10048" s="167"/>
    </row>
    <row r="10049" spans="2:2" ht="15.5" x14ac:dyDescent="0.35">
      <c r="B10049" s="167"/>
    </row>
    <row r="10050" spans="2:2" ht="15.5" x14ac:dyDescent="0.35">
      <c r="B10050" s="167"/>
    </row>
    <row r="10051" spans="2:2" ht="15.5" x14ac:dyDescent="0.35">
      <c r="B10051" s="167"/>
    </row>
    <row r="10052" spans="2:2" ht="15.5" x14ac:dyDescent="0.35">
      <c r="B10052" s="167"/>
    </row>
    <row r="10053" spans="2:2" ht="15.5" x14ac:dyDescent="0.35">
      <c r="B10053" s="167"/>
    </row>
    <row r="10054" spans="2:2" ht="15.5" x14ac:dyDescent="0.35">
      <c r="B10054" s="167"/>
    </row>
    <row r="10055" spans="2:2" ht="15.5" x14ac:dyDescent="0.35">
      <c r="B10055" s="167"/>
    </row>
  </sheetData>
  <conditionalFormatting sqref="D17:F20 F26 E21:F22 L4:L5 D33:F40 E27:F32 L12:L16">
    <cfRule type="colorScale" priority="2">
      <colorScale>
        <cfvo type="num" val="-0.5"/>
        <cfvo type="num" val="0"/>
        <cfvo type="num" val="0.5"/>
        <color rgb="FFF8696B"/>
        <color theme="0"/>
        <color rgb="FF63BE7B"/>
      </colorScale>
    </cfRule>
  </conditionalFormatting>
  <conditionalFormatting sqref="D7:H11">
    <cfRule type="colorScale" priority="1">
      <colorScale>
        <cfvo type="num" val="-0.5"/>
        <cfvo type="num" val="0"/>
        <cfvo type="num" val="0.5"/>
        <color rgb="FFF8696B"/>
        <color theme="0"/>
        <color rgb="FF63BE7B"/>
      </colorScale>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62ABDA6886CF6498653E646AB2571ED" ma:contentTypeVersion="16" ma:contentTypeDescription="Create a new document." ma:contentTypeScope="" ma:versionID="235e0e40c567e6394453f2090fab65a6">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be2affa39fb2f3cdc665ba7b2e6a6e47"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Props1.xml><?xml version="1.0" encoding="utf-8"?>
<ds:datastoreItem xmlns:ds="http://schemas.openxmlformats.org/officeDocument/2006/customXml" ds:itemID="{A04E3618-D491-4F6F-BB80-95ED90E277F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ba73c8a-1af7-4183-b158-1cd1291da2b6"/>
    <ds:schemaRef ds:uri="8c89d0e4-a8d9-42ba-a773-c59a56f772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4BB988D-8D01-4A93-B497-E21446BB3F17}">
  <ds:schemaRefs>
    <ds:schemaRef ds:uri="http://schemas.microsoft.com/sharepoint/v3/contenttype/forms"/>
  </ds:schemaRefs>
</ds:datastoreItem>
</file>

<file path=customXml/itemProps3.xml><?xml version="1.0" encoding="utf-8"?>
<ds:datastoreItem xmlns:ds="http://schemas.openxmlformats.org/officeDocument/2006/customXml" ds:itemID="{AB79CB92-5331-4E6D-BCCA-3ED810C77402}">
  <ds:schemaRefs>
    <ds:schemaRef ds:uri="http://schemas.microsoft.com/office/infopath/2007/PartnerControls"/>
    <ds:schemaRef ds:uri="8c89d0e4-a8d9-42ba-a773-c59a56f7723e"/>
    <ds:schemaRef ds:uri="http://purl.org/dc/terms/"/>
    <ds:schemaRef ds:uri="http://schemas.microsoft.com/office/2006/documentManagement/types"/>
    <ds:schemaRef ds:uri="6ba73c8a-1af7-4183-b158-1cd1291da2b6"/>
    <ds:schemaRef ds:uri="http://schemas.openxmlformats.org/package/2006/metadata/core-properties"/>
    <ds:schemaRef ds:uri="http://www.w3.org/XML/1998/namespace"/>
    <ds:schemaRef ds:uri="http://purl.org/dc/elements/1.1/"/>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Summary</vt:lpstr>
      <vt:lpstr>Segments</vt:lpstr>
      <vt:lpstr>Industry</vt:lpstr>
      <vt:lpstr>Peers</vt:lpstr>
      <vt:lpstr>ESG</vt:lpstr>
      <vt:lpstr>ESG Inputs</vt:lpstr>
      <vt:lpstr>DCF</vt:lpstr>
      <vt:lpstr>Inputs</vt:lpstr>
      <vt:lpstr>WACC</vt:lpstr>
      <vt:lpstr>Multiples</vt:lpstr>
      <vt:lpstr>Sensitivity</vt:lpstr>
    </vt:vector>
  </TitlesOfParts>
  <Manager/>
  <Company>Bloomberg LP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bloomberg-alunos</dc:creator>
  <cp:keywords/>
  <dc:description/>
  <cp:lastModifiedBy>Maria Correia Gonçalves</cp:lastModifiedBy>
  <cp:revision/>
  <dcterms:created xsi:type="dcterms:W3CDTF">2025-02-25T16:23:47Z</dcterms:created>
  <dcterms:modified xsi:type="dcterms:W3CDTF">2025-09-30T20:22:53Z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0x010100162ABDA6886CF6498653E646AB2571ED</vt:lpwstr>
  </property>
  <property fmtid="{D5CDD505-2E9C-101B-9397-08002B2CF9AE}" pid="3" name="MediaServiceImageTags">
    <vt:lpwstr/>
  </property>
</Properties>
</file>